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571a\Research3\Odrxs1\Value of Advertising in GDP\"/>
    </mc:Choice>
  </mc:AlternateContent>
  <xr:revisionPtr revIDLastSave="0" documentId="13_ncr:1_{EFD268A9-B597-4918-8914-5F07BE7CD627}" xr6:coauthVersionLast="47" xr6:coauthVersionMax="47" xr10:uidLastSave="{00000000-0000-0000-0000-000000000000}"/>
  <bookViews>
    <workbookView xWindow="-108" yWindow="-108" windowWidth="23256" windowHeight="12576" tabRatio="602" firstSheet="23" activeTab="26" xr2:uid="{00000000-000D-0000-FFFF-FFFF00000000}"/>
  </bookViews>
  <sheets>
    <sheet name="Summary, Price Indexes" sheetId="261" r:id="rId1"/>
    <sheet name="Summary, PPI's" sheetId="249" r:id="rId2"/>
    <sheet name="Summary, hourly ad costs" sheetId="248" r:id="rId3"/>
    <sheet name="Predicted PPIs" sheetId="196" r:id="rId4"/>
    <sheet name="Direct Mail and nonmail PPI's" sheetId="198" r:id="rId5"/>
    <sheet name="Direct mail readership" sheetId="280" r:id="rId6"/>
    <sheet name="Signs and ad special PPI's" sheetId="259" r:id="rId7"/>
    <sheet name="Newspapers PPI's" sheetId="272" r:id="rId8"/>
    <sheet name="Print newspapers, readership" sheetId="250" r:id="rId9"/>
    <sheet name="Periodical PPI's" sheetId="273" r:id="rId10"/>
    <sheet name="Print periodical, readership" sheetId="251" r:id="rId11"/>
    <sheet name="Directory PPI's" sheetId="252" r:id="rId12"/>
    <sheet name="Movie theater PPI's" sheetId="274" r:id="rId13"/>
    <sheet name="Movie theater viewership" sheetId="270" r:id="rId14"/>
    <sheet name="Radio PPI's" sheetId="275" r:id="rId15"/>
    <sheet name="Radio listenership" sheetId="253" r:id="rId16"/>
    <sheet name="Broadcast television PPI's" sheetId="276" r:id="rId17"/>
    <sheet name="Broadcast television viewership" sheetId="254" r:id="rId18"/>
    <sheet name="Cable television PPI's" sheetId="277" r:id="rId19"/>
    <sheet name="Cable.audiovisual internet view" sheetId="255" r:id="rId20"/>
    <sheet name="Nonsearch internet PPI's" sheetId="257" r:id="rId21"/>
    <sheet name="Nonaudiovisual internet time" sheetId="278" r:id="rId22"/>
    <sheet name="Search internet, PPI's" sheetId="258" r:id="rId23"/>
    <sheet name="Search internet time" sheetId="279" r:id="rId24"/>
    <sheet name="Advertising Agency PPI's" sheetId="260" r:id="rId25"/>
    <sheet name="NAICS 71 sponsor PPI's" sheetId="267" r:id="rId26"/>
    <sheet name="NAICS 81 sponsor PPI's" sheetId="26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249" l="1"/>
  <c r="R44" i="249"/>
  <c r="R43" i="249"/>
  <c r="R42" i="249"/>
  <c r="R40" i="249"/>
  <c r="R41" i="249" s="1"/>
  <c r="R39" i="249"/>
  <c r="R38" i="249"/>
  <c r="R37" i="249"/>
  <c r="R36" i="249"/>
  <c r="R35" i="249"/>
  <c r="R34" i="249"/>
  <c r="R33" i="249"/>
  <c r="R32" i="249"/>
  <c r="R31" i="249"/>
  <c r="R30" i="249"/>
  <c r="R29" i="249"/>
  <c r="R28" i="249"/>
  <c r="R27" i="249"/>
  <c r="R26" i="249"/>
  <c r="R25" i="249"/>
  <c r="R24" i="249"/>
  <c r="R23" i="249"/>
  <c r="R22" i="249"/>
  <c r="R21" i="249"/>
  <c r="R20" i="249"/>
  <c r="R19" i="249"/>
  <c r="R18" i="249"/>
  <c r="R17" i="249"/>
  <c r="R16" i="249"/>
  <c r="R15" i="249"/>
  <c r="R14" i="249"/>
  <c r="R13" i="249"/>
  <c r="R12" i="249"/>
  <c r="R11" i="249"/>
  <c r="R10" i="249"/>
  <c r="R9" i="249"/>
  <c r="R8" i="249"/>
  <c r="R7" i="249"/>
  <c r="R6" i="249"/>
  <c r="R5" i="249"/>
  <c r="R4" i="249"/>
  <c r="R3" i="249"/>
  <c r="AH123" i="248" l="1"/>
  <c r="D98" i="280" l="1"/>
  <c r="D99" i="280"/>
  <c r="D100" i="280" s="1"/>
  <c r="D101" i="280" s="1"/>
  <c r="D102" i="280" s="1"/>
  <c r="D103" i="280" s="1"/>
  <c r="D104" i="280" s="1"/>
  <c r="D105" i="280" s="1"/>
  <c r="D106" i="280" s="1"/>
  <c r="D107" i="280" s="1"/>
  <c r="D108" i="280" s="1"/>
  <c r="D109" i="280" s="1"/>
  <c r="D110" i="280" s="1"/>
  <c r="D111" i="280" s="1"/>
  <c r="D112" i="280" s="1"/>
  <c r="D113" i="280" s="1"/>
  <c r="D114" i="280" s="1"/>
  <c r="D115" i="280" s="1"/>
  <c r="D116" i="280" s="1"/>
  <c r="D117" i="280" s="1"/>
  <c r="D118" i="280" s="1"/>
  <c r="D119" i="280" s="1"/>
  <c r="D120" i="280" s="1"/>
  <c r="D121" i="280" s="1"/>
  <c r="D122" i="280" s="1"/>
  <c r="D97" i="280"/>
  <c r="L2" i="280"/>
  <c r="C2" i="280"/>
  <c r="H2" i="280"/>
  <c r="C3" i="280"/>
  <c r="H3" i="280"/>
  <c r="L3" i="280"/>
  <c r="C4" i="280"/>
  <c r="H4" i="280"/>
  <c r="L4" i="280"/>
  <c r="C5" i="280"/>
  <c r="H5" i="280"/>
  <c r="L5" i="280"/>
  <c r="C6" i="280"/>
  <c r="H6" i="280"/>
  <c r="L6" i="280"/>
  <c r="C7" i="280"/>
  <c r="H7" i="280"/>
  <c r="L7" i="280"/>
  <c r="C8" i="280"/>
  <c r="H8" i="280"/>
  <c r="L8" i="280"/>
  <c r="C9" i="280"/>
  <c r="H9" i="280"/>
  <c r="L9" i="280"/>
  <c r="C10" i="280"/>
  <c r="H10" i="280"/>
  <c r="L10" i="280"/>
  <c r="C11" i="280"/>
  <c r="H11" i="280"/>
  <c r="L11" i="280"/>
  <c r="C12" i="280"/>
  <c r="H12" i="280"/>
  <c r="L12" i="280"/>
  <c r="C13" i="280"/>
  <c r="H13" i="280"/>
  <c r="L13" i="280"/>
  <c r="C14" i="280"/>
  <c r="H14" i="280"/>
  <c r="L14" i="280"/>
  <c r="C15" i="280"/>
  <c r="H15" i="280"/>
  <c r="L15" i="280"/>
  <c r="C16" i="280"/>
  <c r="H16" i="280"/>
  <c r="L16" i="280"/>
  <c r="C17" i="280"/>
  <c r="H17" i="280"/>
  <c r="L17" i="280"/>
  <c r="C18" i="280"/>
  <c r="H18" i="280"/>
  <c r="L18" i="280"/>
  <c r="C19" i="280"/>
  <c r="H19" i="280"/>
  <c r="L19" i="280"/>
  <c r="L35" i="280" s="1"/>
  <c r="C20" i="280"/>
  <c r="H20" i="280"/>
  <c r="L20" i="280"/>
  <c r="C21" i="280"/>
  <c r="H21" i="280"/>
  <c r="L21" i="280"/>
  <c r="C22" i="280"/>
  <c r="E22" i="280"/>
  <c r="F22" i="280"/>
  <c r="H22" i="280"/>
  <c r="L22" i="280"/>
  <c r="B3" i="279"/>
  <c r="B6" i="278"/>
  <c r="B7" i="278"/>
  <c r="B8" i="278"/>
  <c r="B9" i="278"/>
  <c r="B10" i="278"/>
  <c r="B11" i="278"/>
  <c r="B12" i="278"/>
  <c r="B13" i="278"/>
  <c r="B14" i="278"/>
  <c r="B15" i="278"/>
  <c r="B16" i="278"/>
  <c r="B17" i="278"/>
  <c r="B18" i="278"/>
  <c r="B19" i="278"/>
  <c r="B20" i="278"/>
  <c r="B21" i="278"/>
  <c r="B22" i="278"/>
  <c r="B23" i="278"/>
  <c r="B24" i="278"/>
  <c r="B25" i="278"/>
  <c r="B26" i="278"/>
  <c r="B27" i="278"/>
  <c r="B28" i="278"/>
  <c r="B29" i="278"/>
  <c r="B30" i="278"/>
  <c r="B31" i="278"/>
  <c r="B32" i="278"/>
  <c r="B33" i="278"/>
  <c r="B34" i="278"/>
  <c r="B35" i="278"/>
  <c r="B36" i="278"/>
  <c r="B37" i="278"/>
  <c r="B38" i="278"/>
  <c r="B39" i="278"/>
  <c r="B40" i="278"/>
  <c r="B41" i="278"/>
  <c r="B42" i="278"/>
  <c r="B43" i="278"/>
  <c r="B44" i="278"/>
  <c r="B45" i="278"/>
  <c r="B46" i="278"/>
  <c r="B47" i="278"/>
  <c r="B48" i="278"/>
  <c r="B49" i="278"/>
  <c r="B50" i="278"/>
  <c r="B51" i="278"/>
  <c r="B52" i="278"/>
  <c r="B53" i="278"/>
  <c r="B54" i="278"/>
  <c r="B55" i="278"/>
  <c r="B56" i="278"/>
  <c r="B57" i="278"/>
  <c r="B58" i="278"/>
  <c r="B59" i="278"/>
  <c r="B60" i="278"/>
  <c r="B61" i="278"/>
  <c r="B62" i="278"/>
  <c r="B63" i="278"/>
  <c r="B64" i="278"/>
  <c r="B65" i="278"/>
  <c r="B66" i="278"/>
  <c r="B67" i="278"/>
  <c r="B68" i="278"/>
  <c r="B69" i="278"/>
  <c r="B70" i="278"/>
  <c r="B71" i="278"/>
  <c r="B72" i="278"/>
  <c r="B73" i="278"/>
  <c r="B74" i="278"/>
  <c r="B75" i="278"/>
  <c r="B76" i="278"/>
  <c r="B77" i="278"/>
  <c r="B78" i="278"/>
  <c r="B79" i="278"/>
  <c r="B80" i="278"/>
  <c r="B81" i="278"/>
  <c r="B82" i="278"/>
  <c r="B83" i="278"/>
  <c r="B84" i="278"/>
  <c r="B85" i="278"/>
  <c r="B86" i="278"/>
  <c r="B87" i="278"/>
  <c r="B88" i="278"/>
  <c r="B89" i="278"/>
  <c r="B90" i="278"/>
  <c r="B91" i="278"/>
  <c r="B92" i="278"/>
  <c r="B93" i="278"/>
  <c r="B94" i="278"/>
  <c r="B95" i="278"/>
  <c r="B96" i="278"/>
  <c r="B97" i="278"/>
  <c r="B98" i="278"/>
  <c r="B99" i="278"/>
  <c r="B100" i="278"/>
  <c r="B101" i="278"/>
  <c r="B102" i="278"/>
  <c r="B103" i="278"/>
  <c r="B104" i="278"/>
  <c r="B105" i="278"/>
  <c r="B106" i="278"/>
  <c r="B107" i="278"/>
  <c r="B108" i="278"/>
  <c r="B109" i="278"/>
  <c r="B110" i="278"/>
  <c r="B111" i="278"/>
  <c r="B112" i="278"/>
  <c r="B113" i="278"/>
  <c r="B114" i="278"/>
  <c r="B115" i="278"/>
  <c r="B116" i="278"/>
  <c r="B117" i="278"/>
  <c r="B118" i="278"/>
  <c r="B119" i="278"/>
  <c r="B120" i="278"/>
  <c r="B121" i="278"/>
  <c r="B122" i="278"/>
  <c r="B123" i="278"/>
  <c r="P26" i="276"/>
  <c r="P25" i="276" s="1"/>
  <c r="P24" i="276" s="1"/>
  <c r="P23" i="276" s="1"/>
  <c r="P30" i="276"/>
  <c r="P29" i="276" s="1"/>
  <c r="P28" i="276" s="1"/>
  <c r="P31" i="276"/>
  <c r="P37" i="276"/>
  <c r="P36" i="276" s="1"/>
  <c r="P35" i="276" s="1"/>
  <c r="P34" i="276" s="1"/>
  <c r="P33" i="276" s="1"/>
  <c r="F9" i="277"/>
  <c r="E9" i="277" s="1"/>
  <c r="D9" i="277" s="1"/>
  <c r="C9" i="277" s="1"/>
  <c r="B9" i="277" s="1"/>
  <c r="F30" i="277"/>
  <c r="E30" i="277" s="1"/>
  <c r="D30" i="277" s="1"/>
  <c r="C30" i="277" s="1"/>
  <c r="B30" i="277" s="1"/>
  <c r="H30" i="277"/>
  <c r="F69" i="277"/>
  <c r="E69" i="277" s="1"/>
  <c r="D69" i="277" s="1"/>
  <c r="C69" i="277" s="1"/>
  <c r="B69" i="277" s="1"/>
  <c r="F9" i="276"/>
  <c r="E9" i="276" s="1"/>
  <c r="D9" i="276" s="1"/>
  <c r="C9" i="276" s="1"/>
  <c r="B9" i="276" s="1"/>
  <c r="Z15" i="249" s="1"/>
  <c r="H40" i="276"/>
  <c r="I40" i="276" s="1"/>
  <c r="J40" i="276" s="1"/>
  <c r="K40" i="276" s="1"/>
  <c r="L40" i="276" s="1"/>
  <c r="M40" i="276" s="1"/>
  <c r="F33" i="276"/>
  <c r="E33" i="276" s="1"/>
  <c r="D33" i="276" s="1"/>
  <c r="C33" i="276" s="1"/>
  <c r="B33" i="276" s="1"/>
  <c r="F53" i="276"/>
  <c r="E53" i="276" s="1"/>
  <c r="D53" i="276" s="1"/>
  <c r="C53" i="276" s="1"/>
  <c r="B53" i="276" s="1"/>
  <c r="H60" i="276"/>
  <c r="I60" i="276" s="1"/>
  <c r="J60" i="276" s="1"/>
  <c r="K60" i="276" s="1"/>
  <c r="L60" i="276" s="1"/>
  <c r="M60" i="276" s="1"/>
  <c r="B64" i="276"/>
  <c r="B65" i="276"/>
  <c r="B66" i="276"/>
  <c r="B67" i="276"/>
  <c r="B68" i="276"/>
  <c r="B69" i="276"/>
  <c r="B70" i="276"/>
  <c r="B71" i="276"/>
  <c r="B72" i="276"/>
  <c r="B73" i="276"/>
  <c r="B74" i="276"/>
  <c r="B78" i="276"/>
  <c r="B79" i="276"/>
  <c r="B80" i="276"/>
  <c r="B81" i="276"/>
  <c r="B82" i="276"/>
  <c r="B83" i="276"/>
  <c r="B84" i="276"/>
  <c r="B85" i="276"/>
  <c r="B86" i="276"/>
  <c r="B87" i="276"/>
  <c r="B88" i="276"/>
  <c r="B15" i="279" l="1"/>
  <c r="B16" i="279" s="1"/>
  <c r="B17" i="279" s="1"/>
  <c r="B18" i="279" s="1"/>
  <c r="B19" i="279" s="1"/>
  <c r="B20" i="279" s="1"/>
  <c r="B21" i="279" s="1"/>
  <c r="B22" i="279" s="1"/>
  <c r="B23" i="279" s="1"/>
  <c r="B24" i="279" s="1"/>
  <c r="B25" i="279" s="1"/>
  <c r="B26" i="279" s="1"/>
  <c r="B27" i="279" s="1"/>
  <c r="B28" i="279" s="1"/>
  <c r="B14" i="279"/>
  <c r="B11" i="279"/>
  <c r="B7" i="279"/>
  <c r="B5" i="279"/>
  <c r="B8" i="279"/>
  <c r="B21" i="280"/>
  <c r="B19" i="280"/>
  <c r="B11" i="280"/>
  <c r="B3" i="280"/>
  <c r="B2" i="280"/>
  <c r="B18" i="280"/>
  <c r="B5" i="280"/>
  <c r="B15" i="280"/>
  <c r="B7" i="280"/>
  <c r="B20" i="280"/>
  <c r="B12" i="280"/>
  <c r="B22" i="280"/>
  <c r="B16" i="280"/>
  <c r="B14" i="280"/>
  <c r="B8" i="280"/>
  <c r="B6" i="280"/>
  <c r="B10" i="280"/>
  <c r="H24" i="280"/>
  <c r="H28" i="280" s="1"/>
  <c r="H32" i="280" s="1"/>
  <c r="H36" i="280" s="1"/>
  <c r="H40" i="280" s="1"/>
  <c r="H44" i="280" s="1"/>
  <c r="H48" i="280" s="1"/>
  <c r="H52" i="280" s="1"/>
  <c r="H56" i="280" s="1"/>
  <c r="H60" i="280" s="1"/>
  <c r="H64" i="280" s="1"/>
  <c r="H68" i="280" s="1"/>
  <c r="H72" i="280" s="1"/>
  <c r="H76" i="280" s="1"/>
  <c r="H80" i="280" s="1"/>
  <c r="H84" i="280" s="1"/>
  <c r="H88" i="280" s="1"/>
  <c r="H92" i="280" s="1"/>
  <c r="H96" i="280" s="1"/>
  <c r="H100" i="280" s="1"/>
  <c r="H104" i="280" s="1"/>
  <c r="H108" i="280" s="1"/>
  <c r="H112" i="280" s="1"/>
  <c r="H116" i="280" s="1"/>
  <c r="H120" i="280" s="1"/>
  <c r="B17" i="280"/>
  <c r="D23" i="280"/>
  <c r="D24" i="280" s="1"/>
  <c r="D25" i="280" s="1"/>
  <c r="D26" i="280" s="1"/>
  <c r="D27" i="280" s="1"/>
  <c r="D28" i="280" s="1"/>
  <c r="D29" i="280" s="1"/>
  <c r="D30" i="280" s="1"/>
  <c r="D31" i="280" s="1"/>
  <c r="D32" i="280" s="1"/>
  <c r="D33" i="280" s="1"/>
  <c r="D34" i="280" s="1"/>
  <c r="D35" i="280" s="1"/>
  <c r="D36" i="280" s="1"/>
  <c r="D37" i="280" s="1"/>
  <c r="D38" i="280" s="1"/>
  <c r="D39" i="280" s="1"/>
  <c r="D40" i="280" s="1"/>
  <c r="D41" i="280" s="1"/>
  <c r="D42" i="280" s="1"/>
  <c r="D43" i="280" s="1"/>
  <c r="D44" i="280" s="1"/>
  <c r="D45" i="280" s="1"/>
  <c r="D46" i="280" s="1"/>
  <c r="D47" i="280" s="1"/>
  <c r="D48" i="280" s="1"/>
  <c r="D49" i="280" s="1"/>
  <c r="D50" i="280" s="1"/>
  <c r="D51" i="280" s="1"/>
  <c r="D52" i="280" s="1"/>
  <c r="D53" i="280" s="1"/>
  <c r="D54" i="280" s="1"/>
  <c r="D55" i="280" s="1"/>
  <c r="D56" i="280" s="1"/>
  <c r="B9" i="280"/>
  <c r="B13" i="280"/>
  <c r="B4" i="280"/>
  <c r="L34" i="280"/>
  <c r="L33" i="280" s="1"/>
  <c r="L32" i="280" s="1"/>
  <c r="L31" i="280" s="1"/>
  <c r="L30" i="280" s="1"/>
  <c r="L29" i="280" s="1"/>
  <c r="L28" i="280" s="1"/>
  <c r="L27" i="280" s="1"/>
  <c r="L26" i="280" s="1"/>
  <c r="L25" i="280" s="1"/>
  <c r="L24" i="280" s="1"/>
  <c r="L23" i="280" s="1"/>
  <c r="H23" i="280"/>
  <c r="H27" i="280" s="1"/>
  <c r="H31" i="280" s="1"/>
  <c r="H35" i="280" s="1"/>
  <c r="H39" i="280" s="1"/>
  <c r="H43" i="280" s="1"/>
  <c r="H47" i="280" s="1"/>
  <c r="H51" i="280" s="1"/>
  <c r="H55" i="280" s="1"/>
  <c r="H59" i="280" s="1"/>
  <c r="H63" i="280" s="1"/>
  <c r="H67" i="280" s="1"/>
  <c r="H71" i="280" s="1"/>
  <c r="H75" i="280" s="1"/>
  <c r="H79" i="280" s="1"/>
  <c r="H83" i="280" s="1"/>
  <c r="H87" i="280" s="1"/>
  <c r="H91" i="280" s="1"/>
  <c r="H95" i="280" s="1"/>
  <c r="H99" i="280" s="1"/>
  <c r="H103" i="280" s="1"/>
  <c r="H107" i="280" s="1"/>
  <c r="H111" i="280" s="1"/>
  <c r="H115" i="280" s="1"/>
  <c r="H119" i="280" s="1"/>
  <c r="H26" i="280"/>
  <c r="H30" i="280" s="1"/>
  <c r="H34" i="280" s="1"/>
  <c r="H38" i="280" s="1"/>
  <c r="H42" i="280" s="1"/>
  <c r="H46" i="280" s="1"/>
  <c r="H50" i="280" s="1"/>
  <c r="H54" i="280" s="1"/>
  <c r="H58" i="280" s="1"/>
  <c r="H62" i="280" s="1"/>
  <c r="H66" i="280" s="1"/>
  <c r="H70" i="280" s="1"/>
  <c r="H74" i="280" s="1"/>
  <c r="H78" i="280" s="1"/>
  <c r="H82" i="280" s="1"/>
  <c r="H86" i="280" s="1"/>
  <c r="H90" i="280" s="1"/>
  <c r="H94" i="280" s="1"/>
  <c r="H98" i="280" s="1"/>
  <c r="H102" i="280" s="1"/>
  <c r="H106" i="280" s="1"/>
  <c r="H110" i="280" s="1"/>
  <c r="H114" i="280" s="1"/>
  <c r="H118" i="280" s="1"/>
  <c r="H122" i="280" s="1"/>
  <c r="C35" i="280"/>
  <c r="H25" i="280"/>
  <c r="H29" i="280" s="1"/>
  <c r="H33" i="280" s="1"/>
  <c r="H37" i="280" s="1"/>
  <c r="H41" i="280" s="1"/>
  <c r="H45" i="280" s="1"/>
  <c r="H49" i="280" s="1"/>
  <c r="H53" i="280" s="1"/>
  <c r="H57" i="280" s="1"/>
  <c r="H61" i="280" s="1"/>
  <c r="H65" i="280" s="1"/>
  <c r="H69" i="280" s="1"/>
  <c r="H73" i="280" s="1"/>
  <c r="H77" i="280" s="1"/>
  <c r="H81" i="280" s="1"/>
  <c r="H85" i="280" s="1"/>
  <c r="H89" i="280" s="1"/>
  <c r="H93" i="280" s="1"/>
  <c r="H97" i="280" s="1"/>
  <c r="H101" i="280" s="1"/>
  <c r="H105" i="280" s="1"/>
  <c r="H109" i="280" s="1"/>
  <c r="H113" i="280" s="1"/>
  <c r="H117" i="280" s="1"/>
  <c r="H121" i="280" s="1"/>
  <c r="B13" i="279"/>
  <c r="B12" i="279"/>
  <c r="B4" i="279"/>
  <c r="B9" i="279"/>
  <c r="B6" i="279"/>
  <c r="B10" i="279"/>
  <c r="B5" i="278"/>
  <c r="B4" i="278" s="1"/>
  <c r="B3" i="278" s="1"/>
  <c r="D57" i="280" l="1"/>
  <c r="D58" i="280" s="1"/>
  <c r="B35" i="280"/>
  <c r="C34" i="280"/>
  <c r="B34" i="280" s="1"/>
  <c r="B43" i="280" l="1"/>
  <c r="C33" i="280"/>
  <c r="B33" i="280" s="1"/>
  <c r="B47" i="280"/>
  <c r="B54" i="280"/>
  <c r="B38" i="280"/>
  <c r="B41" i="280"/>
  <c r="B57" i="280"/>
  <c r="D59" i="280"/>
  <c r="D60" i="280" s="1"/>
  <c r="D61" i="280" s="1"/>
  <c r="B58" i="280"/>
  <c r="B37" i="280"/>
  <c r="B39" i="280"/>
  <c r="B56" i="280"/>
  <c r="B53" i="280"/>
  <c r="B50" i="280"/>
  <c r="B52" i="280"/>
  <c r="B48" i="280"/>
  <c r="B45" i="280"/>
  <c r="B42" i="280"/>
  <c r="B55" i="280"/>
  <c r="B44" i="280"/>
  <c r="B51" i="280"/>
  <c r="B40" i="280"/>
  <c r="B36" i="280"/>
  <c r="B46" i="280"/>
  <c r="B49" i="280"/>
  <c r="C32" i="280"/>
  <c r="B32" i="280" s="1"/>
  <c r="D62" i="280" l="1"/>
  <c r="B61" i="280"/>
  <c r="B60" i="280"/>
  <c r="B59" i="280"/>
  <c r="C31" i="280"/>
  <c r="B31" i="280" s="1"/>
  <c r="D63" i="280" l="1"/>
  <c r="B62" i="280"/>
  <c r="C30" i="280"/>
  <c r="B30" i="280" s="1"/>
  <c r="D64" i="280" l="1"/>
  <c r="B63" i="280"/>
  <c r="C29" i="280"/>
  <c r="B29" i="280" s="1"/>
  <c r="D65" i="280" l="1"/>
  <c r="B64" i="280"/>
  <c r="C28" i="280"/>
  <c r="B28" i="280" s="1"/>
  <c r="D66" i="280" l="1"/>
  <c r="B65" i="280"/>
  <c r="C27" i="280"/>
  <c r="B27" i="280" s="1"/>
  <c r="D67" i="280" l="1"/>
  <c r="B66" i="280"/>
  <c r="C26" i="280"/>
  <c r="B26" i="280" s="1"/>
  <c r="D68" i="280" l="1"/>
  <c r="B67" i="280"/>
  <c r="C25" i="280"/>
  <c r="B25" i="280" s="1"/>
  <c r="D69" i="280" l="1"/>
  <c r="B68" i="280"/>
  <c r="C24" i="280"/>
  <c r="B24" i="280" s="1"/>
  <c r="D70" i="280" l="1"/>
  <c r="B69" i="280"/>
  <c r="C23" i="280"/>
  <c r="B23" i="280" s="1"/>
  <c r="D71" i="280" l="1"/>
  <c r="B70" i="280"/>
  <c r="D72" i="280" l="1"/>
  <c r="B71" i="280"/>
  <c r="D73" i="280" l="1"/>
  <c r="B72" i="280"/>
  <c r="D74" i="280" l="1"/>
  <c r="B73" i="280"/>
  <c r="D75" i="280" l="1"/>
  <c r="B74" i="280"/>
  <c r="D76" i="280" l="1"/>
  <c r="B75" i="280"/>
  <c r="D77" i="280" l="1"/>
  <c r="B76" i="280"/>
  <c r="D78" i="280" l="1"/>
  <c r="B77" i="280"/>
  <c r="D80" i="280" l="1"/>
  <c r="B78" i="280"/>
  <c r="D79" i="280" l="1"/>
  <c r="B79" i="280" s="1"/>
  <c r="D81" i="280"/>
  <c r="B80" i="280"/>
  <c r="D82" i="280" l="1"/>
  <c r="B81" i="280"/>
  <c r="D83" i="280" l="1"/>
  <c r="B82" i="280"/>
  <c r="B83" i="280" l="1"/>
  <c r="D84" i="280"/>
  <c r="B84" i="280" l="1"/>
  <c r="D85" i="280"/>
  <c r="D86" i="280" l="1"/>
  <c r="B85" i="280"/>
  <c r="B86" i="280" l="1"/>
  <c r="D87" i="280"/>
  <c r="B87" i="280" l="1"/>
  <c r="D88" i="280"/>
  <c r="D89" i="280" l="1"/>
  <c r="B88" i="280"/>
  <c r="D90" i="280" l="1"/>
  <c r="B89" i="280"/>
  <c r="D91" i="280" l="1"/>
  <c r="B90" i="280"/>
  <c r="B91" i="280" l="1"/>
  <c r="D92" i="280"/>
  <c r="D93" i="280" l="1"/>
  <c r="B92" i="280"/>
  <c r="B93" i="280" l="1"/>
  <c r="D94" i="280"/>
  <c r="D95" i="280" l="1"/>
  <c r="B94" i="280"/>
  <c r="D96" i="280" l="1"/>
  <c r="B95" i="280"/>
  <c r="B111" i="280" l="1"/>
  <c r="B121" i="280"/>
  <c r="B119" i="280"/>
  <c r="B118" i="280"/>
  <c r="B96" i="280"/>
  <c r="B117" i="280"/>
  <c r="B113" i="280"/>
  <c r="B122" i="280"/>
  <c r="B120" i="280"/>
  <c r="B112" i="280"/>
  <c r="B114" i="280"/>
  <c r="B116" i="280"/>
  <c r="B110" i="280"/>
  <c r="B115" i="280"/>
  <c r="B106" i="280" l="1"/>
  <c r="B104" i="280"/>
  <c r="B105" i="280"/>
  <c r="B101" i="280"/>
  <c r="B107" i="280"/>
  <c r="B108" i="280"/>
  <c r="B109" i="280"/>
  <c r="B103" i="280"/>
  <c r="B100" i="280"/>
  <c r="B102" i="280"/>
  <c r="B98" i="280"/>
  <c r="B99" i="280"/>
  <c r="B97" i="280"/>
  <c r="B77" i="275" l="1"/>
  <c r="B78" i="275"/>
  <c r="B79" i="275"/>
  <c r="B80" i="275"/>
  <c r="B81" i="275"/>
  <c r="B82" i="275"/>
  <c r="B83" i="275"/>
  <c r="B84" i="275"/>
  <c r="B85" i="275"/>
  <c r="B86" i="275"/>
  <c r="B87" i="275"/>
  <c r="B91" i="275"/>
  <c r="B92" i="275"/>
  <c r="B93" i="275"/>
  <c r="B94" i="275"/>
  <c r="B95" i="275"/>
  <c r="B96" i="275"/>
  <c r="B97" i="275"/>
  <c r="B98" i="275"/>
  <c r="B99" i="275"/>
  <c r="B100" i="275"/>
  <c r="B101" i="275"/>
  <c r="BE94" i="196"/>
  <c r="BE95" i="196"/>
  <c r="BE96" i="196"/>
  <c r="BE97" i="196"/>
  <c r="BE98" i="196"/>
  <c r="BE99" i="196"/>
  <c r="BE100" i="196"/>
  <c r="BE101" i="196"/>
  <c r="BE102" i="196"/>
  <c r="BE103" i="196"/>
  <c r="BE104" i="196"/>
  <c r="BE105" i="196"/>
  <c r="BE106" i="196"/>
  <c r="BE107" i="196"/>
  <c r="BE108" i="196"/>
  <c r="BE109" i="196"/>
  <c r="BE110" i="196"/>
  <c r="BE111" i="196"/>
  <c r="BE112" i="196"/>
  <c r="BE113" i="196"/>
  <c r="BE114" i="196"/>
  <c r="BE115" i="196"/>
  <c r="BE116" i="196"/>
  <c r="BE117" i="196"/>
  <c r="BE118" i="196"/>
  <c r="BE119" i="196"/>
  <c r="BE120" i="196"/>
  <c r="BE121" i="196"/>
  <c r="BE122" i="196"/>
  <c r="BE123" i="196"/>
  <c r="E1" i="261" l="1"/>
  <c r="L21" i="258" l="1"/>
  <c r="M21" i="258" s="1"/>
  <c r="L20" i="257"/>
  <c r="M20" i="257" s="1"/>
  <c r="V23" i="249"/>
  <c r="V24" i="249" s="1"/>
  <c r="V22" i="249"/>
  <c r="V21" i="249"/>
  <c r="V20" i="249"/>
  <c r="V19" i="249"/>
  <c r="V18" i="249"/>
  <c r="V17" i="249"/>
  <c r="V16" i="249"/>
  <c r="V15" i="249"/>
  <c r="V14" i="249"/>
  <c r="V13" i="249"/>
  <c r="V12" i="249"/>
  <c r="V11" i="249"/>
  <c r="V10" i="249"/>
  <c r="V9" i="249"/>
  <c r="V8" i="249"/>
  <c r="V7" i="249"/>
  <c r="V6" i="249"/>
  <c r="V5" i="249"/>
  <c r="V4" i="249"/>
  <c r="V3" i="249"/>
  <c r="U3" i="249"/>
  <c r="U4" i="249"/>
  <c r="U5" i="249"/>
  <c r="U6" i="249"/>
  <c r="I4" i="261"/>
  <c r="I5" i="261"/>
  <c r="I6" i="261"/>
  <c r="I7" i="261"/>
  <c r="I8" i="261"/>
  <c r="I9" i="261"/>
  <c r="I10" i="261"/>
  <c r="I11" i="261"/>
  <c r="I12" i="261"/>
  <c r="I13" i="261"/>
  <c r="I14" i="261"/>
  <c r="I15" i="261"/>
  <c r="I16" i="261"/>
  <c r="I17" i="261"/>
  <c r="I18" i="261"/>
  <c r="I19" i="261"/>
  <c r="I20" i="261"/>
  <c r="I21" i="261"/>
  <c r="I22" i="261"/>
  <c r="I23" i="261"/>
  <c r="I24" i="261"/>
  <c r="I25" i="261"/>
  <c r="I26" i="261"/>
  <c r="I3" i="261"/>
  <c r="AF4" i="249"/>
  <c r="AF5" i="249"/>
  <c r="AF6" i="249"/>
  <c r="AF7" i="249"/>
  <c r="AF8" i="249"/>
  <c r="AF9" i="249"/>
  <c r="AF10" i="249"/>
  <c r="AF11" i="249"/>
  <c r="AF12" i="249"/>
  <c r="AF13" i="249"/>
  <c r="AF14" i="249"/>
  <c r="AF15" i="249"/>
  <c r="AF16" i="249"/>
  <c r="AF17" i="249"/>
  <c r="AF18" i="249"/>
  <c r="AF19" i="249"/>
  <c r="AF20" i="249"/>
  <c r="AF21" i="249"/>
  <c r="AF22" i="249"/>
  <c r="AF23" i="249"/>
  <c r="AF24" i="249"/>
  <c r="AF25" i="249"/>
  <c r="AF26" i="249"/>
  <c r="AF27" i="249" s="1"/>
  <c r="AF3" i="249"/>
  <c r="D40" i="268"/>
  <c r="D39" i="268"/>
  <c r="D38" i="268"/>
  <c r="D37" i="268"/>
  <c r="AF29" i="249" s="1"/>
  <c r="D36" i="268"/>
  <c r="AF30" i="249" s="1"/>
  <c r="D35" i="268"/>
  <c r="D34" i="268"/>
  <c r="AF32" i="249" s="1"/>
  <c r="D33" i="268"/>
  <c r="D32" i="268"/>
  <c r="D31" i="268"/>
  <c r="D30" i="268"/>
  <c r="AE4" i="249"/>
  <c r="AE5" i="249"/>
  <c r="AE6" i="249"/>
  <c r="AE7" i="249"/>
  <c r="AE8" i="249"/>
  <c r="AE9" i="249"/>
  <c r="AE10" i="249"/>
  <c r="AE11" i="249"/>
  <c r="AE12" i="249"/>
  <c r="AE13" i="249"/>
  <c r="AE14" i="249"/>
  <c r="AE15" i="249"/>
  <c r="AE16" i="249"/>
  <c r="AE17" i="249"/>
  <c r="AE18" i="249"/>
  <c r="AE19" i="249"/>
  <c r="AE20" i="249"/>
  <c r="AE21" i="249"/>
  <c r="AE22" i="249"/>
  <c r="AE23" i="249"/>
  <c r="AE24" i="249"/>
  <c r="AE25" i="249"/>
  <c r="AE26" i="249"/>
  <c r="AE3" i="249"/>
  <c r="AD3" i="249"/>
  <c r="B53" i="267"/>
  <c r="B52" i="267"/>
  <c r="B51" i="267"/>
  <c r="B50" i="267"/>
  <c r="B49" i="267"/>
  <c r="B48" i="267"/>
  <c r="B47" i="267"/>
  <c r="B46" i="267"/>
  <c r="B45" i="267"/>
  <c r="B44" i="267"/>
  <c r="B43" i="267"/>
  <c r="B39" i="267"/>
  <c r="B38" i="267"/>
  <c r="B37" i="267"/>
  <c r="B36" i="267"/>
  <c r="B35" i="267"/>
  <c r="B34" i="267"/>
  <c r="B33" i="267"/>
  <c r="B32" i="267"/>
  <c r="B31" i="267"/>
  <c r="B30" i="267"/>
  <c r="B29" i="267"/>
  <c r="X4" i="248"/>
  <c r="X5" i="248"/>
  <c r="X6" i="248"/>
  <c r="X7" i="248"/>
  <c r="X8" i="248"/>
  <c r="X9" i="248"/>
  <c r="X10" i="248"/>
  <c r="X11" i="248"/>
  <c r="X12" i="248"/>
  <c r="X13" i="248"/>
  <c r="X14" i="248"/>
  <c r="X15" i="248"/>
  <c r="X16" i="248"/>
  <c r="X17" i="248"/>
  <c r="X18" i="248"/>
  <c r="X19" i="248"/>
  <c r="X20" i="248"/>
  <c r="X21" i="248"/>
  <c r="X22" i="248"/>
  <c r="X23" i="248"/>
  <c r="X24" i="248"/>
  <c r="X25" i="248"/>
  <c r="X26" i="248"/>
  <c r="X27" i="248"/>
  <c r="X28" i="248"/>
  <c r="X29" i="248"/>
  <c r="X30" i="248"/>
  <c r="X31" i="248"/>
  <c r="X32" i="248"/>
  <c r="X33" i="248"/>
  <c r="X34" i="248"/>
  <c r="X35" i="248"/>
  <c r="X36" i="248"/>
  <c r="X37" i="248"/>
  <c r="X38" i="248"/>
  <c r="X39" i="248"/>
  <c r="X40" i="248"/>
  <c r="X41" i="248"/>
  <c r="X42" i="248"/>
  <c r="X43" i="248"/>
  <c r="X44" i="248"/>
  <c r="X45" i="248"/>
  <c r="X46" i="248"/>
  <c r="X47" i="248"/>
  <c r="X48" i="248"/>
  <c r="X49" i="248"/>
  <c r="X50" i="248"/>
  <c r="X51" i="248"/>
  <c r="X52" i="248"/>
  <c r="X53" i="248"/>
  <c r="X54" i="248"/>
  <c r="X55" i="248"/>
  <c r="X56" i="248"/>
  <c r="X57" i="248"/>
  <c r="X58" i="248"/>
  <c r="X59" i="248"/>
  <c r="X60" i="248"/>
  <c r="X61" i="248"/>
  <c r="X62" i="248"/>
  <c r="X63" i="248"/>
  <c r="X64" i="248"/>
  <c r="X65" i="248"/>
  <c r="X66" i="248"/>
  <c r="X67" i="248"/>
  <c r="X68" i="248"/>
  <c r="X69" i="248"/>
  <c r="X70" i="248"/>
  <c r="X71" i="248"/>
  <c r="X72" i="248"/>
  <c r="X73" i="248"/>
  <c r="X74" i="248"/>
  <c r="X75" i="248"/>
  <c r="X76" i="248"/>
  <c r="X77" i="248"/>
  <c r="X78" i="248"/>
  <c r="X79" i="248"/>
  <c r="X80" i="248"/>
  <c r="X81" i="248"/>
  <c r="X82" i="248"/>
  <c r="X83" i="248"/>
  <c r="X84" i="248"/>
  <c r="X85" i="248"/>
  <c r="X86" i="248"/>
  <c r="X87" i="248"/>
  <c r="X88" i="248"/>
  <c r="X89" i="248"/>
  <c r="X90" i="248"/>
  <c r="X91" i="248"/>
  <c r="X92" i="248"/>
  <c r="X93" i="248"/>
  <c r="X94" i="248"/>
  <c r="X95" i="248"/>
  <c r="X96" i="248"/>
  <c r="X97" i="248"/>
  <c r="X98" i="248"/>
  <c r="X99" i="248"/>
  <c r="X100" i="248"/>
  <c r="X101" i="248"/>
  <c r="X102" i="248"/>
  <c r="X103" i="248"/>
  <c r="X104" i="248"/>
  <c r="X105" i="248"/>
  <c r="X106" i="248"/>
  <c r="X107" i="248"/>
  <c r="X108" i="248"/>
  <c r="X109" i="248"/>
  <c r="X110" i="248"/>
  <c r="X111" i="248"/>
  <c r="X112" i="248"/>
  <c r="X113" i="248"/>
  <c r="X114" i="248"/>
  <c r="X115" i="248"/>
  <c r="X116" i="248"/>
  <c r="X117" i="248"/>
  <c r="X118" i="248"/>
  <c r="X119" i="248"/>
  <c r="X120" i="248"/>
  <c r="X121" i="248"/>
  <c r="X122" i="248"/>
  <c r="X123" i="248"/>
  <c r="X3" i="248"/>
  <c r="X4" i="249"/>
  <c r="X5" i="249"/>
  <c r="X6" i="249"/>
  <c r="X7" i="249"/>
  <c r="X8" i="249"/>
  <c r="X9" i="249"/>
  <c r="X10" i="249"/>
  <c r="X11" i="249"/>
  <c r="X12" i="249"/>
  <c r="X13" i="249"/>
  <c r="X14" i="249"/>
  <c r="X15" i="249"/>
  <c r="X16" i="249"/>
  <c r="X17" i="249"/>
  <c r="X18" i="249"/>
  <c r="X19" i="249"/>
  <c r="X20" i="249"/>
  <c r="X21" i="249"/>
  <c r="X22" i="249"/>
  <c r="X23" i="249"/>
  <c r="X24" i="249"/>
  <c r="X25" i="249"/>
  <c r="X26" i="249"/>
  <c r="X27" i="249"/>
  <c r="X28" i="249"/>
  <c r="X29" i="249"/>
  <c r="X30" i="249"/>
  <c r="X31" i="249"/>
  <c r="X32" i="249"/>
  <c r="X33" i="249"/>
  <c r="X34" i="249"/>
  <c r="X35" i="249"/>
  <c r="X36" i="249"/>
  <c r="X37" i="249"/>
  <c r="X38" i="249"/>
  <c r="X39" i="249"/>
  <c r="X40" i="249"/>
  <c r="X41" i="249"/>
  <c r="X42" i="249"/>
  <c r="X43" i="249"/>
  <c r="X44" i="249"/>
  <c r="X45" i="249"/>
  <c r="X46" i="249"/>
  <c r="X47" i="249"/>
  <c r="X48" i="249"/>
  <c r="X49" i="249"/>
  <c r="X50" i="249"/>
  <c r="X51" i="249"/>
  <c r="X52" i="249"/>
  <c r="X53" i="249"/>
  <c r="X54" i="249"/>
  <c r="X55" i="249"/>
  <c r="X56" i="249"/>
  <c r="X57" i="249"/>
  <c r="X58" i="249"/>
  <c r="X59" i="249"/>
  <c r="X60" i="249"/>
  <c r="X61" i="249"/>
  <c r="X62" i="249"/>
  <c r="X63" i="249"/>
  <c r="X64" i="249"/>
  <c r="X3" i="249"/>
  <c r="AE35" i="249" l="1"/>
  <c r="AE27" i="249"/>
  <c r="AE34" i="249"/>
  <c r="AE33" i="249"/>
  <c r="AF35" i="249"/>
  <c r="AF31" i="249"/>
  <c r="AF36" i="249"/>
  <c r="AF28" i="249"/>
  <c r="AF34" i="249"/>
  <c r="AF33" i="249"/>
  <c r="AE31" i="249"/>
  <c r="AE30" i="249"/>
  <c r="AE29" i="249"/>
  <c r="AE36" i="249"/>
  <c r="AE41" i="249" s="1"/>
  <c r="AE28" i="249"/>
  <c r="AE32" i="249"/>
  <c r="T37" i="249"/>
  <c r="T36" i="249"/>
  <c r="T35" i="249"/>
  <c r="T34" i="249"/>
  <c r="T33" i="249"/>
  <c r="T32" i="249"/>
  <c r="T31" i="249"/>
  <c r="T30" i="249"/>
  <c r="T29" i="249"/>
  <c r="T28" i="249"/>
  <c r="T27" i="249"/>
  <c r="T26" i="249"/>
  <c r="T25" i="249"/>
  <c r="T24" i="249"/>
  <c r="T23" i="249"/>
  <c r="T22" i="249"/>
  <c r="T21" i="249"/>
  <c r="T20" i="249"/>
  <c r="T19" i="249"/>
  <c r="T18" i="249"/>
  <c r="T17" i="249"/>
  <c r="T16" i="249"/>
  <c r="T15" i="249"/>
  <c r="T14" i="249"/>
  <c r="T13" i="249"/>
  <c r="T12" i="249"/>
  <c r="T11" i="249"/>
  <c r="T10" i="249"/>
  <c r="T9" i="249"/>
  <c r="T8" i="249"/>
  <c r="T7" i="249"/>
  <c r="T6" i="249"/>
  <c r="T5" i="249"/>
  <c r="T4" i="249"/>
  <c r="T3" i="249"/>
  <c r="B54" i="259"/>
  <c r="B55" i="259"/>
  <c r="B56" i="259"/>
  <c r="B57" i="259"/>
  <c r="B58" i="259"/>
  <c r="B59" i="259"/>
  <c r="B60" i="259"/>
  <c r="B61" i="259"/>
  <c r="B62" i="259"/>
  <c r="B63" i="259"/>
  <c r="B64" i="259"/>
  <c r="AA14" i="249"/>
  <c r="AA20" i="249" s="1"/>
  <c r="AA13" i="249"/>
  <c r="AA12" i="249"/>
  <c r="AA11" i="249"/>
  <c r="AA10" i="249"/>
  <c r="AA9" i="249"/>
  <c r="AA8" i="249"/>
  <c r="AA7" i="249"/>
  <c r="AA6" i="249"/>
  <c r="AA5" i="249"/>
  <c r="AA4" i="249"/>
  <c r="AA3" i="249"/>
  <c r="Z14" i="249"/>
  <c r="Z13" i="249"/>
  <c r="Z12" i="249"/>
  <c r="Z11" i="249"/>
  <c r="Z10" i="249"/>
  <c r="Z9" i="249"/>
  <c r="Z8" i="249"/>
  <c r="Z7" i="249"/>
  <c r="Z6" i="249"/>
  <c r="Z5" i="249"/>
  <c r="Z4" i="249"/>
  <c r="Z3" i="249"/>
  <c r="C51" i="261"/>
  <c r="C50" i="261"/>
  <c r="C49" i="261"/>
  <c r="C48" i="261"/>
  <c r="C47" i="261"/>
  <c r="C46" i="261"/>
  <c r="C45" i="261"/>
  <c r="C44" i="261"/>
  <c r="C43" i="261"/>
  <c r="C42" i="261"/>
  <c r="C41" i="261"/>
  <c r="C40" i="261"/>
  <c r="C39" i="261"/>
  <c r="C38" i="261"/>
  <c r="C37" i="261"/>
  <c r="C36" i="261"/>
  <c r="C35" i="261"/>
  <c r="C34" i="261"/>
  <c r="C33" i="261"/>
  <c r="C32" i="261"/>
  <c r="C31" i="261"/>
  <c r="C30" i="261"/>
  <c r="C29" i="261"/>
  <c r="C28" i="261"/>
  <c r="C27" i="261"/>
  <c r="C26" i="261"/>
  <c r="AE37" i="249" l="1"/>
  <c r="AE44" i="249"/>
  <c r="AE42" i="249"/>
  <c r="AE45" i="249"/>
  <c r="AE43" i="249"/>
  <c r="AE39" i="249"/>
  <c r="AE40" i="249"/>
  <c r="AE38" i="249"/>
  <c r="AE46" i="249"/>
  <c r="Z20" i="249"/>
  <c r="AA28" i="249"/>
  <c r="AA22" i="249"/>
  <c r="AA27" i="249"/>
  <c r="AA26" i="249"/>
  <c r="AA25" i="249"/>
  <c r="AA24" i="249"/>
  <c r="AA29" i="249"/>
  <c r="AA21" i="249"/>
  <c r="AA23" i="249"/>
  <c r="Z21" i="249"/>
  <c r="Z16" i="249"/>
  <c r="AA16" i="249"/>
  <c r="Z17" i="249"/>
  <c r="AA17" i="249"/>
  <c r="AA30" i="249"/>
  <c r="Z18" i="249"/>
  <c r="AA18" i="249"/>
  <c r="Z19" i="249"/>
  <c r="AA19" i="249"/>
  <c r="AA15" i="249"/>
  <c r="Z22" i="249"/>
  <c r="AB13" i="249" l="1"/>
  <c r="AB12" i="249"/>
  <c r="AB11" i="249"/>
  <c r="AB10" i="249"/>
  <c r="AB9" i="249"/>
  <c r="AB8" i="249"/>
  <c r="AB7" i="249"/>
  <c r="AB6" i="249"/>
  <c r="AB5" i="249"/>
  <c r="AB4" i="249"/>
  <c r="AB3" i="249"/>
  <c r="E11" i="261" l="1"/>
  <c r="V39" i="249"/>
  <c r="V27" i="249" l="1"/>
  <c r="V33" i="249"/>
  <c r="V35" i="249"/>
  <c r="V41" i="249"/>
  <c r="V40" i="249"/>
  <c r="V25" i="249"/>
  <c r="V43" i="249"/>
  <c r="V26" i="249"/>
  <c r="V32" i="249"/>
  <c r="V34" i="249"/>
  <c r="V42" i="249"/>
  <c r="V28" i="249"/>
  <c r="V36" i="249"/>
  <c r="V29" i="249"/>
  <c r="V37" i="249"/>
  <c r="V30" i="249"/>
  <c r="V38" i="249"/>
  <c r="V31" i="249"/>
  <c r="G156" i="261" l="1"/>
  <c r="G155" i="261"/>
  <c r="G154" i="261"/>
  <c r="G153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41" i="261"/>
  <c r="G140" i="261"/>
  <c r="G139" i="261"/>
  <c r="G138" i="261"/>
  <c r="G137" i="261"/>
  <c r="G136" i="261"/>
  <c r="G135" i="261"/>
  <c r="G134" i="261"/>
  <c r="G133" i="261"/>
  <c r="G132" i="261"/>
  <c r="G131" i="261"/>
  <c r="G130" i="261"/>
  <c r="G129" i="261"/>
  <c r="G128" i="261"/>
  <c r="G127" i="261"/>
  <c r="G126" i="261"/>
  <c r="G125" i="261"/>
  <c r="G124" i="261"/>
  <c r="G123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7" i="261"/>
  <c r="G96" i="261"/>
  <c r="G95" i="261"/>
  <c r="G94" i="261"/>
  <c r="B97" i="198"/>
  <c r="B96" i="198"/>
  <c r="B95" i="198"/>
  <c r="B94" i="198"/>
  <c r="B93" i="198"/>
  <c r="B92" i="198"/>
  <c r="B91" i="198"/>
  <c r="B90" i="198"/>
  <c r="B89" i="198"/>
  <c r="B88" i="198"/>
  <c r="B87" i="198"/>
  <c r="B84" i="198"/>
  <c r="B83" i="198"/>
  <c r="B82" i="198"/>
  <c r="B81" i="198"/>
  <c r="B80" i="198"/>
  <c r="B79" i="198"/>
  <c r="B78" i="198"/>
  <c r="B77" i="198"/>
  <c r="B76" i="198"/>
  <c r="B75" i="198"/>
  <c r="B74" i="198"/>
  <c r="B52" i="260"/>
  <c r="B51" i="260"/>
  <c r="B50" i="260"/>
  <c r="B49" i="260"/>
  <c r="B48" i="260"/>
  <c r="B47" i="260"/>
  <c r="B46" i="260"/>
  <c r="B45" i="260"/>
  <c r="B44" i="260"/>
  <c r="B43" i="260"/>
  <c r="B42" i="260"/>
  <c r="B65" i="252"/>
  <c r="AM4" i="248"/>
  <c r="AI4" i="248"/>
  <c r="AJ4" i="248"/>
  <c r="AT4" i="248"/>
  <c r="AU4" i="248"/>
  <c r="AV4" i="248"/>
  <c r="AM5" i="248"/>
  <c r="AI5" i="248"/>
  <c r="AJ5" i="248"/>
  <c r="AT5" i="248"/>
  <c r="AU5" i="248"/>
  <c r="AV5" i="248"/>
  <c r="AM6" i="248"/>
  <c r="AI6" i="248"/>
  <c r="AJ6" i="248"/>
  <c r="AT6" i="248"/>
  <c r="AU6" i="248"/>
  <c r="AV6" i="248"/>
  <c r="AM7" i="248"/>
  <c r="AI7" i="248"/>
  <c r="AJ7" i="248"/>
  <c r="AT7" i="248"/>
  <c r="AU7" i="248"/>
  <c r="AV7" i="248"/>
  <c r="AM8" i="248"/>
  <c r="AI8" i="248"/>
  <c r="AJ8" i="248"/>
  <c r="AT8" i="248"/>
  <c r="AU8" i="248"/>
  <c r="AV8" i="248"/>
  <c r="AM9" i="248"/>
  <c r="AI9" i="248"/>
  <c r="AJ9" i="248"/>
  <c r="AT9" i="248"/>
  <c r="AU9" i="248"/>
  <c r="AV9" i="248"/>
  <c r="AM10" i="248"/>
  <c r="AI10" i="248"/>
  <c r="AJ10" i="248"/>
  <c r="AT10" i="248"/>
  <c r="AU10" i="248"/>
  <c r="AV10" i="248"/>
  <c r="AM11" i="248"/>
  <c r="AI11" i="248"/>
  <c r="AJ11" i="248"/>
  <c r="AT11" i="248"/>
  <c r="AU11" i="248"/>
  <c r="AV11" i="248"/>
  <c r="AM12" i="248"/>
  <c r="AI12" i="248"/>
  <c r="AJ12" i="248"/>
  <c r="AT12" i="248"/>
  <c r="AU12" i="248"/>
  <c r="AV12" i="248"/>
  <c r="AM13" i="248"/>
  <c r="AI13" i="248"/>
  <c r="AJ13" i="248"/>
  <c r="AT13" i="248"/>
  <c r="AU13" i="248"/>
  <c r="AV13" i="248"/>
  <c r="AM14" i="248"/>
  <c r="AI14" i="248"/>
  <c r="AJ14" i="248"/>
  <c r="AT14" i="248"/>
  <c r="AU14" i="248"/>
  <c r="AV14" i="248"/>
  <c r="AM15" i="248"/>
  <c r="AI15" i="248"/>
  <c r="AJ15" i="248"/>
  <c r="AT15" i="248"/>
  <c r="AU15" i="248"/>
  <c r="AV15" i="248"/>
  <c r="AM16" i="248"/>
  <c r="AI16" i="248"/>
  <c r="AJ16" i="248"/>
  <c r="AT16" i="248"/>
  <c r="AU16" i="248"/>
  <c r="AV16" i="248"/>
  <c r="AM17" i="248"/>
  <c r="AI17" i="248"/>
  <c r="AJ17" i="248"/>
  <c r="AT17" i="248"/>
  <c r="AU17" i="248"/>
  <c r="AV17" i="248"/>
  <c r="AM18" i="248"/>
  <c r="AI18" i="248"/>
  <c r="AJ18" i="248"/>
  <c r="AT18" i="248"/>
  <c r="AU18" i="248"/>
  <c r="AV18" i="248"/>
  <c r="AM19" i="248"/>
  <c r="AI19" i="248"/>
  <c r="AJ19" i="248"/>
  <c r="AT19" i="248"/>
  <c r="AU19" i="248"/>
  <c r="AV19" i="248"/>
  <c r="AM20" i="248"/>
  <c r="AI20" i="248"/>
  <c r="AJ20" i="248"/>
  <c r="AT20" i="248"/>
  <c r="AU20" i="248"/>
  <c r="AV20" i="248"/>
  <c r="AM21" i="248"/>
  <c r="AI21" i="248"/>
  <c r="AJ21" i="248"/>
  <c r="AT21" i="248"/>
  <c r="AU21" i="248"/>
  <c r="AV21" i="248"/>
  <c r="AM22" i="248"/>
  <c r="AI22" i="248"/>
  <c r="AJ22" i="248"/>
  <c r="AT22" i="248"/>
  <c r="AU22" i="248"/>
  <c r="AV22" i="248"/>
  <c r="AM23" i="248"/>
  <c r="AI23" i="248"/>
  <c r="AJ23" i="248"/>
  <c r="AT23" i="248"/>
  <c r="AU23" i="248"/>
  <c r="AV23" i="248"/>
  <c r="AM24" i="248"/>
  <c r="AI24" i="248"/>
  <c r="AJ24" i="248"/>
  <c r="AT24" i="248"/>
  <c r="AU24" i="248"/>
  <c r="AV24" i="248"/>
  <c r="AM25" i="248"/>
  <c r="AI25" i="248"/>
  <c r="AJ25" i="248"/>
  <c r="AT25" i="248"/>
  <c r="AU25" i="248"/>
  <c r="AV25" i="248"/>
  <c r="AM26" i="248"/>
  <c r="AI26" i="248"/>
  <c r="AJ26" i="248"/>
  <c r="AT26" i="248"/>
  <c r="AU26" i="248"/>
  <c r="AV26" i="248"/>
  <c r="AM27" i="248"/>
  <c r="AI27" i="248"/>
  <c r="AJ27" i="248"/>
  <c r="AT27" i="248"/>
  <c r="AU27" i="248"/>
  <c r="AV27" i="248"/>
  <c r="AM28" i="248"/>
  <c r="AR28" i="248"/>
  <c r="AS28" i="248"/>
  <c r="AI28" i="248"/>
  <c r="AJ28" i="248"/>
  <c r="AT28" i="248"/>
  <c r="AU28" i="248"/>
  <c r="AV28" i="248"/>
  <c r="AM29" i="248"/>
  <c r="AR29" i="248"/>
  <c r="AS29" i="248"/>
  <c r="AI29" i="248"/>
  <c r="AJ29" i="248"/>
  <c r="AT29" i="248"/>
  <c r="AU29" i="248"/>
  <c r="AV29" i="248"/>
  <c r="AM30" i="248"/>
  <c r="AR30" i="248"/>
  <c r="AS30" i="248"/>
  <c r="AI30" i="248"/>
  <c r="AJ30" i="248"/>
  <c r="AT30" i="248"/>
  <c r="AU30" i="248"/>
  <c r="AV30" i="248"/>
  <c r="AM31" i="248"/>
  <c r="AR31" i="248"/>
  <c r="AS31" i="248"/>
  <c r="AI31" i="248"/>
  <c r="AJ31" i="248"/>
  <c r="AT31" i="248"/>
  <c r="AU31" i="248"/>
  <c r="AV31" i="248"/>
  <c r="AM32" i="248"/>
  <c r="AR32" i="248"/>
  <c r="AS32" i="248"/>
  <c r="AI32" i="248"/>
  <c r="AJ32" i="248"/>
  <c r="AT32" i="248"/>
  <c r="AU32" i="248"/>
  <c r="AV32" i="248"/>
  <c r="AM33" i="248"/>
  <c r="AR33" i="248"/>
  <c r="AS33" i="248"/>
  <c r="AI33" i="248"/>
  <c r="AJ33" i="248"/>
  <c r="AT33" i="248"/>
  <c r="AU33" i="248"/>
  <c r="AV33" i="248"/>
  <c r="AM34" i="248"/>
  <c r="AR34" i="248"/>
  <c r="AS34" i="248"/>
  <c r="AI34" i="248"/>
  <c r="AJ34" i="248"/>
  <c r="AT34" i="248"/>
  <c r="AU34" i="248"/>
  <c r="AV34" i="248"/>
  <c r="AM35" i="248"/>
  <c r="AR35" i="248"/>
  <c r="AS35" i="248"/>
  <c r="AI35" i="248"/>
  <c r="AJ35" i="248"/>
  <c r="AT35" i="248"/>
  <c r="AU35" i="248"/>
  <c r="AV35" i="248"/>
  <c r="AM36" i="248"/>
  <c r="AR36" i="248"/>
  <c r="AS36" i="248"/>
  <c r="AI36" i="248"/>
  <c r="AJ36" i="248"/>
  <c r="AT36" i="248"/>
  <c r="AU36" i="248"/>
  <c r="AV36" i="248"/>
  <c r="AM37" i="248"/>
  <c r="AR37" i="248"/>
  <c r="AS37" i="248"/>
  <c r="AI37" i="248"/>
  <c r="AJ37" i="248"/>
  <c r="AT37" i="248"/>
  <c r="AU37" i="248"/>
  <c r="AV37" i="248"/>
  <c r="AM38" i="248"/>
  <c r="AR38" i="248"/>
  <c r="AS38" i="248"/>
  <c r="AI38" i="248"/>
  <c r="AJ38" i="248"/>
  <c r="AT38" i="248"/>
  <c r="AU38" i="248"/>
  <c r="AV38" i="248"/>
  <c r="AM39" i="248"/>
  <c r="AR39" i="248"/>
  <c r="AS39" i="248"/>
  <c r="AI39" i="248"/>
  <c r="AJ39" i="248"/>
  <c r="AT39" i="248"/>
  <c r="AU39" i="248"/>
  <c r="AV39" i="248"/>
  <c r="AM40" i="248"/>
  <c r="AR40" i="248"/>
  <c r="AS40" i="248"/>
  <c r="AI40" i="248"/>
  <c r="AJ40" i="248"/>
  <c r="AT40" i="248"/>
  <c r="AU40" i="248"/>
  <c r="AV40" i="248"/>
  <c r="AM41" i="248"/>
  <c r="AR41" i="248"/>
  <c r="AS41" i="248"/>
  <c r="AI41" i="248"/>
  <c r="AJ41" i="248"/>
  <c r="AT41" i="248"/>
  <c r="AU41" i="248"/>
  <c r="AV41" i="248"/>
  <c r="AM42" i="248"/>
  <c r="AR42" i="248"/>
  <c r="AS42" i="248"/>
  <c r="AI42" i="248"/>
  <c r="AJ42" i="248"/>
  <c r="AT42" i="248"/>
  <c r="AU42" i="248"/>
  <c r="AV42" i="248"/>
  <c r="AM43" i="248"/>
  <c r="AR43" i="248"/>
  <c r="AS43" i="248"/>
  <c r="AI43" i="248"/>
  <c r="AJ43" i="248"/>
  <c r="AT43" i="248"/>
  <c r="AU43" i="248"/>
  <c r="AV43" i="248"/>
  <c r="AM44" i="248"/>
  <c r="AR44" i="248"/>
  <c r="AS44" i="248"/>
  <c r="AI44" i="248"/>
  <c r="AJ44" i="248"/>
  <c r="AT44" i="248"/>
  <c r="AU44" i="248"/>
  <c r="AV44" i="248"/>
  <c r="AM45" i="248"/>
  <c r="AQ45" i="248"/>
  <c r="AR45" i="248"/>
  <c r="AS45" i="248"/>
  <c r="AI45" i="248"/>
  <c r="AJ45" i="248"/>
  <c r="AT45" i="248"/>
  <c r="AU45" i="248"/>
  <c r="AV45" i="248"/>
  <c r="AM46" i="248"/>
  <c r="AQ46" i="248"/>
  <c r="AR46" i="248"/>
  <c r="AS46" i="248"/>
  <c r="AI46" i="248"/>
  <c r="AJ46" i="248"/>
  <c r="AT46" i="248"/>
  <c r="AU46" i="248"/>
  <c r="AV46" i="248"/>
  <c r="AM47" i="248"/>
  <c r="AQ47" i="248"/>
  <c r="AR47" i="248"/>
  <c r="AS47" i="248"/>
  <c r="AI47" i="248"/>
  <c r="AJ47" i="248"/>
  <c r="AT47" i="248"/>
  <c r="AU47" i="248"/>
  <c r="AV47" i="248"/>
  <c r="AM48" i="248"/>
  <c r="AQ48" i="248"/>
  <c r="AR48" i="248"/>
  <c r="AS48" i="248"/>
  <c r="AI48" i="248"/>
  <c r="AJ48" i="248"/>
  <c r="AT48" i="248"/>
  <c r="AU48" i="248"/>
  <c r="AV48" i="248"/>
  <c r="AM49" i="248"/>
  <c r="AQ49" i="248"/>
  <c r="AR49" i="248"/>
  <c r="AS49" i="248"/>
  <c r="AI49" i="248"/>
  <c r="AJ49" i="248"/>
  <c r="AT49" i="248"/>
  <c r="AU49" i="248"/>
  <c r="AV49" i="248"/>
  <c r="AM50" i="248"/>
  <c r="AQ50" i="248"/>
  <c r="AR50" i="248"/>
  <c r="AS50" i="248"/>
  <c r="AI50" i="248"/>
  <c r="AJ50" i="248"/>
  <c r="AT50" i="248"/>
  <c r="AU50" i="248"/>
  <c r="AV50" i="248"/>
  <c r="AM51" i="248"/>
  <c r="AQ51" i="248"/>
  <c r="AR51" i="248"/>
  <c r="AS51" i="248"/>
  <c r="AI51" i="248"/>
  <c r="AJ51" i="248"/>
  <c r="AT51" i="248"/>
  <c r="AU51" i="248"/>
  <c r="AV51" i="248"/>
  <c r="AM52" i="248"/>
  <c r="AQ52" i="248"/>
  <c r="AR52" i="248"/>
  <c r="AS52" i="248"/>
  <c r="AI52" i="248"/>
  <c r="AJ52" i="248"/>
  <c r="AT52" i="248"/>
  <c r="AU52" i="248"/>
  <c r="AV52" i="248"/>
  <c r="AM53" i="248"/>
  <c r="AQ53" i="248"/>
  <c r="AR53" i="248"/>
  <c r="AS53" i="248"/>
  <c r="AI53" i="248"/>
  <c r="AJ53" i="248"/>
  <c r="AT53" i="248"/>
  <c r="AU53" i="248"/>
  <c r="AV53" i="248"/>
  <c r="AM54" i="248"/>
  <c r="AQ54" i="248"/>
  <c r="AR54" i="248"/>
  <c r="AS54" i="248"/>
  <c r="AI54" i="248"/>
  <c r="AJ54" i="248"/>
  <c r="AT54" i="248"/>
  <c r="AU54" i="248"/>
  <c r="AV54" i="248"/>
  <c r="AM55" i="248"/>
  <c r="AQ55" i="248"/>
  <c r="AR55" i="248"/>
  <c r="AS55" i="248"/>
  <c r="AI55" i="248"/>
  <c r="AJ55" i="248"/>
  <c r="AT55" i="248"/>
  <c r="AU55" i="248"/>
  <c r="AV55" i="248"/>
  <c r="AM56" i="248"/>
  <c r="AQ56" i="248"/>
  <c r="AR56" i="248"/>
  <c r="AS56" i="248"/>
  <c r="AI56" i="248"/>
  <c r="AJ56" i="248"/>
  <c r="AT56" i="248"/>
  <c r="AU56" i="248"/>
  <c r="AV56" i="248"/>
  <c r="AM57" i="248"/>
  <c r="AQ57" i="248"/>
  <c r="AR57" i="248"/>
  <c r="AS57" i="248"/>
  <c r="AI57" i="248"/>
  <c r="AJ57" i="248"/>
  <c r="AT57" i="248"/>
  <c r="AU57" i="248"/>
  <c r="AV57" i="248"/>
  <c r="AM58" i="248"/>
  <c r="AQ58" i="248"/>
  <c r="AR58" i="248"/>
  <c r="AS58" i="248"/>
  <c r="AI58" i="248"/>
  <c r="AJ58" i="248"/>
  <c r="AT58" i="248"/>
  <c r="AU58" i="248"/>
  <c r="AV58" i="248"/>
  <c r="AM59" i="248"/>
  <c r="AQ59" i="248"/>
  <c r="AR59" i="248"/>
  <c r="AS59" i="248"/>
  <c r="AI59" i="248"/>
  <c r="AJ59" i="248"/>
  <c r="AT59" i="248"/>
  <c r="AU59" i="248"/>
  <c r="AV59" i="248"/>
  <c r="AM60" i="248"/>
  <c r="AQ60" i="248"/>
  <c r="AR60" i="248"/>
  <c r="AS60" i="248"/>
  <c r="AI60" i="248"/>
  <c r="AJ60" i="248"/>
  <c r="AT60" i="248"/>
  <c r="AU60" i="248"/>
  <c r="AV60" i="248"/>
  <c r="AM61" i="248"/>
  <c r="AQ61" i="248"/>
  <c r="AR61" i="248"/>
  <c r="AS61" i="248"/>
  <c r="AI61" i="248"/>
  <c r="AJ61" i="248"/>
  <c r="AT61" i="248"/>
  <c r="AU61" i="248"/>
  <c r="AV61" i="248"/>
  <c r="AM62" i="248"/>
  <c r="AQ62" i="248"/>
  <c r="AR62" i="248"/>
  <c r="AS62" i="248"/>
  <c r="AI62" i="248"/>
  <c r="AJ62" i="248"/>
  <c r="AT62" i="248"/>
  <c r="AU62" i="248"/>
  <c r="AV62" i="248"/>
  <c r="AM63" i="248"/>
  <c r="AQ63" i="248"/>
  <c r="AR63" i="248"/>
  <c r="AS63" i="248"/>
  <c r="AI63" i="248"/>
  <c r="AJ63" i="248"/>
  <c r="AT63" i="248"/>
  <c r="AU63" i="248"/>
  <c r="AV63" i="248"/>
  <c r="AM64" i="248"/>
  <c r="AQ64" i="248"/>
  <c r="AR64" i="248"/>
  <c r="AS64" i="248"/>
  <c r="AI64" i="248"/>
  <c r="AJ64" i="248"/>
  <c r="AT64" i="248"/>
  <c r="AU64" i="248"/>
  <c r="AV64" i="248"/>
  <c r="AM65" i="248"/>
  <c r="AQ65" i="248"/>
  <c r="AR65" i="248"/>
  <c r="AS65" i="248"/>
  <c r="AI65" i="248"/>
  <c r="AJ65" i="248"/>
  <c r="AT65" i="248"/>
  <c r="AU65" i="248"/>
  <c r="AV65" i="248"/>
  <c r="AM66" i="248"/>
  <c r="AQ66" i="248"/>
  <c r="AR66" i="248"/>
  <c r="AS66" i="248"/>
  <c r="AI66" i="248"/>
  <c r="AJ66" i="248"/>
  <c r="AT66" i="248"/>
  <c r="AU66" i="248"/>
  <c r="AV66" i="248"/>
  <c r="AM67" i="248"/>
  <c r="AQ67" i="248"/>
  <c r="AR67" i="248"/>
  <c r="AS67" i="248"/>
  <c r="AI67" i="248"/>
  <c r="AJ67" i="248"/>
  <c r="AT67" i="248"/>
  <c r="AU67" i="248"/>
  <c r="AV67" i="248"/>
  <c r="AM68" i="248"/>
  <c r="AQ68" i="248"/>
  <c r="AR68" i="248"/>
  <c r="AS68" i="248"/>
  <c r="AI68" i="248"/>
  <c r="AJ68" i="248"/>
  <c r="AT68" i="248"/>
  <c r="AU68" i="248"/>
  <c r="AV68" i="248"/>
  <c r="AM69" i="248"/>
  <c r="AQ69" i="248"/>
  <c r="AR69" i="248"/>
  <c r="AS69" i="248"/>
  <c r="AI69" i="248"/>
  <c r="AJ69" i="248"/>
  <c r="AT69" i="248"/>
  <c r="AU69" i="248"/>
  <c r="AV69" i="248"/>
  <c r="AM70" i="248"/>
  <c r="AQ70" i="248"/>
  <c r="AR70" i="248"/>
  <c r="AS70" i="248"/>
  <c r="AI70" i="248"/>
  <c r="AJ70" i="248"/>
  <c r="AT70" i="248"/>
  <c r="AU70" i="248"/>
  <c r="AV70" i="248"/>
  <c r="AM71" i="248"/>
  <c r="AQ71" i="248"/>
  <c r="AR71" i="248"/>
  <c r="AS71" i="248"/>
  <c r="AI71" i="248"/>
  <c r="AJ71" i="248"/>
  <c r="AT71" i="248"/>
  <c r="AU71" i="248"/>
  <c r="AV71" i="248"/>
  <c r="AM72" i="248"/>
  <c r="AQ72" i="248"/>
  <c r="AR72" i="248"/>
  <c r="AS72" i="248"/>
  <c r="AI72" i="248"/>
  <c r="AJ72" i="248"/>
  <c r="AT72" i="248"/>
  <c r="AU72" i="248"/>
  <c r="AV72" i="248"/>
  <c r="AM73" i="248"/>
  <c r="AQ73" i="248"/>
  <c r="AR73" i="248"/>
  <c r="AS73" i="248"/>
  <c r="AI73" i="248"/>
  <c r="AJ73" i="248"/>
  <c r="AT73" i="248"/>
  <c r="AU73" i="248"/>
  <c r="AV73" i="248"/>
  <c r="AM74" i="248"/>
  <c r="AQ74" i="248"/>
  <c r="AR74" i="248"/>
  <c r="AS74" i="248"/>
  <c r="AI74" i="248"/>
  <c r="AJ74" i="248"/>
  <c r="AT74" i="248"/>
  <c r="AU74" i="248"/>
  <c r="AV74" i="248"/>
  <c r="AM75" i="248"/>
  <c r="AQ75" i="248"/>
  <c r="AR75" i="248"/>
  <c r="AS75" i="248"/>
  <c r="AI75" i="248"/>
  <c r="AJ75" i="248"/>
  <c r="AT75" i="248"/>
  <c r="AU75" i="248"/>
  <c r="AV75" i="248"/>
  <c r="AM76" i="248"/>
  <c r="AQ76" i="248"/>
  <c r="AR76" i="248"/>
  <c r="AS76" i="248"/>
  <c r="AI76" i="248"/>
  <c r="AJ76" i="248"/>
  <c r="AT76" i="248"/>
  <c r="AU76" i="248"/>
  <c r="AV76" i="248"/>
  <c r="AM77" i="248"/>
  <c r="AQ77" i="248"/>
  <c r="AR77" i="248"/>
  <c r="AS77" i="248"/>
  <c r="AI77" i="248"/>
  <c r="AJ77" i="248"/>
  <c r="AT77" i="248"/>
  <c r="AU77" i="248"/>
  <c r="AV77" i="248"/>
  <c r="AM78" i="248"/>
  <c r="AP78" i="248"/>
  <c r="AQ78" i="248"/>
  <c r="AR78" i="248"/>
  <c r="AS78" i="248"/>
  <c r="AI78" i="248"/>
  <c r="AJ78" i="248"/>
  <c r="AT78" i="248"/>
  <c r="AU78" i="248"/>
  <c r="AV78" i="248"/>
  <c r="AM79" i="248"/>
  <c r="AP79" i="248"/>
  <c r="AQ79" i="248"/>
  <c r="AR79" i="248"/>
  <c r="AS79" i="248"/>
  <c r="AI79" i="248"/>
  <c r="AJ79" i="248"/>
  <c r="AT79" i="248"/>
  <c r="AU79" i="248"/>
  <c r="AV79" i="248"/>
  <c r="AM80" i="248"/>
  <c r="AP80" i="248"/>
  <c r="AQ80" i="248"/>
  <c r="AR80" i="248"/>
  <c r="AS80" i="248"/>
  <c r="AI80" i="248"/>
  <c r="AJ80" i="248"/>
  <c r="AT80" i="248"/>
  <c r="AU80" i="248"/>
  <c r="AV80" i="248"/>
  <c r="AM81" i="248"/>
  <c r="AP81" i="248"/>
  <c r="AQ81" i="248"/>
  <c r="AR81" i="248"/>
  <c r="AS81" i="248"/>
  <c r="AI81" i="248"/>
  <c r="AJ81" i="248"/>
  <c r="AT81" i="248"/>
  <c r="AU81" i="248"/>
  <c r="AV81" i="248"/>
  <c r="AM82" i="248"/>
  <c r="AP82" i="248"/>
  <c r="AQ82" i="248"/>
  <c r="AR82" i="248"/>
  <c r="AS82" i="248"/>
  <c r="AI82" i="248"/>
  <c r="AJ82" i="248"/>
  <c r="AT82" i="248"/>
  <c r="AU82" i="248"/>
  <c r="AV82" i="248"/>
  <c r="AM83" i="248"/>
  <c r="AP83" i="248"/>
  <c r="AQ83" i="248"/>
  <c r="AR83" i="248"/>
  <c r="AS83" i="248"/>
  <c r="AI83" i="248"/>
  <c r="AJ83" i="248"/>
  <c r="AT83" i="248"/>
  <c r="AU83" i="248"/>
  <c r="AV83" i="248"/>
  <c r="AM84" i="248"/>
  <c r="AP84" i="248"/>
  <c r="AQ84" i="248"/>
  <c r="AR84" i="248"/>
  <c r="AS84" i="248"/>
  <c r="AI84" i="248"/>
  <c r="AJ84" i="248"/>
  <c r="AT84" i="248"/>
  <c r="AU84" i="248"/>
  <c r="AV84" i="248"/>
  <c r="AM85" i="248"/>
  <c r="AP85" i="248"/>
  <c r="AQ85" i="248"/>
  <c r="AR85" i="248"/>
  <c r="AS85" i="248"/>
  <c r="AI85" i="248"/>
  <c r="AJ85" i="248"/>
  <c r="AT85" i="248"/>
  <c r="AU85" i="248"/>
  <c r="AV85" i="248"/>
  <c r="AM86" i="248"/>
  <c r="AP86" i="248"/>
  <c r="AQ86" i="248"/>
  <c r="AR86" i="248"/>
  <c r="AS86" i="248"/>
  <c r="AI86" i="248"/>
  <c r="AJ86" i="248"/>
  <c r="AT86" i="248"/>
  <c r="AU86" i="248"/>
  <c r="AV86" i="248"/>
  <c r="AM87" i="248"/>
  <c r="AP87" i="248"/>
  <c r="AQ87" i="248"/>
  <c r="AR87" i="248"/>
  <c r="AS87" i="248"/>
  <c r="AI87" i="248"/>
  <c r="AJ87" i="248"/>
  <c r="AT87" i="248"/>
  <c r="AU87" i="248"/>
  <c r="AV87" i="248"/>
  <c r="AM88" i="248"/>
  <c r="AP88" i="248"/>
  <c r="AQ88" i="248"/>
  <c r="AR88" i="248"/>
  <c r="AS88" i="248"/>
  <c r="AI88" i="248"/>
  <c r="AJ88" i="248"/>
  <c r="AT88" i="248"/>
  <c r="AU88" i="248"/>
  <c r="AV88" i="248"/>
  <c r="AM89" i="248"/>
  <c r="AP89" i="248"/>
  <c r="AQ89" i="248"/>
  <c r="AR89" i="248"/>
  <c r="AS89" i="248"/>
  <c r="AI89" i="248"/>
  <c r="AJ89" i="248"/>
  <c r="AT89" i="248"/>
  <c r="AU89" i="248"/>
  <c r="AV89" i="248"/>
  <c r="AM90" i="248"/>
  <c r="AP90" i="248"/>
  <c r="AQ90" i="248"/>
  <c r="AR90" i="248"/>
  <c r="AS90" i="248"/>
  <c r="AI90" i="248"/>
  <c r="AJ90" i="248"/>
  <c r="AT90" i="248"/>
  <c r="AU90" i="248"/>
  <c r="AV90" i="248"/>
  <c r="AM91" i="248"/>
  <c r="AP91" i="248"/>
  <c r="AQ91" i="248"/>
  <c r="AR91" i="248"/>
  <c r="AS91" i="248"/>
  <c r="AI91" i="248"/>
  <c r="AJ91" i="248"/>
  <c r="AT91" i="248"/>
  <c r="AU91" i="248"/>
  <c r="AV91" i="248"/>
  <c r="AM92" i="248"/>
  <c r="AP92" i="248"/>
  <c r="AQ92" i="248"/>
  <c r="AR92" i="248"/>
  <c r="AS92" i="248"/>
  <c r="AI92" i="248"/>
  <c r="AJ92" i="248"/>
  <c r="AT92" i="248"/>
  <c r="AU92" i="248"/>
  <c r="AV92" i="248"/>
  <c r="AM93" i="248"/>
  <c r="AP93" i="248"/>
  <c r="AQ93" i="248"/>
  <c r="AR93" i="248"/>
  <c r="AS93" i="248"/>
  <c r="AI93" i="248"/>
  <c r="AJ93" i="248"/>
  <c r="AT93" i="248"/>
  <c r="AU93" i="248"/>
  <c r="AV93" i="248"/>
  <c r="AM94" i="248"/>
  <c r="AP94" i="248"/>
  <c r="AQ94" i="248"/>
  <c r="AR94" i="248"/>
  <c r="AS94" i="248"/>
  <c r="AI94" i="248"/>
  <c r="AJ94" i="248"/>
  <c r="AT94" i="248"/>
  <c r="AU94" i="248"/>
  <c r="AV94" i="248"/>
  <c r="AM95" i="248"/>
  <c r="AP95" i="248"/>
  <c r="AQ95" i="248"/>
  <c r="AR95" i="248"/>
  <c r="AS95" i="248"/>
  <c r="AI95" i="248"/>
  <c r="AJ95" i="248"/>
  <c r="AT95" i="248"/>
  <c r="AU95" i="248"/>
  <c r="AV95" i="248"/>
  <c r="AM96" i="248"/>
  <c r="AP96" i="248"/>
  <c r="AQ96" i="248"/>
  <c r="AR96" i="248"/>
  <c r="AS96" i="248"/>
  <c r="AI96" i="248"/>
  <c r="AJ96" i="248"/>
  <c r="AT96" i="248"/>
  <c r="AU96" i="248"/>
  <c r="AV96" i="248"/>
  <c r="AM97" i="248"/>
  <c r="AP97" i="248"/>
  <c r="AQ97" i="248"/>
  <c r="AR97" i="248"/>
  <c r="AS97" i="248"/>
  <c r="AI97" i="248"/>
  <c r="AJ97" i="248"/>
  <c r="AT97" i="248"/>
  <c r="AU97" i="248"/>
  <c r="AV97" i="248"/>
  <c r="AM98" i="248"/>
  <c r="AO98" i="248"/>
  <c r="AP98" i="248"/>
  <c r="AQ98" i="248"/>
  <c r="AR98" i="248"/>
  <c r="AS98" i="248"/>
  <c r="AI98" i="248"/>
  <c r="AJ98" i="248"/>
  <c r="AT98" i="248"/>
  <c r="AU98" i="248"/>
  <c r="AV98" i="248"/>
  <c r="AM99" i="248"/>
  <c r="AO99" i="248"/>
  <c r="AP99" i="248"/>
  <c r="AQ99" i="248"/>
  <c r="AR99" i="248"/>
  <c r="AS99" i="248"/>
  <c r="AI99" i="248"/>
  <c r="AJ99" i="248"/>
  <c r="AT99" i="248"/>
  <c r="AU99" i="248"/>
  <c r="AV99" i="248"/>
  <c r="AM100" i="248"/>
  <c r="AO100" i="248"/>
  <c r="AP100" i="248"/>
  <c r="AQ100" i="248"/>
  <c r="AR100" i="248"/>
  <c r="AS100" i="248"/>
  <c r="AI100" i="248"/>
  <c r="AJ100" i="248"/>
  <c r="AT100" i="248"/>
  <c r="AU100" i="248"/>
  <c r="AV100" i="248"/>
  <c r="AM101" i="248"/>
  <c r="AO101" i="248"/>
  <c r="AP101" i="248"/>
  <c r="AQ101" i="248"/>
  <c r="AR101" i="248"/>
  <c r="AS101" i="248"/>
  <c r="AI101" i="248"/>
  <c r="AJ101" i="248"/>
  <c r="AT101" i="248"/>
  <c r="AU101" i="248"/>
  <c r="AV101" i="248"/>
  <c r="AM102" i="248"/>
  <c r="AO102" i="248"/>
  <c r="AP102" i="248"/>
  <c r="AQ102" i="248"/>
  <c r="AR102" i="248"/>
  <c r="AS102" i="248"/>
  <c r="AI102" i="248"/>
  <c r="AJ102" i="248"/>
  <c r="AT102" i="248"/>
  <c r="AU102" i="248"/>
  <c r="AV102" i="248"/>
  <c r="AM103" i="248"/>
  <c r="AO103" i="248"/>
  <c r="AP103" i="248"/>
  <c r="AQ103" i="248"/>
  <c r="AR103" i="248"/>
  <c r="AS103" i="248"/>
  <c r="AI103" i="248"/>
  <c r="AJ103" i="248"/>
  <c r="AT103" i="248"/>
  <c r="AU103" i="248"/>
  <c r="AV103" i="248"/>
  <c r="AM104" i="248"/>
  <c r="AO104" i="248"/>
  <c r="AP104" i="248"/>
  <c r="AQ104" i="248"/>
  <c r="AR104" i="248"/>
  <c r="AS104" i="248"/>
  <c r="AI104" i="248"/>
  <c r="AJ104" i="248"/>
  <c r="AT104" i="248"/>
  <c r="AU104" i="248"/>
  <c r="AV104" i="248"/>
  <c r="AM105" i="248"/>
  <c r="AO105" i="248"/>
  <c r="AP105" i="248"/>
  <c r="AQ105" i="248"/>
  <c r="AR105" i="248"/>
  <c r="AS105" i="248"/>
  <c r="AI105" i="248"/>
  <c r="AJ105" i="248"/>
  <c r="AT105" i="248"/>
  <c r="AU105" i="248"/>
  <c r="AV105" i="248"/>
  <c r="AM106" i="248"/>
  <c r="AO106" i="248"/>
  <c r="AP106" i="248"/>
  <c r="AQ106" i="248"/>
  <c r="AR106" i="248"/>
  <c r="AS106" i="248"/>
  <c r="AI106" i="248"/>
  <c r="AJ106" i="248"/>
  <c r="AT106" i="248"/>
  <c r="AU106" i="248"/>
  <c r="AV106" i="248"/>
  <c r="AM107" i="248"/>
  <c r="AO107" i="248"/>
  <c r="AP107" i="248"/>
  <c r="AQ107" i="248"/>
  <c r="AR107" i="248"/>
  <c r="AS107" i="248"/>
  <c r="AI107" i="248"/>
  <c r="AJ107" i="248"/>
  <c r="AT107" i="248"/>
  <c r="AU107" i="248"/>
  <c r="AV107" i="248"/>
  <c r="AM108" i="248"/>
  <c r="AO108" i="248"/>
  <c r="AP108" i="248"/>
  <c r="AQ108" i="248"/>
  <c r="AR108" i="248"/>
  <c r="AS108" i="248"/>
  <c r="AI108" i="248"/>
  <c r="AJ108" i="248"/>
  <c r="AT108" i="248"/>
  <c r="AU108" i="248"/>
  <c r="AV108" i="248"/>
  <c r="AM109" i="248"/>
  <c r="AO109" i="248"/>
  <c r="AP109" i="248"/>
  <c r="AQ109" i="248"/>
  <c r="AR109" i="248"/>
  <c r="AS109" i="248"/>
  <c r="AI109" i="248"/>
  <c r="AJ109" i="248"/>
  <c r="AT109" i="248"/>
  <c r="AU109" i="248"/>
  <c r="AV109" i="248"/>
  <c r="AM110" i="248"/>
  <c r="AO110" i="248"/>
  <c r="AP110" i="248"/>
  <c r="AQ110" i="248"/>
  <c r="AR110" i="248"/>
  <c r="AS110" i="248"/>
  <c r="AI110" i="248"/>
  <c r="AJ110" i="248"/>
  <c r="AT110" i="248"/>
  <c r="AU110" i="248"/>
  <c r="AV110" i="248"/>
  <c r="AM111" i="248"/>
  <c r="AO111" i="248"/>
  <c r="AP111" i="248"/>
  <c r="AQ111" i="248"/>
  <c r="AR111" i="248"/>
  <c r="AS111" i="248"/>
  <c r="AI111" i="248"/>
  <c r="AJ111" i="248"/>
  <c r="AT111" i="248"/>
  <c r="AU111" i="248"/>
  <c r="AV111" i="248"/>
  <c r="AM112" i="248"/>
  <c r="AO112" i="248"/>
  <c r="AP112" i="248"/>
  <c r="AQ112" i="248"/>
  <c r="AR112" i="248"/>
  <c r="AS112" i="248"/>
  <c r="AI112" i="248"/>
  <c r="AJ112" i="248"/>
  <c r="AT112" i="248"/>
  <c r="AU112" i="248"/>
  <c r="AV112" i="248"/>
  <c r="AM113" i="248"/>
  <c r="AO113" i="248"/>
  <c r="AP113" i="248"/>
  <c r="AQ113" i="248"/>
  <c r="AR113" i="248"/>
  <c r="AS113" i="248"/>
  <c r="AI113" i="248"/>
  <c r="AJ113" i="248"/>
  <c r="AT113" i="248"/>
  <c r="AU113" i="248"/>
  <c r="AV113" i="248"/>
  <c r="AM114" i="248"/>
  <c r="AO114" i="248"/>
  <c r="AP114" i="248"/>
  <c r="AQ114" i="248"/>
  <c r="AR114" i="248"/>
  <c r="AS114" i="248"/>
  <c r="AI114" i="248"/>
  <c r="AJ114" i="248"/>
  <c r="AT114" i="248"/>
  <c r="AU114" i="248"/>
  <c r="AV114" i="248"/>
  <c r="AM115" i="248"/>
  <c r="AO115" i="248"/>
  <c r="AP115" i="248"/>
  <c r="AQ115" i="248"/>
  <c r="AR115" i="248"/>
  <c r="AS115" i="248"/>
  <c r="AI115" i="248"/>
  <c r="AJ115" i="248"/>
  <c r="AT115" i="248"/>
  <c r="AU115" i="248"/>
  <c r="AV115" i="248"/>
  <c r="AM116" i="248"/>
  <c r="AO116" i="248"/>
  <c r="AP116" i="248"/>
  <c r="AQ116" i="248"/>
  <c r="AR116" i="248"/>
  <c r="AS116" i="248"/>
  <c r="AI116" i="248"/>
  <c r="AJ116" i="248"/>
  <c r="AT116" i="248"/>
  <c r="AU116" i="248"/>
  <c r="AV116" i="248"/>
  <c r="AM117" i="248"/>
  <c r="AO117" i="248"/>
  <c r="AP117" i="248"/>
  <c r="AQ117" i="248"/>
  <c r="AR117" i="248"/>
  <c r="AS117" i="248"/>
  <c r="AI117" i="248"/>
  <c r="AJ117" i="248"/>
  <c r="AT117" i="248"/>
  <c r="AU117" i="248"/>
  <c r="AV117" i="248"/>
  <c r="AM118" i="248"/>
  <c r="AO118" i="248"/>
  <c r="AP118" i="248"/>
  <c r="AQ118" i="248"/>
  <c r="AR118" i="248"/>
  <c r="AS118" i="248"/>
  <c r="AI118" i="248"/>
  <c r="AJ118" i="248"/>
  <c r="AT118" i="248"/>
  <c r="AU118" i="248"/>
  <c r="AV118" i="248"/>
  <c r="AM119" i="248"/>
  <c r="AO119" i="248"/>
  <c r="AP119" i="248"/>
  <c r="AQ119" i="248"/>
  <c r="AR119" i="248"/>
  <c r="AS119" i="248"/>
  <c r="AI119" i="248"/>
  <c r="AJ119" i="248"/>
  <c r="AT119" i="248"/>
  <c r="AU119" i="248"/>
  <c r="AV119" i="248"/>
  <c r="AM120" i="248"/>
  <c r="AO120" i="248"/>
  <c r="AP120" i="248"/>
  <c r="AQ120" i="248"/>
  <c r="AR120" i="248"/>
  <c r="AS120" i="248"/>
  <c r="AI120" i="248"/>
  <c r="AJ120" i="248"/>
  <c r="AT120" i="248"/>
  <c r="AU120" i="248"/>
  <c r="AV120" i="248"/>
  <c r="AM121" i="248"/>
  <c r="AO121" i="248"/>
  <c r="AP121" i="248"/>
  <c r="AQ121" i="248"/>
  <c r="AR121" i="248"/>
  <c r="AS121" i="248"/>
  <c r="AI121" i="248"/>
  <c r="AJ121" i="248"/>
  <c r="AT121" i="248"/>
  <c r="AU121" i="248"/>
  <c r="AV121" i="248"/>
  <c r="AM122" i="248"/>
  <c r="AO122" i="248"/>
  <c r="AP122" i="248"/>
  <c r="AQ122" i="248"/>
  <c r="AR122" i="248"/>
  <c r="AS122" i="248"/>
  <c r="AI122" i="248"/>
  <c r="AJ122" i="248"/>
  <c r="AT122" i="248"/>
  <c r="AU122" i="248"/>
  <c r="AV122" i="248"/>
  <c r="AM123" i="248"/>
  <c r="AO123" i="248"/>
  <c r="AP123" i="248"/>
  <c r="AQ123" i="248"/>
  <c r="AR123" i="248"/>
  <c r="AS123" i="248"/>
  <c r="AI123" i="248"/>
  <c r="AJ123" i="248"/>
  <c r="AT123" i="248"/>
  <c r="AU123" i="248"/>
  <c r="AV123" i="248"/>
  <c r="AM3" i="248"/>
  <c r="AI3" i="248"/>
  <c r="AJ3" i="248"/>
  <c r="AT3" i="248"/>
  <c r="AU3" i="248"/>
  <c r="AV3" i="248"/>
  <c r="BJ124" i="196"/>
  <c r="BJ123" i="196"/>
  <c r="BJ122" i="196"/>
  <c r="BJ121" i="196"/>
  <c r="BJ120" i="196"/>
  <c r="BJ119" i="196"/>
  <c r="BJ118" i="196"/>
  <c r="BJ117" i="196"/>
  <c r="BJ116" i="196"/>
  <c r="BJ115" i="196"/>
  <c r="BJ114" i="196"/>
  <c r="BJ113" i="196"/>
  <c r="BJ112" i="196"/>
  <c r="BJ111" i="196"/>
  <c r="BJ110" i="196"/>
  <c r="BJ109" i="196"/>
  <c r="BJ108" i="196"/>
  <c r="BJ107" i="196"/>
  <c r="BJ106" i="196"/>
  <c r="BJ105" i="196"/>
  <c r="BJ104" i="196"/>
  <c r="BJ103" i="196"/>
  <c r="BJ102" i="196"/>
  <c r="BJ101" i="196"/>
  <c r="BJ100" i="196"/>
  <c r="BJ99" i="196"/>
  <c r="BJ98" i="196"/>
  <c r="BJ97" i="196"/>
  <c r="BJ96" i="196"/>
  <c r="BJ95" i="196"/>
  <c r="BJ94" i="196"/>
  <c r="BJ93" i="196"/>
  <c r="BJ92" i="196"/>
  <c r="BJ91" i="196"/>
  <c r="BJ90" i="196"/>
  <c r="BJ89" i="196"/>
  <c r="BJ88" i="196"/>
  <c r="BJ87" i="196"/>
  <c r="BJ86" i="196"/>
  <c r="BJ85" i="196"/>
  <c r="BJ84" i="196"/>
  <c r="BJ83" i="196"/>
  <c r="BJ82" i="196"/>
  <c r="BJ81" i="196"/>
  <c r="BJ80" i="196"/>
  <c r="BJ79" i="196"/>
  <c r="BJ78" i="196"/>
  <c r="BJ77" i="196"/>
  <c r="BJ76" i="196"/>
  <c r="BJ75" i="196"/>
  <c r="BJ74" i="196"/>
  <c r="BJ73" i="196"/>
  <c r="BJ72" i="196"/>
  <c r="BJ71" i="196"/>
  <c r="BJ70" i="196"/>
  <c r="BJ69" i="196"/>
  <c r="BJ68" i="196"/>
  <c r="BJ67" i="196"/>
  <c r="BJ66" i="196"/>
  <c r="BJ65" i="196"/>
  <c r="BJ64" i="196"/>
  <c r="BJ63" i="196"/>
  <c r="BJ62" i="196"/>
  <c r="BJ61" i="196"/>
  <c r="BJ60" i="196"/>
  <c r="BJ59" i="196"/>
  <c r="BJ58" i="196"/>
  <c r="BJ57" i="196"/>
  <c r="BJ56" i="196"/>
  <c r="BJ55" i="196"/>
  <c r="BJ54" i="196"/>
  <c r="BJ53" i="196"/>
  <c r="BJ52" i="196"/>
  <c r="BJ51" i="196"/>
  <c r="BJ50" i="196"/>
  <c r="BJ49" i="196"/>
  <c r="BJ48" i="196"/>
  <c r="BJ47" i="196"/>
  <c r="BJ46" i="196"/>
  <c r="BJ45" i="196"/>
  <c r="BJ44" i="196"/>
  <c r="BJ43" i="196"/>
  <c r="BJ42" i="196"/>
  <c r="BJ41" i="196"/>
  <c r="BJ40" i="196"/>
  <c r="BJ39" i="196"/>
  <c r="BJ38" i="196"/>
  <c r="BJ37" i="196"/>
  <c r="BJ36" i="196"/>
  <c r="BJ35" i="196"/>
  <c r="BJ34" i="196"/>
  <c r="BJ33" i="196"/>
  <c r="BJ32" i="196"/>
  <c r="BJ31" i="196"/>
  <c r="BJ30" i="196"/>
  <c r="BJ29" i="196"/>
  <c r="BJ28" i="196"/>
  <c r="BJ27" i="196"/>
  <c r="BJ26" i="196"/>
  <c r="BJ25" i="196"/>
  <c r="BJ24" i="196"/>
  <c r="BJ23" i="196"/>
  <c r="BJ22" i="196"/>
  <c r="BJ21" i="196"/>
  <c r="BJ20" i="196"/>
  <c r="BJ19" i="196"/>
  <c r="BJ18" i="196"/>
  <c r="BJ17" i="196"/>
  <c r="BJ16" i="196"/>
  <c r="BJ15" i="196"/>
  <c r="BJ14" i="196"/>
  <c r="BJ13" i="196"/>
  <c r="BJ12" i="196"/>
  <c r="BJ11" i="196"/>
  <c r="BL11" i="196" s="1"/>
  <c r="BJ10" i="196"/>
  <c r="BJ9" i="196"/>
  <c r="BJ8" i="196"/>
  <c r="BJ7" i="196"/>
  <c r="BJ6" i="196"/>
  <c r="BJ5" i="196"/>
  <c r="BJ4" i="196"/>
  <c r="BJ3" i="196"/>
  <c r="AS22" i="196"/>
  <c r="AS95" i="196"/>
  <c r="AS96" i="196" s="1"/>
  <c r="AS97" i="196" s="1"/>
  <c r="AS98" i="196" s="1"/>
  <c r="AS99" i="196" s="1"/>
  <c r="AS100" i="196" s="1"/>
  <c r="AS101" i="196" s="1"/>
  <c r="AS102" i="196" s="1"/>
  <c r="AS103" i="196" s="1"/>
  <c r="AS104" i="196" s="1"/>
  <c r="AS105" i="196" s="1"/>
  <c r="AS106" i="196" s="1"/>
  <c r="AS107" i="196" s="1"/>
  <c r="AS108" i="196" s="1"/>
  <c r="AS109" i="196" s="1"/>
  <c r="AS110" i="196" s="1"/>
  <c r="AS111" i="196" s="1"/>
  <c r="AS112" i="196" s="1"/>
  <c r="AS113" i="196" s="1"/>
  <c r="AS114" i="196" s="1"/>
  <c r="AS115" i="196" s="1"/>
  <c r="AS116" i="196" s="1"/>
  <c r="AS117" i="196" s="1"/>
  <c r="AS118" i="196" s="1"/>
  <c r="AS119" i="196" s="1"/>
  <c r="AS120" i="196" s="1"/>
  <c r="AS121" i="196" s="1"/>
  <c r="AS122" i="196" s="1"/>
  <c r="AP3" i="196"/>
  <c r="AQ3" i="196"/>
  <c r="AP4" i="196"/>
  <c r="AQ4" i="196"/>
  <c r="AP5" i="196"/>
  <c r="AQ5" i="196"/>
  <c r="AP6" i="196"/>
  <c r="AQ6" i="196"/>
  <c r="AP7" i="196"/>
  <c r="AQ7" i="196"/>
  <c r="AP8" i="196"/>
  <c r="AQ8" i="196"/>
  <c r="AP9" i="196"/>
  <c r="AQ9" i="196"/>
  <c r="AP10" i="196"/>
  <c r="AQ10" i="196"/>
  <c r="AP11" i="196"/>
  <c r="AQ11" i="196"/>
  <c r="AP12" i="196"/>
  <c r="AQ12" i="196"/>
  <c r="AP13" i="196"/>
  <c r="AQ13" i="196"/>
  <c r="AP14" i="196"/>
  <c r="AQ14" i="196"/>
  <c r="AP15" i="196"/>
  <c r="AQ15" i="196"/>
  <c r="AP16" i="196"/>
  <c r="AQ16" i="196"/>
  <c r="AP17" i="196"/>
  <c r="AQ17" i="196"/>
  <c r="AP18" i="196"/>
  <c r="AQ18" i="196"/>
  <c r="AP19" i="196"/>
  <c r="AQ19" i="196"/>
  <c r="AP20" i="196"/>
  <c r="AQ20" i="196"/>
  <c r="AP21" i="196"/>
  <c r="AQ21" i="196"/>
  <c r="AP22" i="196"/>
  <c r="AQ22" i="196"/>
  <c r="AP23" i="196"/>
  <c r="AQ23" i="196"/>
  <c r="AP24" i="196"/>
  <c r="AQ24" i="196"/>
  <c r="AP25" i="196"/>
  <c r="AQ25" i="196"/>
  <c r="AP26" i="196"/>
  <c r="AQ26" i="196"/>
  <c r="AP27" i="196"/>
  <c r="AQ27" i="196"/>
  <c r="AP28" i="196"/>
  <c r="AQ28" i="196"/>
  <c r="AP29" i="196"/>
  <c r="AQ29" i="196"/>
  <c r="AP30" i="196"/>
  <c r="AQ30" i="196"/>
  <c r="AP31" i="196"/>
  <c r="AQ31" i="196"/>
  <c r="AP32" i="196"/>
  <c r="AQ32" i="196"/>
  <c r="AP33" i="196"/>
  <c r="AQ33" i="196"/>
  <c r="AP34" i="196"/>
  <c r="AQ34" i="196"/>
  <c r="AP35" i="196"/>
  <c r="AQ35" i="196"/>
  <c r="AP36" i="196"/>
  <c r="AQ36" i="196"/>
  <c r="AP37" i="196"/>
  <c r="AQ37" i="196"/>
  <c r="AP38" i="196"/>
  <c r="AQ38" i="196"/>
  <c r="AP39" i="196"/>
  <c r="AQ39" i="196"/>
  <c r="AR39" i="196"/>
  <c r="AP40" i="196"/>
  <c r="AQ40" i="196"/>
  <c r="AR40" i="196"/>
  <c r="AP41" i="196"/>
  <c r="AQ41" i="196"/>
  <c r="AR41" i="196"/>
  <c r="AP42" i="196"/>
  <c r="AQ42" i="196"/>
  <c r="AR42" i="196"/>
  <c r="AP43" i="196"/>
  <c r="AQ43" i="196"/>
  <c r="AR43" i="196"/>
  <c r="AP44" i="196"/>
  <c r="AQ44" i="196"/>
  <c r="AR44" i="196"/>
  <c r="AP45" i="196"/>
  <c r="AQ45" i="196"/>
  <c r="AR45" i="196"/>
  <c r="AP46" i="196"/>
  <c r="AQ46" i="196"/>
  <c r="AR46" i="196"/>
  <c r="AP47" i="196"/>
  <c r="AQ47" i="196"/>
  <c r="AR47" i="196"/>
  <c r="AP48" i="196"/>
  <c r="AQ48" i="196"/>
  <c r="AR48" i="196"/>
  <c r="AP49" i="196"/>
  <c r="AQ49" i="196"/>
  <c r="AR49" i="196"/>
  <c r="AP50" i="196"/>
  <c r="AQ50" i="196"/>
  <c r="AR50" i="196"/>
  <c r="AP51" i="196"/>
  <c r="AQ51" i="196"/>
  <c r="AR51" i="196"/>
  <c r="AP52" i="196"/>
  <c r="AQ52" i="196"/>
  <c r="AR52" i="196"/>
  <c r="AP53" i="196"/>
  <c r="AQ53" i="196"/>
  <c r="AR53" i="196"/>
  <c r="AP54" i="196"/>
  <c r="AQ54" i="196"/>
  <c r="AR54" i="196"/>
  <c r="AP55" i="196"/>
  <c r="AQ55" i="196"/>
  <c r="AR55" i="196"/>
  <c r="AP56" i="196"/>
  <c r="AQ56" i="196"/>
  <c r="AR56" i="196"/>
  <c r="AP57" i="196"/>
  <c r="AQ57" i="196"/>
  <c r="AR57" i="196"/>
  <c r="AP58" i="196"/>
  <c r="AQ58" i="196"/>
  <c r="AR58" i="196"/>
  <c r="AP59" i="196"/>
  <c r="AQ59" i="196"/>
  <c r="AR59" i="196"/>
  <c r="AP60" i="196"/>
  <c r="AQ60" i="196"/>
  <c r="AR60" i="196"/>
  <c r="AP61" i="196"/>
  <c r="AQ61" i="196"/>
  <c r="AR61" i="196"/>
  <c r="AP62" i="196"/>
  <c r="AQ62" i="196"/>
  <c r="AR62" i="196"/>
  <c r="AP63" i="196"/>
  <c r="AQ63" i="196"/>
  <c r="AR63" i="196"/>
  <c r="AP64" i="196"/>
  <c r="AQ64" i="196"/>
  <c r="AR64" i="196"/>
  <c r="AR65" i="196" s="1"/>
  <c r="AR66" i="196" s="1"/>
  <c r="AR67" i="196" s="1"/>
  <c r="AR68" i="196" s="1"/>
  <c r="AR69" i="196" s="1"/>
  <c r="AR70" i="196" s="1"/>
  <c r="AR71" i="196" s="1"/>
  <c r="AR72" i="196" s="1"/>
  <c r="AR73" i="196" s="1"/>
  <c r="AR74" i="196" s="1"/>
  <c r="AR75" i="196" s="1"/>
  <c r="AR76" i="196" s="1"/>
  <c r="AR77" i="196" s="1"/>
  <c r="AR78" i="196" s="1"/>
  <c r="AR79" i="196" s="1"/>
  <c r="AR80" i="196" s="1"/>
  <c r="AR81" i="196" s="1"/>
  <c r="AR82" i="196" s="1"/>
  <c r="AR83" i="196" s="1"/>
  <c r="AR84" i="196" s="1"/>
  <c r="AR85" i="196" s="1"/>
  <c r="AR86" i="196" s="1"/>
  <c r="AR87" i="196" s="1"/>
  <c r="AR88" i="196" s="1"/>
  <c r="AR89" i="196" s="1"/>
  <c r="AR90" i="196" s="1"/>
  <c r="AR91" i="196" s="1"/>
  <c r="AR92" i="196" s="1"/>
  <c r="AR93" i="196" s="1"/>
  <c r="AR94" i="196" s="1"/>
  <c r="AR95" i="196" s="1"/>
  <c r="AR96" i="196" s="1"/>
  <c r="AR97" i="196" s="1"/>
  <c r="AR98" i="196" s="1"/>
  <c r="AR99" i="196" s="1"/>
  <c r="AR100" i="196" s="1"/>
  <c r="AR101" i="196" s="1"/>
  <c r="AR102" i="196" s="1"/>
  <c r="AR103" i="196" s="1"/>
  <c r="AR104" i="196" s="1"/>
  <c r="AR105" i="196" s="1"/>
  <c r="AR106" i="196" s="1"/>
  <c r="AR107" i="196" s="1"/>
  <c r="AR108" i="196" s="1"/>
  <c r="AR109" i="196" s="1"/>
  <c r="AR110" i="196" s="1"/>
  <c r="AR111" i="196" s="1"/>
  <c r="AR112" i="196" s="1"/>
  <c r="AR113" i="196" s="1"/>
  <c r="AR114" i="196" s="1"/>
  <c r="AR115" i="196" s="1"/>
  <c r="AR116" i="196" s="1"/>
  <c r="AR117" i="196" s="1"/>
  <c r="AR118" i="196" s="1"/>
  <c r="AR119" i="196" s="1"/>
  <c r="AR120" i="196" s="1"/>
  <c r="AR121" i="196" s="1"/>
  <c r="AR122" i="196" s="1"/>
  <c r="AP65" i="196"/>
  <c r="AQ65" i="196"/>
  <c r="AP66" i="196"/>
  <c r="AQ66" i="196"/>
  <c r="AP67" i="196"/>
  <c r="AQ67" i="196"/>
  <c r="AP68" i="196"/>
  <c r="AQ68" i="196"/>
  <c r="AP69" i="196"/>
  <c r="AQ69" i="196"/>
  <c r="AP70" i="196"/>
  <c r="AQ70" i="196"/>
  <c r="AP71" i="196"/>
  <c r="AQ71" i="196"/>
  <c r="AP72" i="196"/>
  <c r="AQ72" i="196"/>
  <c r="AP73" i="196"/>
  <c r="AQ73" i="196"/>
  <c r="AP74" i="196"/>
  <c r="AQ74" i="196"/>
  <c r="AP75" i="196"/>
  <c r="AQ75" i="196"/>
  <c r="AP76" i="196"/>
  <c r="AP77" i="196" s="1"/>
  <c r="AP78" i="196" s="1"/>
  <c r="AP79" i="196" s="1"/>
  <c r="AP80" i="196" s="1"/>
  <c r="AP81" i="196" s="1"/>
  <c r="AP82" i="196" s="1"/>
  <c r="AP83" i="196" s="1"/>
  <c r="AP84" i="196" s="1"/>
  <c r="AP85" i="196" s="1"/>
  <c r="AP86" i="196" s="1"/>
  <c r="AP87" i="196" s="1"/>
  <c r="AP88" i="196" s="1"/>
  <c r="AP89" i="196" s="1"/>
  <c r="AP90" i="196" s="1"/>
  <c r="AP91" i="196" s="1"/>
  <c r="AP92" i="196" s="1"/>
  <c r="AP93" i="196" s="1"/>
  <c r="AP94" i="196" s="1"/>
  <c r="AP95" i="196" s="1"/>
  <c r="AP96" i="196" s="1"/>
  <c r="AP97" i="196" s="1"/>
  <c r="AP98" i="196" s="1"/>
  <c r="AP99" i="196" s="1"/>
  <c r="AP100" i="196" s="1"/>
  <c r="AP101" i="196" s="1"/>
  <c r="AP102" i="196" s="1"/>
  <c r="AP103" i="196" s="1"/>
  <c r="AP104" i="196" s="1"/>
  <c r="AP105" i="196" s="1"/>
  <c r="AP106" i="196" s="1"/>
  <c r="AP107" i="196" s="1"/>
  <c r="AP108" i="196" s="1"/>
  <c r="AP109" i="196" s="1"/>
  <c r="AP110" i="196" s="1"/>
  <c r="AP111" i="196" s="1"/>
  <c r="AP112" i="196" s="1"/>
  <c r="AP113" i="196" s="1"/>
  <c r="AP114" i="196" s="1"/>
  <c r="AP115" i="196" s="1"/>
  <c r="AP116" i="196" s="1"/>
  <c r="AP117" i="196" s="1"/>
  <c r="AP118" i="196" s="1"/>
  <c r="AP119" i="196" s="1"/>
  <c r="AP120" i="196" s="1"/>
  <c r="AP121" i="196" s="1"/>
  <c r="AP122" i="196" s="1"/>
  <c r="AQ76" i="196"/>
  <c r="AQ77" i="196" s="1"/>
  <c r="AQ78" i="196" s="1"/>
  <c r="AQ79" i="196" s="1"/>
  <c r="AQ80" i="196" s="1"/>
  <c r="AQ81" i="196" s="1"/>
  <c r="AQ82" i="196" s="1"/>
  <c r="AQ83" i="196" s="1"/>
  <c r="AQ84" i="196" s="1"/>
  <c r="AQ85" i="196" s="1"/>
  <c r="AQ86" i="196" s="1"/>
  <c r="AQ87" i="196" s="1"/>
  <c r="AQ88" i="196" s="1"/>
  <c r="AQ89" i="196" s="1"/>
  <c r="AQ90" i="196" s="1"/>
  <c r="AQ91" i="196" s="1"/>
  <c r="AQ92" i="196" s="1"/>
  <c r="AQ93" i="196" s="1"/>
  <c r="AQ94" i="196" s="1"/>
  <c r="AQ95" i="196" s="1"/>
  <c r="AQ96" i="196" s="1"/>
  <c r="AQ97" i="196" s="1"/>
  <c r="AQ98" i="196" s="1"/>
  <c r="AQ99" i="196" s="1"/>
  <c r="AQ100" i="196" s="1"/>
  <c r="AQ101" i="196" s="1"/>
  <c r="AQ102" i="196" s="1"/>
  <c r="AQ103" i="196" s="1"/>
  <c r="AQ104" i="196" s="1"/>
  <c r="AQ105" i="196" s="1"/>
  <c r="AQ106" i="196" s="1"/>
  <c r="AQ107" i="196" s="1"/>
  <c r="AQ108" i="196" s="1"/>
  <c r="AQ109" i="196" s="1"/>
  <c r="AQ110" i="196" s="1"/>
  <c r="AQ111" i="196" s="1"/>
  <c r="AQ112" i="196" s="1"/>
  <c r="AQ113" i="196" s="1"/>
  <c r="AQ114" i="196" s="1"/>
  <c r="AQ115" i="196" s="1"/>
  <c r="AQ116" i="196" s="1"/>
  <c r="AQ117" i="196" s="1"/>
  <c r="AQ118" i="196" s="1"/>
  <c r="AQ119" i="196" s="1"/>
  <c r="AQ120" i="196" s="1"/>
  <c r="AQ121" i="196" s="1"/>
  <c r="AQ122" i="196" s="1"/>
  <c r="DA3" i="196"/>
  <c r="EI3" i="196" s="1"/>
  <c r="DH3" i="196"/>
  <c r="EP3" i="196" s="1"/>
  <c r="DI3" i="196"/>
  <c r="H3" i="196"/>
  <c r="H4" i="196" s="1"/>
  <c r="H5" i="196" s="1"/>
  <c r="H6" i="196" s="1"/>
  <c r="H7" i="196" s="1"/>
  <c r="H8" i="196" s="1"/>
  <c r="H9" i="196" s="1"/>
  <c r="H10" i="196" s="1"/>
  <c r="H11" i="196" s="1"/>
  <c r="H12" i="196" s="1"/>
  <c r="H13" i="196" s="1"/>
  <c r="H14" i="196" s="1"/>
  <c r="H15" i="196" s="1"/>
  <c r="H16" i="196" s="1"/>
  <c r="H17" i="196" s="1"/>
  <c r="H18" i="196" s="1"/>
  <c r="H19" i="196" s="1"/>
  <c r="H20" i="196" s="1"/>
  <c r="H21" i="196" s="1"/>
  <c r="H22" i="196" s="1"/>
  <c r="H23" i="196" s="1"/>
  <c r="H24" i="196" s="1"/>
  <c r="H25" i="196" s="1"/>
  <c r="H26" i="196" s="1"/>
  <c r="H27" i="196" s="1"/>
  <c r="H28" i="196" s="1"/>
  <c r="H29" i="196" s="1"/>
  <c r="H30" i="196" s="1"/>
  <c r="H31" i="196" s="1"/>
  <c r="H32" i="196" s="1"/>
  <c r="H33" i="196" s="1"/>
  <c r="H34" i="196" s="1"/>
  <c r="H35" i="196" s="1"/>
  <c r="H36" i="196" s="1"/>
  <c r="H37" i="196" s="1"/>
  <c r="H38" i="196" s="1"/>
  <c r="H39" i="196" s="1"/>
  <c r="H40" i="196" s="1"/>
  <c r="H41" i="196" s="1"/>
  <c r="H42" i="196" s="1"/>
  <c r="H43" i="196" s="1"/>
  <c r="H44" i="196" s="1"/>
  <c r="H45" i="196" s="1"/>
  <c r="H46" i="196" s="1"/>
  <c r="H47" i="196" s="1"/>
  <c r="H48" i="196" s="1"/>
  <c r="H49" i="196" s="1"/>
  <c r="H50" i="196" s="1"/>
  <c r="H51" i="196" s="1"/>
  <c r="H52" i="196" s="1"/>
  <c r="H53" i="196" s="1"/>
  <c r="H54" i="196" s="1"/>
  <c r="H55" i="196" s="1"/>
  <c r="H56" i="196" s="1"/>
  <c r="H57" i="196" s="1"/>
  <c r="H58" i="196" s="1"/>
  <c r="H59" i="196" s="1"/>
  <c r="H60" i="196" s="1"/>
  <c r="H61" i="196" s="1"/>
  <c r="H62" i="196" s="1"/>
  <c r="H63" i="196" s="1"/>
  <c r="H64" i="196" s="1"/>
  <c r="O3" i="196"/>
  <c r="O4" i="196" s="1"/>
  <c r="O5" i="196" s="1"/>
  <c r="O6" i="196" s="1"/>
  <c r="O7" i="196" s="1"/>
  <c r="O8" i="196" s="1"/>
  <c r="O9" i="196" s="1"/>
  <c r="O10" i="196" s="1"/>
  <c r="O11" i="196" s="1"/>
  <c r="O12" i="196" s="1"/>
  <c r="O13" i="196" s="1"/>
  <c r="O14" i="196" s="1"/>
  <c r="O15" i="196" s="1"/>
  <c r="O16" i="196" s="1"/>
  <c r="O17" i="196" s="1"/>
  <c r="O18" i="196" s="1"/>
  <c r="O19" i="196" s="1"/>
  <c r="O20" i="196" s="1"/>
  <c r="O21" i="196" s="1"/>
  <c r="O22" i="196" s="1"/>
  <c r="O23" i="196" s="1"/>
  <c r="O24" i="196" s="1"/>
  <c r="O25" i="196" s="1"/>
  <c r="O26" i="196" s="1"/>
  <c r="O27" i="196" s="1"/>
  <c r="O28" i="196" s="1"/>
  <c r="O29" i="196" s="1"/>
  <c r="O30" i="196" s="1"/>
  <c r="O31" i="196" s="1"/>
  <c r="O32" i="196" s="1"/>
  <c r="O33" i="196" s="1"/>
  <c r="O34" i="196" s="1"/>
  <c r="O35" i="196" s="1"/>
  <c r="O36" i="196" s="1"/>
  <c r="O37" i="196" s="1"/>
  <c r="O38" i="196" s="1"/>
  <c r="O39" i="196" s="1"/>
  <c r="O40" i="196" s="1"/>
  <c r="O41" i="196" s="1"/>
  <c r="O42" i="196" s="1"/>
  <c r="O43" i="196" s="1"/>
  <c r="O44" i="196" s="1"/>
  <c r="O45" i="196" s="1"/>
  <c r="O46" i="196" s="1"/>
  <c r="O47" i="196" s="1"/>
  <c r="O48" i="196" s="1"/>
  <c r="O49" i="196" s="1"/>
  <c r="O50" i="196" s="1"/>
  <c r="O51" i="196" s="1"/>
  <c r="O52" i="196" s="1"/>
  <c r="O53" i="196" s="1"/>
  <c r="O54" i="196" s="1"/>
  <c r="O55" i="196" s="1"/>
  <c r="O56" i="196" s="1"/>
  <c r="O57" i="196" s="1"/>
  <c r="O58" i="196" s="1"/>
  <c r="O59" i="196" s="1"/>
  <c r="O60" i="196" s="1"/>
  <c r="O61" i="196" s="1"/>
  <c r="O62" i="196" s="1"/>
  <c r="O63" i="196" s="1"/>
  <c r="O64" i="196" s="1"/>
  <c r="O65" i="196" s="1"/>
  <c r="O66" i="196" s="1"/>
  <c r="O67" i="196" s="1"/>
  <c r="O68" i="196" s="1"/>
  <c r="O69" i="196" s="1"/>
  <c r="O70" i="196" s="1"/>
  <c r="O71" i="196" s="1"/>
  <c r="O72" i="196" s="1"/>
  <c r="O73" i="196" s="1"/>
  <c r="O74" i="196" s="1"/>
  <c r="O75" i="196" s="1"/>
  <c r="O76" i="196" s="1"/>
  <c r="O77" i="196" s="1"/>
  <c r="O78" i="196" s="1"/>
  <c r="O79" i="196" s="1"/>
  <c r="O80" i="196" s="1"/>
  <c r="O81" i="196" s="1"/>
  <c r="O82" i="196" s="1"/>
  <c r="O83" i="196" s="1"/>
  <c r="O84" i="196" s="1"/>
  <c r="O85" i="196" s="1"/>
  <c r="O86" i="196" s="1"/>
  <c r="O87" i="196" s="1"/>
  <c r="O88" i="196" s="1"/>
  <c r="O89" i="196" s="1"/>
  <c r="O90" i="196" s="1"/>
  <c r="O91" i="196" s="1"/>
  <c r="O92" i="196" s="1"/>
  <c r="O93" i="196" s="1"/>
  <c r="O94" i="196" s="1"/>
  <c r="O95" i="196" s="1"/>
  <c r="O96" i="196" s="1"/>
  <c r="O97" i="196" s="1"/>
  <c r="O98" i="196" s="1"/>
  <c r="O99" i="196" s="1"/>
  <c r="O100" i="196" s="1"/>
  <c r="O101" i="196" s="1"/>
  <c r="O102" i="196" s="1"/>
  <c r="O103" i="196" s="1"/>
  <c r="O104" i="196" s="1"/>
  <c r="O105" i="196" s="1"/>
  <c r="O106" i="196" s="1"/>
  <c r="O107" i="196" s="1"/>
  <c r="O108" i="196" s="1"/>
  <c r="O109" i="196" s="1"/>
  <c r="O110" i="196" s="1"/>
  <c r="O111" i="196" s="1"/>
  <c r="O112" i="196" s="1"/>
  <c r="O113" i="196" s="1"/>
  <c r="O114" i="196" s="1"/>
  <c r="O115" i="196" s="1"/>
  <c r="O116" i="196" s="1"/>
  <c r="O117" i="196" s="1"/>
  <c r="O118" i="196" s="1"/>
  <c r="O119" i="196" s="1"/>
  <c r="O120" i="196" s="1"/>
  <c r="O121" i="196" s="1"/>
  <c r="O122" i="196" s="1"/>
  <c r="O123" i="196" s="1"/>
  <c r="P3" i="196"/>
  <c r="P4" i="196" s="1"/>
  <c r="P5" i="196" s="1"/>
  <c r="P6" i="196" s="1"/>
  <c r="P7" i="196" s="1"/>
  <c r="P8" i="196" s="1"/>
  <c r="P9" i="196" s="1"/>
  <c r="P10" i="196" s="1"/>
  <c r="P11" i="196" s="1"/>
  <c r="P12" i="196" s="1"/>
  <c r="P13" i="196" s="1"/>
  <c r="P14" i="196" s="1"/>
  <c r="P15" i="196" s="1"/>
  <c r="P16" i="196" s="1"/>
  <c r="P17" i="196" s="1"/>
  <c r="P18" i="196" s="1"/>
  <c r="P19" i="196" s="1"/>
  <c r="P20" i="196" s="1"/>
  <c r="P21" i="196" s="1"/>
  <c r="P22" i="196" s="1"/>
  <c r="P23" i="196" s="1"/>
  <c r="P24" i="196" s="1"/>
  <c r="P25" i="196" s="1"/>
  <c r="P26" i="196" s="1"/>
  <c r="P27" i="196" s="1"/>
  <c r="P28" i="196" s="1"/>
  <c r="P29" i="196" s="1"/>
  <c r="P30" i="196" s="1"/>
  <c r="P31" i="196" s="1"/>
  <c r="P32" i="196" s="1"/>
  <c r="P33" i="196" s="1"/>
  <c r="P34" i="196" s="1"/>
  <c r="P35" i="196" s="1"/>
  <c r="P36" i="196" s="1"/>
  <c r="P37" i="196" s="1"/>
  <c r="P38" i="196" s="1"/>
  <c r="P39" i="196" s="1"/>
  <c r="P40" i="196" s="1"/>
  <c r="P41" i="196" s="1"/>
  <c r="P42" i="196" s="1"/>
  <c r="P43" i="196" s="1"/>
  <c r="P44" i="196" s="1"/>
  <c r="P45" i="196" s="1"/>
  <c r="P46" i="196" s="1"/>
  <c r="P47" i="196" s="1"/>
  <c r="P48" i="196" s="1"/>
  <c r="P49" i="196" s="1"/>
  <c r="P50" i="196" s="1"/>
  <c r="P51" i="196" s="1"/>
  <c r="P52" i="196" s="1"/>
  <c r="P53" i="196" s="1"/>
  <c r="P54" i="196" s="1"/>
  <c r="P55" i="196" s="1"/>
  <c r="P56" i="196" s="1"/>
  <c r="P57" i="196" s="1"/>
  <c r="P58" i="196" s="1"/>
  <c r="P59" i="196" s="1"/>
  <c r="P60" i="196" s="1"/>
  <c r="P61" i="196" s="1"/>
  <c r="P62" i="196" s="1"/>
  <c r="P63" i="196" s="1"/>
  <c r="P64" i="196" s="1"/>
  <c r="P65" i="196" s="1"/>
  <c r="P66" i="196" s="1"/>
  <c r="P67" i="196" s="1"/>
  <c r="P68" i="196" s="1"/>
  <c r="P69" i="196" s="1"/>
  <c r="P70" i="196" s="1"/>
  <c r="P71" i="196" s="1"/>
  <c r="P72" i="196" s="1"/>
  <c r="P73" i="196" s="1"/>
  <c r="P74" i="196" s="1"/>
  <c r="P75" i="196" s="1"/>
  <c r="P76" i="196" s="1"/>
  <c r="P77" i="196" s="1"/>
  <c r="P78" i="196" s="1"/>
  <c r="P79" i="196" s="1"/>
  <c r="P80" i="196" s="1"/>
  <c r="P81" i="196" s="1"/>
  <c r="P82" i="196" s="1"/>
  <c r="P83" i="196" s="1"/>
  <c r="P84" i="196" s="1"/>
  <c r="P85" i="196" s="1"/>
  <c r="P86" i="196" s="1"/>
  <c r="P87" i="196" s="1"/>
  <c r="P88" i="196" s="1"/>
  <c r="P89" i="196" s="1"/>
  <c r="P90" i="196" s="1"/>
  <c r="P91" i="196" s="1"/>
  <c r="P92" i="196" s="1"/>
  <c r="P93" i="196" s="1"/>
  <c r="P94" i="196" s="1"/>
  <c r="P95" i="196" s="1"/>
  <c r="P96" i="196" s="1"/>
  <c r="P97" i="196" s="1"/>
  <c r="P98" i="196" s="1"/>
  <c r="P99" i="196" s="1"/>
  <c r="P100" i="196" s="1"/>
  <c r="P101" i="196" s="1"/>
  <c r="P102" i="196" s="1"/>
  <c r="P103" i="196" s="1"/>
  <c r="P104" i="196" s="1"/>
  <c r="P105" i="196" s="1"/>
  <c r="P106" i="196" s="1"/>
  <c r="P107" i="196" s="1"/>
  <c r="P108" i="196" s="1"/>
  <c r="P109" i="196" s="1"/>
  <c r="P110" i="196" s="1"/>
  <c r="P111" i="196" s="1"/>
  <c r="P112" i="196" s="1"/>
  <c r="P113" i="196" s="1"/>
  <c r="P114" i="196" s="1"/>
  <c r="P115" i="196" s="1"/>
  <c r="P116" i="196" s="1"/>
  <c r="P117" i="196" s="1"/>
  <c r="P118" i="196" s="1"/>
  <c r="P119" i="196" s="1"/>
  <c r="P120" i="196" s="1"/>
  <c r="P121" i="196" s="1"/>
  <c r="P122" i="196" s="1"/>
  <c r="P123" i="196" s="1"/>
  <c r="BD123" i="196"/>
  <c r="BD122" i="196"/>
  <c r="BD121" i="196"/>
  <c r="BD120" i="196"/>
  <c r="BD119" i="196"/>
  <c r="BD118" i="196"/>
  <c r="BD117" i="196"/>
  <c r="BD116" i="196"/>
  <c r="BD115" i="196"/>
  <c r="BD114" i="196"/>
  <c r="BD113" i="196"/>
  <c r="BD112" i="196"/>
  <c r="BD111" i="196"/>
  <c r="BD110" i="196"/>
  <c r="BD109" i="196"/>
  <c r="BD108" i="196"/>
  <c r="BD107" i="196"/>
  <c r="BD106" i="196"/>
  <c r="BD105" i="196"/>
  <c r="BD104" i="196"/>
  <c r="BD103" i="196"/>
  <c r="BD102" i="196"/>
  <c r="BD101" i="196"/>
  <c r="BD100" i="196"/>
  <c r="BD99" i="196"/>
  <c r="BD98" i="196"/>
  <c r="BD97" i="196"/>
  <c r="BD96" i="196"/>
  <c r="BD95" i="196"/>
  <c r="BD94" i="196"/>
  <c r="DI4" i="196" l="1"/>
  <c r="EQ4" i="196" s="1"/>
  <c r="EQ3" i="196"/>
  <c r="DH4" i="196"/>
  <c r="DA4" i="196"/>
  <c r="AZ95" i="196"/>
  <c r="AZ96" i="196" s="1"/>
  <c r="AZ97" i="196" s="1"/>
  <c r="AZ98" i="196" s="1"/>
  <c r="AZ99" i="196" s="1"/>
  <c r="AZ100" i="196" s="1"/>
  <c r="AZ101" i="196" s="1"/>
  <c r="AZ102" i="196" s="1"/>
  <c r="AZ103" i="196" s="1"/>
  <c r="AZ104" i="196" s="1"/>
  <c r="AZ105" i="196" s="1"/>
  <c r="AZ106" i="196" s="1"/>
  <c r="AZ107" i="196" s="1"/>
  <c r="AZ108" i="196" s="1"/>
  <c r="AZ109" i="196" s="1"/>
  <c r="AZ110" i="196" s="1"/>
  <c r="AZ111" i="196" s="1"/>
  <c r="AZ112" i="196" s="1"/>
  <c r="AZ113" i="196" s="1"/>
  <c r="AZ114" i="196" s="1"/>
  <c r="AZ115" i="196" s="1"/>
  <c r="AZ116" i="196" s="1"/>
  <c r="AZ117" i="196" s="1"/>
  <c r="AZ118" i="196" s="1"/>
  <c r="AZ119" i="196" s="1"/>
  <c r="AZ120" i="196" s="1"/>
  <c r="AZ121" i="196" s="1"/>
  <c r="AZ122" i="196" s="1"/>
  <c r="AZ123" i="196" s="1"/>
  <c r="AY95" i="196"/>
  <c r="AY96" i="196" s="1"/>
  <c r="AY97" i="196" s="1"/>
  <c r="AY98" i="196" s="1"/>
  <c r="AY99" i="196" s="1"/>
  <c r="AY100" i="196" s="1"/>
  <c r="AY101" i="196" s="1"/>
  <c r="AY102" i="196" s="1"/>
  <c r="AY103" i="196" s="1"/>
  <c r="AY104" i="196" s="1"/>
  <c r="AY105" i="196" s="1"/>
  <c r="AY106" i="196" s="1"/>
  <c r="AY107" i="196" s="1"/>
  <c r="AY108" i="196" s="1"/>
  <c r="AY109" i="196" s="1"/>
  <c r="AY110" i="196" s="1"/>
  <c r="AY111" i="196" s="1"/>
  <c r="AY112" i="196" s="1"/>
  <c r="AY113" i="196" s="1"/>
  <c r="AY114" i="196" s="1"/>
  <c r="AY115" i="196" s="1"/>
  <c r="AY116" i="196" s="1"/>
  <c r="AY117" i="196" s="1"/>
  <c r="AY118" i="196" s="1"/>
  <c r="AY119" i="196" s="1"/>
  <c r="AY120" i="196" s="1"/>
  <c r="AY121" i="196" s="1"/>
  <c r="AY122" i="196" s="1"/>
  <c r="AY123" i="196" s="1"/>
  <c r="AW95" i="196"/>
  <c r="AW96" i="196" s="1"/>
  <c r="AW97" i="196" s="1"/>
  <c r="AW98" i="196" s="1"/>
  <c r="AW99" i="196" s="1"/>
  <c r="AW100" i="196" s="1"/>
  <c r="AW101" i="196" s="1"/>
  <c r="AW102" i="196" s="1"/>
  <c r="AW103" i="196" s="1"/>
  <c r="AW104" i="196" s="1"/>
  <c r="AW105" i="196" s="1"/>
  <c r="AW106" i="196" s="1"/>
  <c r="AW107" i="196" s="1"/>
  <c r="AW108" i="196" s="1"/>
  <c r="AW109" i="196" s="1"/>
  <c r="AW110" i="196" s="1"/>
  <c r="AW111" i="196" s="1"/>
  <c r="AW112" i="196" s="1"/>
  <c r="AW113" i="196" s="1"/>
  <c r="AW114" i="196" s="1"/>
  <c r="AW115" i="196" s="1"/>
  <c r="AW116" i="196" s="1"/>
  <c r="AW117" i="196" s="1"/>
  <c r="AW118" i="196" s="1"/>
  <c r="AW119" i="196" s="1"/>
  <c r="AW120" i="196" s="1"/>
  <c r="AW121" i="196" s="1"/>
  <c r="AW122" i="196" s="1"/>
  <c r="AW123" i="196" s="1"/>
  <c r="AT95" i="196"/>
  <c r="AT96" i="196" s="1"/>
  <c r="AT97" i="196" s="1"/>
  <c r="AT98" i="196" s="1"/>
  <c r="AT99" i="196" s="1"/>
  <c r="AT100" i="196" s="1"/>
  <c r="AT101" i="196" s="1"/>
  <c r="AT102" i="196" s="1"/>
  <c r="AT103" i="196" s="1"/>
  <c r="AT104" i="196" s="1"/>
  <c r="AT105" i="196" s="1"/>
  <c r="AT106" i="196" s="1"/>
  <c r="AT107" i="196" s="1"/>
  <c r="AT108" i="196" s="1"/>
  <c r="AT109" i="196" s="1"/>
  <c r="AT110" i="196" s="1"/>
  <c r="AT111" i="196" s="1"/>
  <c r="AT112" i="196" s="1"/>
  <c r="AT113" i="196" s="1"/>
  <c r="AT114" i="196" s="1"/>
  <c r="AT115" i="196" s="1"/>
  <c r="AT116" i="196" s="1"/>
  <c r="AT117" i="196" s="1"/>
  <c r="AT118" i="196" s="1"/>
  <c r="AT119" i="196" s="1"/>
  <c r="AT120" i="196" s="1"/>
  <c r="AT121" i="196" s="1"/>
  <c r="AT122" i="196" s="1"/>
  <c r="AT123" i="196" s="1"/>
  <c r="AV95" i="196"/>
  <c r="AV96" i="196" s="1"/>
  <c r="AV97" i="196" s="1"/>
  <c r="AV98" i="196" s="1"/>
  <c r="AV99" i="196" s="1"/>
  <c r="AV100" i="196" s="1"/>
  <c r="AV101" i="196" s="1"/>
  <c r="AV102" i="196" s="1"/>
  <c r="AV103" i="196" s="1"/>
  <c r="AV104" i="196" s="1"/>
  <c r="AV105" i="196" s="1"/>
  <c r="AV106" i="196" s="1"/>
  <c r="AV107" i="196" s="1"/>
  <c r="AV108" i="196" s="1"/>
  <c r="AV109" i="196" s="1"/>
  <c r="AV110" i="196" s="1"/>
  <c r="AV111" i="196" s="1"/>
  <c r="AV112" i="196" s="1"/>
  <c r="AV113" i="196" s="1"/>
  <c r="AV114" i="196" s="1"/>
  <c r="AV115" i="196" s="1"/>
  <c r="AV116" i="196" s="1"/>
  <c r="AV117" i="196" s="1"/>
  <c r="AV118" i="196" s="1"/>
  <c r="AV119" i="196" s="1"/>
  <c r="AV120" i="196" s="1"/>
  <c r="AV121" i="196" s="1"/>
  <c r="AV122" i="196" s="1"/>
  <c r="AV123" i="196" s="1"/>
  <c r="BC95" i="196"/>
  <c r="BC96" i="196" s="1"/>
  <c r="BC97" i="196" s="1"/>
  <c r="BC98" i="196" s="1"/>
  <c r="BC99" i="196" s="1"/>
  <c r="BC100" i="196" s="1"/>
  <c r="BC101" i="196" s="1"/>
  <c r="BC102" i="196" s="1"/>
  <c r="BC103" i="196" s="1"/>
  <c r="BC104" i="196" s="1"/>
  <c r="BC105" i="196" s="1"/>
  <c r="BC106" i="196" s="1"/>
  <c r="BC107" i="196" s="1"/>
  <c r="BC108" i="196" s="1"/>
  <c r="BC109" i="196" s="1"/>
  <c r="BC110" i="196" s="1"/>
  <c r="BC111" i="196" s="1"/>
  <c r="BC112" i="196" s="1"/>
  <c r="AU95" i="196"/>
  <c r="AU96" i="196" s="1"/>
  <c r="AU97" i="196" s="1"/>
  <c r="AU98" i="196" s="1"/>
  <c r="AU99" i="196" s="1"/>
  <c r="AU100" i="196" s="1"/>
  <c r="AU101" i="196" s="1"/>
  <c r="AU102" i="196" s="1"/>
  <c r="AU103" i="196" s="1"/>
  <c r="AU104" i="196" s="1"/>
  <c r="AU105" i="196" s="1"/>
  <c r="AU106" i="196" s="1"/>
  <c r="AU107" i="196" s="1"/>
  <c r="AU108" i="196" s="1"/>
  <c r="AU109" i="196" s="1"/>
  <c r="AU110" i="196" s="1"/>
  <c r="AU111" i="196" s="1"/>
  <c r="AU112" i="196" s="1"/>
  <c r="AU113" i="196" s="1"/>
  <c r="AU114" i="196" s="1"/>
  <c r="AU115" i="196" s="1"/>
  <c r="AU116" i="196" s="1"/>
  <c r="AU117" i="196" s="1"/>
  <c r="AU118" i="196" s="1"/>
  <c r="AU119" i="196" s="1"/>
  <c r="AU120" i="196" s="1"/>
  <c r="AU121" i="196" s="1"/>
  <c r="AU122" i="196" s="1"/>
  <c r="AU123" i="196" s="1"/>
  <c r="BA95" i="196"/>
  <c r="BA96" i="196" s="1"/>
  <c r="BA97" i="196" s="1"/>
  <c r="BA98" i="196" s="1"/>
  <c r="BA99" i="196" s="1"/>
  <c r="BA100" i="196" s="1"/>
  <c r="BA101" i="196" s="1"/>
  <c r="BA102" i="196" s="1"/>
  <c r="BA103" i="196" s="1"/>
  <c r="BA104" i="196" s="1"/>
  <c r="BA105" i="196" s="1"/>
  <c r="BA106" i="196" s="1"/>
  <c r="BA107" i="196" s="1"/>
  <c r="BA108" i="196" s="1"/>
  <c r="BA109" i="196" s="1"/>
  <c r="BA110" i="196" s="1"/>
  <c r="BA111" i="196" s="1"/>
  <c r="BA112" i="196" s="1"/>
  <c r="BA113" i="196" s="1"/>
  <c r="BA114" i="196" s="1"/>
  <c r="BA115" i="196" s="1"/>
  <c r="BA116" i="196" s="1"/>
  <c r="BA117" i="196" s="1"/>
  <c r="BA118" i="196" s="1"/>
  <c r="BA119" i="196" s="1"/>
  <c r="BA120" i="196" s="1"/>
  <c r="BA121" i="196" s="1"/>
  <c r="BA122" i="196" s="1"/>
  <c r="BA123" i="196" s="1"/>
  <c r="BC113" i="196" l="1"/>
  <c r="BC114" i="196" s="1"/>
  <c r="BC115" i="196" s="1"/>
  <c r="BC116" i="196" s="1"/>
  <c r="BC117" i="196" s="1"/>
  <c r="BC118" i="196" s="1"/>
  <c r="BC119" i="196" s="1"/>
  <c r="BC120" i="196" s="1"/>
  <c r="BC121" i="196" s="1"/>
  <c r="BC122" i="196" s="1"/>
  <c r="BC123" i="196" s="1"/>
  <c r="EA3" i="196"/>
  <c r="DI5" i="196"/>
  <c r="EA4" i="196" s="1"/>
  <c r="EI4" i="196"/>
  <c r="DS3" i="196"/>
  <c r="EP4" i="196"/>
  <c r="DZ3" i="196"/>
  <c r="T38" i="249"/>
  <c r="T39" i="249"/>
  <c r="DA5" i="196"/>
  <c r="DS4" i="196" s="1"/>
  <c r="DH5" i="196"/>
  <c r="DZ4" i="196" s="1"/>
  <c r="DI6" i="196" l="1"/>
  <c r="EA5" i="196" s="1"/>
  <c r="EQ5" i="196"/>
  <c r="EP5" i="196"/>
  <c r="EI5" i="196"/>
  <c r="DH6" i="196"/>
  <c r="DZ5" i="196" s="1"/>
  <c r="DA6" i="196"/>
  <c r="DS5" i="196" s="1"/>
  <c r="DI7" i="196" l="1"/>
  <c r="EA6" i="196" s="1"/>
  <c r="EQ6" i="196"/>
  <c r="EP6" i="196"/>
  <c r="EI6" i="196"/>
  <c r="DH7" i="196"/>
  <c r="DA7" i="196"/>
  <c r="DS6" i="196" s="1"/>
  <c r="DI8" i="196" l="1"/>
  <c r="EA7" i="196" s="1"/>
  <c r="EQ7" i="196"/>
  <c r="EP7" i="196"/>
  <c r="DZ6" i="196"/>
  <c r="EI7" i="196"/>
  <c r="DA8" i="196"/>
  <c r="DS7" i="196" s="1"/>
  <c r="DH8" i="196"/>
  <c r="DZ7" i="196" s="1"/>
  <c r="EQ8" i="196" l="1"/>
  <c r="DI9" i="196"/>
  <c r="EQ9" i="196" s="1"/>
  <c r="EP8" i="196"/>
  <c r="EI8" i="196"/>
  <c r="DH9" i="196"/>
  <c r="DA9" i="196"/>
  <c r="DI10" i="196" l="1"/>
  <c r="EQ10" i="196" s="1"/>
  <c r="EA8" i="196"/>
  <c r="EI9" i="196"/>
  <c r="DS8" i="196"/>
  <c r="EP9" i="196"/>
  <c r="DZ8" i="196"/>
  <c r="DH10" i="196"/>
  <c r="DZ9" i="196" s="1"/>
  <c r="DA10" i="196"/>
  <c r="DI11" i="196" l="1"/>
  <c r="DI12" i="196" s="1"/>
  <c r="EA9" i="196"/>
  <c r="EI10" i="196"/>
  <c r="EP10" i="196"/>
  <c r="DS9" i="196"/>
  <c r="DH11" i="196"/>
  <c r="DA11" i="196"/>
  <c r="EQ11" i="196" l="1"/>
  <c r="EA10" i="196"/>
  <c r="EP11" i="196"/>
  <c r="DZ10" i="196"/>
  <c r="EQ12" i="196"/>
  <c r="EI11" i="196"/>
  <c r="DS10" i="196"/>
  <c r="EA11" i="196"/>
  <c r="DA12" i="196"/>
  <c r="DH12" i="196"/>
  <c r="DZ11" i="196" s="1"/>
  <c r="DI13" i="196"/>
  <c r="EQ13" i="196" l="1"/>
  <c r="EP12" i="196"/>
  <c r="EI12" i="196"/>
  <c r="EA12" i="196"/>
  <c r="DS11" i="196"/>
  <c r="DH13" i="196"/>
  <c r="DZ12" i="196" s="1"/>
  <c r="DA13" i="196"/>
  <c r="DI14" i="196"/>
  <c r="EI13" i="196" l="1"/>
  <c r="DS12" i="196"/>
  <c r="EQ14" i="196"/>
  <c r="EA13" i="196"/>
  <c r="EP13" i="196"/>
  <c r="DA14" i="196"/>
  <c r="DI15" i="196"/>
  <c r="EA14" i="196" s="1"/>
  <c r="DH14" i="196"/>
  <c r="EP14" i="196" l="1"/>
  <c r="EQ15" i="196"/>
  <c r="EI14" i="196"/>
  <c r="DS13" i="196"/>
  <c r="DZ13" i="196"/>
  <c r="DH15" i="196"/>
  <c r="DI16" i="196"/>
  <c r="DA15" i="196"/>
  <c r="DS14" i="196" s="1"/>
  <c r="EQ16" i="196" l="1"/>
  <c r="EI15" i="196"/>
  <c r="EA15" i="196"/>
  <c r="EP15" i="196"/>
  <c r="DZ14" i="196"/>
  <c r="DH16" i="196"/>
  <c r="DA16" i="196"/>
  <c r="DI17" i="196"/>
  <c r="EI16" i="196" l="1"/>
  <c r="DS15" i="196"/>
  <c r="EQ17" i="196"/>
  <c r="EP16" i="196"/>
  <c r="EA16" i="196"/>
  <c r="DZ15" i="196"/>
  <c r="DH17" i="196"/>
  <c r="DZ16" i="196" s="1"/>
  <c r="DI18" i="196"/>
  <c r="EA17" i="196" s="1"/>
  <c r="DA17" i="196"/>
  <c r="EI17" i="196" l="1"/>
  <c r="EQ18" i="196"/>
  <c r="DS16" i="196"/>
  <c r="EP17" i="196"/>
  <c r="DH18" i="196"/>
  <c r="DA18" i="196"/>
  <c r="DS17" i="196" s="1"/>
  <c r="DI19" i="196"/>
  <c r="EA18" i="196" s="1"/>
  <c r="EP18" i="196" l="1"/>
  <c r="EQ19" i="196"/>
  <c r="EI18" i="196"/>
  <c r="DZ17" i="196"/>
  <c r="DA19" i="196"/>
  <c r="DS18" i="196" s="1"/>
  <c r="DH19" i="196"/>
  <c r="DI20" i="196"/>
  <c r="EP19" i="196" l="1"/>
  <c r="EI19" i="196"/>
  <c r="DZ18" i="196"/>
  <c r="EQ20" i="196"/>
  <c r="EA19" i="196"/>
  <c r="DI21" i="196"/>
  <c r="EA20" i="196" s="1"/>
  <c r="DA20" i="196"/>
  <c r="DH20" i="196"/>
  <c r="EI20" i="196" l="1"/>
  <c r="DS19" i="196"/>
  <c r="EP20" i="196"/>
  <c r="EQ21" i="196"/>
  <c r="DZ19" i="196"/>
  <c r="DI22" i="196"/>
  <c r="DA21" i="196"/>
  <c r="DH21" i="196"/>
  <c r="DZ20" i="196" s="1"/>
  <c r="EI21" i="196" l="1"/>
  <c r="EP21" i="196"/>
  <c r="EQ22" i="196"/>
  <c r="DS20" i="196"/>
  <c r="EA21" i="196"/>
  <c r="DA22" i="196"/>
  <c r="DI23" i="196"/>
  <c r="EA22" i="196" s="1"/>
  <c r="DH22" i="196"/>
  <c r="EP22" i="196" l="1"/>
  <c r="DZ21" i="196"/>
  <c r="EI22" i="196"/>
  <c r="DS21" i="196"/>
  <c r="EQ23" i="196"/>
  <c r="DI24" i="196"/>
  <c r="DH23" i="196"/>
  <c r="DA23" i="196"/>
  <c r="DS22" i="196" s="1"/>
  <c r="EQ24" i="196" l="1"/>
  <c r="EI23" i="196"/>
  <c r="EP23" i="196"/>
  <c r="EA23" i="196"/>
  <c r="DZ22" i="196"/>
  <c r="DI25" i="196"/>
  <c r="DA24" i="196"/>
  <c r="DH24" i="196"/>
  <c r="DZ23" i="196" s="1"/>
  <c r="EQ25" i="196" l="1"/>
  <c r="EA24" i="196"/>
  <c r="EP24" i="196"/>
  <c r="EI24" i="196"/>
  <c r="DS23" i="196"/>
  <c r="DA25" i="196"/>
  <c r="DS24" i="196" s="1"/>
  <c r="DH25" i="196"/>
  <c r="DZ24" i="196" s="1"/>
  <c r="DI26" i="196"/>
  <c r="EQ26" i="196" l="1"/>
  <c r="EP25" i="196"/>
  <c r="EI25" i="196"/>
  <c r="EA25" i="196"/>
  <c r="DA26" i="196"/>
  <c r="DS25" i="196" s="1"/>
  <c r="DH26" i="196"/>
  <c r="DI27" i="196"/>
  <c r="EQ27" i="196" l="1"/>
  <c r="EP26" i="196"/>
  <c r="DZ25" i="196"/>
  <c r="EI26" i="196"/>
  <c r="EA26" i="196"/>
  <c r="DI28" i="196"/>
  <c r="DA27" i="196"/>
  <c r="DS26" i="196" s="1"/>
  <c r="DH27" i="196"/>
  <c r="DZ26" i="196" s="1"/>
  <c r="EP27" i="196" l="1"/>
  <c r="EI27" i="196"/>
  <c r="EQ28" i="196"/>
  <c r="EA27" i="196"/>
  <c r="DH28" i="196"/>
  <c r="DZ27" i="196" s="1"/>
  <c r="DI29" i="196"/>
  <c r="DA28" i="196"/>
  <c r="EQ29" i="196" l="1"/>
  <c r="EI28" i="196"/>
  <c r="EA28" i="196"/>
  <c r="EP28" i="196"/>
  <c r="DS27" i="196"/>
  <c r="DI30" i="196"/>
  <c r="EA29" i="196" s="1"/>
  <c r="DA29" i="196"/>
  <c r="DH29" i="196"/>
  <c r="DZ28" i="196" s="1"/>
  <c r="EP29" i="196" l="1"/>
  <c r="EI29" i="196"/>
  <c r="DS28" i="196"/>
  <c r="EQ30" i="196"/>
  <c r="DA30" i="196"/>
  <c r="DH30" i="196"/>
  <c r="DZ29" i="196" s="1"/>
  <c r="DI31" i="196"/>
  <c r="EA30" i="196" s="1"/>
  <c r="EI30" i="196" l="1"/>
  <c r="DS29" i="196"/>
  <c r="EQ31" i="196"/>
  <c r="EP30" i="196"/>
  <c r="DH31" i="196"/>
  <c r="DZ30" i="196" s="1"/>
  <c r="DI32" i="196"/>
  <c r="EA31" i="196" s="1"/>
  <c r="DA31" i="196"/>
  <c r="EI31" i="196" l="1"/>
  <c r="DS30" i="196"/>
  <c r="EQ32" i="196"/>
  <c r="EP31" i="196"/>
  <c r="DA32" i="196"/>
  <c r="DH32" i="196"/>
  <c r="DZ31" i="196" s="1"/>
  <c r="DI33" i="196"/>
  <c r="EI32" i="196" l="1"/>
  <c r="EQ33" i="196"/>
  <c r="EA32" i="196"/>
  <c r="EP32" i="196"/>
  <c r="DS31" i="196"/>
  <c r="DH33" i="196"/>
  <c r="DZ32" i="196" s="1"/>
  <c r="DI34" i="196"/>
  <c r="EA33" i="196" s="1"/>
  <c r="DA33" i="196"/>
  <c r="EI33" i="196" l="1"/>
  <c r="EQ34" i="196"/>
  <c r="EP33" i="196"/>
  <c r="DS32" i="196"/>
  <c r="DI35" i="196"/>
  <c r="DA34" i="196"/>
  <c r="DH34" i="196"/>
  <c r="DZ33" i="196" s="1"/>
  <c r="EQ35" i="196" l="1"/>
  <c r="EA34" i="196"/>
  <c r="EP34" i="196"/>
  <c r="EI34" i="196"/>
  <c r="DS33" i="196"/>
  <c r="DA35" i="196"/>
  <c r="DS34" i="196" s="1"/>
  <c r="DH35" i="196"/>
  <c r="DZ34" i="196" s="1"/>
  <c r="DI36" i="196"/>
  <c r="EQ36" i="196" s="1"/>
  <c r="EP35" i="196" l="1"/>
  <c r="EA35" i="196"/>
  <c r="EI35" i="196"/>
  <c r="DH36" i="196"/>
  <c r="DA36" i="196"/>
  <c r="DI37" i="196"/>
  <c r="EI36" i="196" l="1"/>
  <c r="DS35" i="196"/>
  <c r="EP36" i="196"/>
  <c r="DZ35" i="196"/>
  <c r="DI38" i="196"/>
  <c r="DA37" i="196"/>
  <c r="DH37" i="196"/>
  <c r="DZ36" i="196" s="1"/>
  <c r="EI37" i="196" l="1"/>
  <c r="EP37" i="196"/>
  <c r="DS36" i="196"/>
  <c r="DA38" i="196"/>
  <c r="DI39" i="196"/>
  <c r="DH38" i="196"/>
  <c r="DZ37" i="196" s="1"/>
  <c r="EI38" i="196" l="1"/>
  <c r="DS37" i="196"/>
  <c r="EP38" i="196"/>
  <c r="DA39" i="196"/>
  <c r="DH39" i="196"/>
  <c r="DZ38" i="196" s="1"/>
  <c r="DI40" i="196"/>
  <c r="EI39" i="196" l="1"/>
  <c r="DS38" i="196"/>
  <c r="EP39" i="196"/>
  <c r="DI41" i="196"/>
  <c r="DH40" i="196"/>
  <c r="DZ39" i="196" s="1"/>
  <c r="DA40" i="196"/>
  <c r="EP40" i="196" l="1"/>
  <c r="EI40" i="196"/>
  <c r="DS39" i="196"/>
  <c r="DH41" i="196"/>
  <c r="DI42" i="196"/>
  <c r="DA41" i="196"/>
  <c r="EI41" i="196" l="1"/>
  <c r="EP41" i="196"/>
  <c r="DS40" i="196"/>
  <c r="DZ40" i="196"/>
  <c r="DA42" i="196"/>
  <c r="DH42" i="196"/>
  <c r="DI43" i="196"/>
  <c r="EP42" i="196" l="1"/>
  <c r="EI42" i="196"/>
  <c r="DZ41" i="196"/>
  <c r="DS41" i="196"/>
  <c r="DH43" i="196"/>
  <c r="DZ42" i="196" s="1"/>
  <c r="DI44" i="196"/>
  <c r="DA43" i="196"/>
  <c r="EI43" i="196" l="1"/>
  <c r="EP43" i="196"/>
  <c r="DS42" i="196"/>
  <c r="DI45" i="196"/>
  <c r="DH44" i="196"/>
  <c r="DZ43" i="196" s="1"/>
  <c r="DA44" i="196"/>
  <c r="EP44" i="196" l="1"/>
  <c r="EI44" i="196"/>
  <c r="DS43" i="196"/>
  <c r="DA45" i="196"/>
  <c r="DS44" i="196" s="1"/>
  <c r="DH45" i="196"/>
  <c r="DZ44" i="196" s="1"/>
  <c r="DI46" i="196"/>
  <c r="EP45" i="196" l="1"/>
  <c r="EI45" i="196"/>
  <c r="DI47" i="196"/>
  <c r="DA46" i="196"/>
  <c r="DH46" i="196"/>
  <c r="EP46" i="196" s="1"/>
  <c r="EI46" i="196" l="1"/>
  <c r="DS45" i="196"/>
  <c r="DZ45" i="196"/>
  <c r="DI48" i="196"/>
  <c r="DH47" i="196"/>
  <c r="DA47" i="196"/>
  <c r="EI47" i="196" l="1"/>
  <c r="DS46" i="196"/>
  <c r="DI49" i="196"/>
  <c r="DA48" i="196"/>
  <c r="DS47" i="196" s="1"/>
  <c r="DH48" i="196"/>
  <c r="EI48" i="196" l="1"/>
  <c r="DI50" i="196"/>
  <c r="DA49" i="196"/>
  <c r="DH49" i="196"/>
  <c r="EI49" i="196" l="1"/>
  <c r="DS48" i="196"/>
  <c r="DH50" i="196"/>
  <c r="DA50" i="196"/>
  <c r="DI51" i="196"/>
  <c r="EI50" i="196" l="1"/>
  <c r="DS49" i="196"/>
  <c r="DA51" i="196"/>
  <c r="DI52" i="196"/>
  <c r="DH51" i="196"/>
  <c r="EI51" i="196" l="1"/>
  <c r="DS50" i="196"/>
  <c r="DH52" i="196"/>
  <c r="DA52" i="196"/>
  <c r="DI53" i="196"/>
  <c r="EI52" i="196" l="1"/>
  <c r="DS51" i="196"/>
  <c r="DA53" i="196"/>
  <c r="DI54" i="196"/>
  <c r="DH53" i="196"/>
  <c r="EI53" i="196" l="1"/>
  <c r="DS52" i="196"/>
  <c r="DA54" i="196"/>
  <c r="DI55" i="196"/>
  <c r="DH54" i="196"/>
  <c r="EI54" i="196" l="1"/>
  <c r="DS53" i="196"/>
  <c r="DI56" i="196"/>
  <c r="DH55" i="196"/>
  <c r="DA55" i="196"/>
  <c r="EI55" i="196" l="1"/>
  <c r="DS54" i="196"/>
  <c r="DA56" i="196"/>
  <c r="DH56" i="196"/>
  <c r="DI57" i="196"/>
  <c r="EI56" i="196" l="1"/>
  <c r="DS55" i="196"/>
  <c r="DH57" i="196"/>
  <c r="DI58" i="196"/>
  <c r="DA57" i="196"/>
  <c r="EI57" i="196" l="1"/>
  <c r="DS56" i="196"/>
  <c r="DA58" i="196"/>
  <c r="DH58" i="196"/>
  <c r="DI59" i="196"/>
  <c r="EI58" i="196" l="1"/>
  <c r="DS57" i="196"/>
  <c r="DI60" i="196"/>
  <c r="DH59" i="196"/>
  <c r="DA59" i="196"/>
  <c r="EI59" i="196" l="1"/>
  <c r="DS58" i="196"/>
  <c r="DH60" i="196"/>
  <c r="DA60" i="196"/>
  <c r="DS59" i="196" s="1"/>
  <c r="DI61" i="196"/>
  <c r="EI60" i="196" l="1"/>
  <c r="DH61" i="196"/>
  <c r="DA61" i="196"/>
  <c r="DI62" i="196"/>
  <c r="EI61" i="196" l="1"/>
  <c r="DS60" i="196"/>
  <c r="DA62" i="196"/>
  <c r="DI63" i="196"/>
  <c r="DH62" i="196"/>
  <c r="EI62" i="196" l="1"/>
  <c r="DS61" i="196"/>
  <c r="DH63" i="196"/>
  <c r="DA63" i="196"/>
  <c r="DI64" i="196"/>
  <c r="EI63" i="196" l="1"/>
  <c r="DS62" i="196"/>
  <c r="DH64" i="196"/>
  <c r="DA64" i="196"/>
  <c r="DI65" i="196"/>
  <c r="EI64" i="196" l="1"/>
  <c r="DS63" i="196"/>
  <c r="DH65" i="196"/>
  <c r="DI66" i="196"/>
  <c r="DH66" i="196" l="1"/>
  <c r="DI67" i="196"/>
  <c r="DH67" i="196" l="1"/>
  <c r="DI68" i="196"/>
  <c r="DI69" i="196" l="1"/>
  <c r="DH68" i="196"/>
  <c r="DH69" i="196" l="1"/>
  <c r="DI70" i="196"/>
  <c r="DH70" i="196" l="1"/>
  <c r="DI71" i="196"/>
  <c r="DH71" i="196" l="1"/>
  <c r="DI72" i="196"/>
  <c r="DI73" i="196" l="1"/>
  <c r="DH72" i="196"/>
  <c r="DI74" i="196" l="1"/>
  <c r="DH73" i="196"/>
  <c r="DI75" i="196" l="1"/>
  <c r="DH74" i="196"/>
  <c r="DI76" i="196" l="1"/>
  <c r="DH75" i="196"/>
  <c r="DI77" i="196" l="1"/>
  <c r="DH76" i="196"/>
  <c r="DI78" i="196" l="1"/>
  <c r="DH77" i="196"/>
  <c r="DI79" i="196" l="1"/>
  <c r="DH78" i="196"/>
  <c r="DI80" i="196" l="1"/>
  <c r="DH79" i="196"/>
  <c r="DH80" i="196" l="1"/>
  <c r="DI81" i="196"/>
  <c r="DI82" i="196" l="1"/>
  <c r="DH81" i="196"/>
  <c r="DI83" i="196" l="1"/>
  <c r="DH82" i="196"/>
  <c r="DI84" i="196" l="1"/>
  <c r="DH83" i="196"/>
  <c r="DI85" i="196" l="1"/>
  <c r="DH84" i="196"/>
  <c r="DI86" i="196" l="1"/>
  <c r="DH85" i="196"/>
  <c r="DI87" i="196" l="1"/>
  <c r="DH86" i="196"/>
  <c r="DI88" i="196" l="1"/>
  <c r="DH87" i="196"/>
  <c r="DH88" i="196" l="1"/>
  <c r="DI89" i="196"/>
  <c r="DI90" i="196" l="1"/>
  <c r="DH89" i="196"/>
  <c r="DH90" i="196" l="1"/>
  <c r="DI91" i="196"/>
  <c r="DI92" i="196" l="1"/>
  <c r="DH91" i="196"/>
  <c r="DH92" i="196" l="1"/>
  <c r="DI93" i="196"/>
  <c r="DI94" i="196" l="1"/>
  <c r="DH93" i="196"/>
  <c r="DH94" i="196" l="1"/>
  <c r="DI95" i="196"/>
  <c r="DI96" i="196" l="1"/>
  <c r="DH95" i="196"/>
  <c r="DI97" i="196" l="1"/>
  <c r="DH96" i="196"/>
  <c r="DH97" i="196" l="1"/>
  <c r="DI98" i="196"/>
  <c r="DH98" i="196" l="1"/>
  <c r="DI99" i="196"/>
  <c r="DI100" i="196" l="1"/>
  <c r="DH99" i="196"/>
  <c r="DH100" i="196" l="1"/>
  <c r="DI101" i="196"/>
  <c r="DI102" i="196" l="1"/>
  <c r="DH101" i="196"/>
  <c r="DI103" i="196" l="1"/>
  <c r="DH102" i="196"/>
  <c r="DH103" i="196" l="1"/>
  <c r="DI104" i="196"/>
  <c r="DH104" i="196" l="1"/>
  <c r="DI105" i="196"/>
  <c r="DI106" i="196" l="1"/>
  <c r="DH105" i="196"/>
  <c r="DH106" i="196" l="1"/>
  <c r="DI107" i="196"/>
  <c r="DI108" i="196" l="1"/>
  <c r="DH107" i="196"/>
  <c r="DH108" i="196" l="1"/>
  <c r="DI109" i="196"/>
  <c r="DI110" i="196" l="1"/>
  <c r="DH109" i="196"/>
  <c r="DH110" i="196" l="1"/>
  <c r="DI111" i="196"/>
  <c r="DI112" i="196" l="1"/>
  <c r="DH111" i="196"/>
  <c r="DH112" i="196" l="1"/>
  <c r="DI113" i="196"/>
  <c r="DI114" i="196" l="1"/>
  <c r="DH113" i="196"/>
  <c r="DH114" i="196" l="1"/>
  <c r="DI115" i="196"/>
  <c r="DI116" i="196" l="1"/>
  <c r="DH115" i="196"/>
  <c r="DH116" i="196" l="1"/>
  <c r="DI117" i="196"/>
  <c r="DI118" i="196" l="1"/>
  <c r="DH117" i="196"/>
  <c r="DH118" i="196" l="1"/>
  <c r="DI119" i="196"/>
  <c r="DI120" i="196" l="1"/>
  <c r="DH119" i="196"/>
  <c r="DH120" i="196" l="1"/>
  <c r="DI121" i="196"/>
  <c r="DH121" i="196" l="1"/>
  <c r="DI122" i="196"/>
  <c r="DH122" i="196" l="1"/>
  <c r="DI123" i="196"/>
  <c r="DH123" i="196" l="1"/>
  <c r="BI95" i="196" l="1"/>
  <c r="BT95" i="196"/>
  <c r="BU95" i="196"/>
  <c r="BW95" i="196"/>
  <c r="BX95" i="196"/>
  <c r="BY95" i="196"/>
  <c r="BZ95" i="196"/>
  <c r="BQ95" i="196"/>
  <c r="CB95" i="196"/>
  <c r="CC95" i="196"/>
  <c r="BI96" i="196"/>
  <c r="BT96" i="196"/>
  <c r="BU96" i="196"/>
  <c r="BW96" i="196"/>
  <c r="BX96" i="196"/>
  <c r="BY96" i="196"/>
  <c r="BZ96" i="196"/>
  <c r="BQ96" i="196"/>
  <c r="CB96" i="196"/>
  <c r="CC96" i="196"/>
  <c r="BI97" i="196"/>
  <c r="BT97" i="196"/>
  <c r="BU97" i="196"/>
  <c r="BW97" i="196"/>
  <c r="BX97" i="196"/>
  <c r="BY97" i="196"/>
  <c r="BZ97" i="196"/>
  <c r="BQ97" i="196"/>
  <c r="CB97" i="196"/>
  <c r="CC97" i="196"/>
  <c r="BI98" i="196"/>
  <c r="BT98" i="196"/>
  <c r="BU98" i="196"/>
  <c r="BW98" i="196"/>
  <c r="BX98" i="196"/>
  <c r="BY98" i="196"/>
  <c r="BZ98" i="196"/>
  <c r="BQ98" i="196"/>
  <c r="CB98" i="196"/>
  <c r="CC98" i="196"/>
  <c r="BI99" i="196"/>
  <c r="BT99" i="196"/>
  <c r="BU99" i="196"/>
  <c r="BW99" i="196"/>
  <c r="BX99" i="196"/>
  <c r="BY99" i="196"/>
  <c r="BZ99" i="196"/>
  <c r="BQ99" i="196"/>
  <c r="CB99" i="196"/>
  <c r="CC99" i="196"/>
  <c r="BI100" i="196"/>
  <c r="BT100" i="196"/>
  <c r="BU100" i="196"/>
  <c r="BW100" i="196"/>
  <c r="BX100" i="196"/>
  <c r="BY100" i="196"/>
  <c r="BZ100" i="196"/>
  <c r="BQ100" i="196"/>
  <c r="CB100" i="196"/>
  <c r="CC100" i="196"/>
  <c r="BI101" i="196"/>
  <c r="BT101" i="196"/>
  <c r="BU101" i="196"/>
  <c r="BW101" i="196"/>
  <c r="BX101" i="196"/>
  <c r="BY101" i="196"/>
  <c r="BZ101" i="196"/>
  <c r="BQ101" i="196"/>
  <c r="CB101" i="196"/>
  <c r="CC101" i="196"/>
  <c r="BI102" i="196"/>
  <c r="BT102" i="196"/>
  <c r="BU102" i="196"/>
  <c r="BW102" i="196"/>
  <c r="BX102" i="196"/>
  <c r="BY102" i="196"/>
  <c r="BZ102" i="196"/>
  <c r="BQ102" i="196"/>
  <c r="CB102" i="196"/>
  <c r="CC102" i="196"/>
  <c r="BI103" i="196"/>
  <c r="BT103" i="196"/>
  <c r="BU103" i="196"/>
  <c r="BW103" i="196"/>
  <c r="BX103" i="196"/>
  <c r="BY103" i="196"/>
  <c r="BZ103" i="196"/>
  <c r="BQ103" i="196"/>
  <c r="CB103" i="196"/>
  <c r="CC103" i="196"/>
  <c r="BI104" i="196"/>
  <c r="BT104" i="196"/>
  <c r="BU104" i="196"/>
  <c r="BW104" i="196"/>
  <c r="BX104" i="196"/>
  <c r="BY104" i="196"/>
  <c r="BZ104" i="196"/>
  <c r="BQ104" i="196"/>
  <c r="CB104" i="196"/>
  <c r="CC104" i="196"/>
  <c r="BI105" i="196"/>
  <c r="BT105" i="196"/>
  <c r="BU105" i="196"/>
  <c r="BW105" i="196"/>
  <c r="BX105" i="196"/>
  <c r="BY105" i="196"/>
  <c r="BZ105" i="196"/>
  <c r="BQ105" i="196"/>
  <c r="CB105" i="196"/>
  <c r="CC105" i="196"/>
  <c r="BI106" i="196"/>
  <c r="BT106" i="196"/>
  <c r="BU106" i="196"/>
  <c r="BW106" i="196"/>
  <c r="BX106" i="196"/>
  <c r="BY106" i="196"/>
  <c r="BZ106" i="196"/>
  <c r="BQ106" i="196"/>
  <c r="CB106" i="196"/>
  <c r="CC106" i="196"/>
  <c r="BI107" i="196"/>
  <c r="BT107" i="196"/>
  <c r="BU107" i="196"/>
  <c r="BW107" i="196"/>
  <c r="BX107" i="196"/>
  <c r="BY107" i="196"/>
  <c r="BZ107" i="196"/>
  <c r="BQ107" i="196"/>
  <c r="CB107" i="196"/>
  <c r="CC107" i="196"/>
  <c r="BI108" i="196"/>
  <c r="BT108" i="196"/>
  <c r="BU108" i="196"/>
  <c r="BW108" i="196"/>
  <c r="BX108" i="196"/>
  <c r="BY108" i="196"/>
  <c r="BZ108" i="196"/>
  <c r="BQ108" i="196"/>
  <c r="CB108" i="196"/>
  <c r="CC108" i="196"/>
  <c r="BI109" i="196"/>
  <c r="BT109" i="196"/>
  <c r="BU109" i="196"/>
  <c r="BW109" i="196"/>
  <c r="BX109" i="196"/>
  <c r="BY109" i="196"/>
  <c r="BZ109" i="196"/>
  <c r="BQ109" i="196"/>
  <c r="CB109" i="196"/>
  <c r="CC109" i="196"/>
  <c r="BI110" i="196"/>
  <c r="BT110" i="196"/>
  <c r="BU110" i="196"/>
  <c r="BW110" i="196"/>
  <c r="BX110" i="196"/>
  <c r="BY110" i="196"/>
  <c r="BZ110" i="196"/>
  <c r="BQ110" i="196"/>
  <c r="CB110" i="196"/>
  <c r="CC110" i="196"/>
  <c r="BI111" i="196"/>
  <c r="BT111" i="196"/>
  <c r="BU111" i="196"/>
  <c r="BW111" i="196"/>
  <c r="BX111" i="196"/>
  <c r="BY111" i="196"/>
  <c r="BZ111" i="196"/>
  <c r="BQ111" i="196"/>
  <c r="CB111" i="196"/>
  <c r="CC111" i="196"/>
  <c r="BI112" i="196"/>
  <c r="BT112" i="196"/>
  <c r="BU112" i="196"/>
  <c r="BW112" i="196"/>
  <c r="BX112" i="196"/>
  <c r="BY112" i="196"/>
  <c r="BZ112" i="196"/>
  <c r="BQ112" i="196"/>
  <c r="CB112" i="196"/>
  <c r="CC112" i="196"/>
  <c r="BI113" i="196"/>
  <c r="BT113" i="196"/>
  <c r="BU113" i="196"/>
  <c r="BW113" i="196"/>
  <c r="BX113" i="196"/>
  <c r="BY113" i="196"/>
  <c r="BZ113" i="196"/>
  <c r="BQ113" i="196"/>
  <c r="CB113" i="196"/>
  <c r="CC113" i="196"/>
  <c r="BI114" i="196"/>
  <c r="BT114" i="196"/>
  <c r="BU114" i="196"/>
  <c r="BW114" i="196"/>
  <c r="BX114" i="196"/>
  <c r="BY114" i="196"/>
  <c r="BZ114" i="196"/>
  <c r="BQ114" i="196"/>
  <c r="CB114" i="196"/>
  <c r="CC114" i="196"/>
  <c r="BI115" i="196"/>
  <c r="BT115" i="196"/>
  <c r="BU115" i="196"/>
  <c r="BW115" i="196"/>
  <c r="BX115" i="196"/>
  <c r="BY115" i="196"/>
  <c r="BZ115" i="196"/>
  <c r="BQ115" i="196"/>
  <c r="CB115" i="196"/>
  <c r="CC115" i="196"/>
  <c r="BI116" i="196"/>
  <c r="BT116" i="196"/>
  <c r="BU116" i="196"/>
  <c r="BW116" i="196"/>
  <c r="BX116" i="196"/>
  <c r="BY116" i="196"/>
  <c r="BZ116" i="196"/>
  <c r="BQ116" i="196"/>
  <c r="CB116" i="196"/>
  <c r="CC116" i="196"/>
  <c r="BI117" i="196"/>
  <c r="BT117" i="196"/>
  <c r="BU117" i="196"/>
  <c r="BW117" i="196"/>
  <c r="BX117" i="196"/>
  <c r="BY117" i="196"/>
  <c r="BZ117" i="196"/>
  <c r="BQ117" i="196"/>
  <c r="CB117" i="196"/>
  <c r="CC117" i="196"/>
  <c r="BI118" i="196"/>
  <c r="BT118" i="196"/>
  <c r="BU118" i="196"/>
  <c r="BW118" i="196"/>
  <c r="BX118" i="196"/>
  <c r="BY118" i="196"/>
  <c r="BZ118" i="196"/>
  <c r="BQ118" i="196"/>
  <c r="CB118" i="196"/>
  <c r="CC118" i="196"/>
  <c r="BI119" i="196"/>
  <c r="BT119" i="196"/>
  <c r="BU119" i="196"/>
  <c r="BW119" i="196"/>
  <c r="BX119" i="196"/>
  <c r="BY119" i="196"/>
  <c r="BZ119" i="196"/>
  <c r="BQ119" i="196"/>
  <c r="CB119" i="196"/>
  <c r="CC119" i="196"/>
  <c r="BI120" i="196"/>
  <c r="BT120" i="196"/>
  <c r="BU120" i="196"/>
  <c r="BW120" i="196"/>
  <c r="BX120" i="196"/>
  <c r="BY120" i="196"/>
  <c r="BZ120" i="196"/>
  <c r="BQ120" i="196"/>
  <c r="CB120" i="196"/>
  <c r="CC120" i="196"/>
  <c r="BI121" i="196"/>
  <c r="BT121" i="196"/>
  <c r="BU121" i="196"/>
  <c r="BW121" i="196"/>
  <c r="BX121" i="196"/>
  <c r="BY121" i="196"/>
  <c r="BZ121" i="196"/>
  <c r="BQ121" i="196"/>
  <c r="CB121" i="196"/>
  <c r="CC121" i="196"/>
  <c r="BI122" i="196"/>
  <c r="BT122" i="196"/>
  <c r="BU122" i="196"/>
  <c r="BW122" i="196"/>
  <c r="BX122" i="196"/>
  <c r="BY122" i="196"/>
  <c r="BZ122" i="196"/>
  <c r="BQ122" i="196"/>
  <c r="CB122" i="196"/>
  <c r="CC122" i="196"/>
  <c r="BI123" i="196"/>
  <c r="BT123" i="196"/>
  <c r="BU123" i="196"/>
  <c r="BW123" i="196"/>
  <c r="BX123" i="196"/>
  <c r="BY123" i="196"/>
  <c r="BZ123" i="196"/>
  <c r="BQ123" i="196"/>
  <c r="CG123" i="196" s="1"/>
  <c r="CB123" i="196"/>
  <c r="CR123" i="196" s="1"/>
  <c r="CC123" i="196"/>
  <c r="CS123" i="196" s="1"/>
  <c r="CB4" i="196"/>
  <c r="CC4" i="196"/>
  <c r="BQ5" i="196"/>
  <c r="CB5" i="196"/>
  <c r="CC5" i="196"/>
  <c r="CB6" i="196"/>
  <c r="CC6" i="196"/>
  <c r="CB7" i="196"/>
  <c r="CC7" i="196"/>
  <c r="CB8" i="196"/>
  <c r="CC8" i="196"/>
  <c r="CB9" i="196"/>
  <c r="CC9" i="196"/>
  <c r="CB10" i="196"/>
  <c r="CC10" i="196"/>
  <c r="CB11" i="196"/>
  <c r="CC11" i="196"/>
  <c r="CB12" i="196"/>
  <c r="CC12" i="196"/>
  <c r="CB13" i="196"/>
  <c r="CC13" i="196"/>
  <c r="CB14" i="196"/>
  <c r="CC14" i="196"/>
  <c r="CB15" i="196"/>
  <c r="CC15" i="196"/>
  <c r="CB16" i="196"/>
  <c r="CC16" i="196"/>
  <c r="CB17" i="196"/>
  <c r="CC17" i="196"/>
  <c r="CB18" i="196"/>
  <c r="CC18" i="196"/>
  <c r="CB19" i="196"/>
  <c r="CC19" i="196"/>
  <c r="CB20" i="196"/>
  <c r="CC20" i="196"/>
  <c r="CB21" i="196"/>
  <c r="CC21" i="196"/>
  <c r="CB22" i="196"/>
  <c r="CC22" i="196"/>
  <c r="CB23" i="196"/>
  <c r="CC23" i="196"/>
  <c r="CB24" i="196"/>
  <c r="CC24" i="196"/>
  <c r="CB25" i="196"/>
  <c r="CC25" i="196"/>
  <c r="CB26" i="196"/>
  <c r="CC26" i="196"/>
  <c r="CB27" i="196"/>
  <c r="CC27" i="196"/>
  <c r="BY28" i="196"/>
  <c r="BZ28" i="196"/>
  <c r="CB28" i="196"/>
  <c r="CC28" i="196"/>
  <c r="BY29" i="196"/>
  <c r="BZ29" i="196"/>
  <c r="CB29" i="196"/>
  <c r="CC29" i="196"/>
  <c r="BY30" i="196"/>
  <c r="BZ30" i="196"/>
  <c r="CB30" i="196"/>
  <c r="CC30" i="196"/>
  <c r="BY31" i="196"/>
  <c r="BZ31" i="196"/>
  <c r="CB31" i="196"/>
  <c r="CC31" i="196"/>
  <c r="BY32" i="196"/>
  <c r="BZ32" i="196"/>
  <c r="CB32" i="196"/>
  <c r="CC32" i="196"/>
  <c r="BY33" i="196"/>
  <c r="BZ33" i="196"/>
  <c r="CB33" i="196"/>
  <c r="CC33" i="196"/>
  <c r="BY34" i="196"/>
  <c r="BZ34" i="196"/>
  <c r="CB34" i="196"/>
  <c r="CC34" i="196"/>
  <c r="BY35" i="196"/>
  <c r="BZ35" i="196"/>
  <c r="CB35" i="196"/>
  <c r="CC35" i="196"/>
  <c r="BY36" i="196"/>
  <c r="BZ36" i="196"/>
  <c r="CB36" i="196"/>
  <c r="CC36" i="196"/>
  <c r="BY37" i="196"/>
  <c r="BZ37" i="196"/>
  <c r="CB37" i="196"/>
  <c r="CC37" i="196"/>
  <c r="BY38" i="196"/>
  <c r="BZ38" i="196"/>
  <c r="CB38" i="196"/>
  <c r="CC38" i="196"/>
  <c r="BY39" i="196"/>
  <c r="BZ39" i="196"/>
  <c r="CB39" i="196"/>
  <c r="CC39" i="196"/>
  <c r="BY40" i="196"/>
  <c r="BZ40" i="196"/>
  <c r="CB40" i="196"/>
  <c r="CC40" i="196"/>
  <c r="BY41" i="196"/>
  <c r="BZ41" i="196"/>
  <c r="CB41" i="196"/>
  <c r="CC41" i="196"/>
  <c r="BY42" i="196"/>
  <c r="BZ42" i="196"/>
  <c r="CB42" i="196"/>
  <c r="CC42" i="196"/>
  <c r="BY43" i="196"/>
  <c r="BZ43" i="196"/>
  <c r="CB43" i="196"/>
  <c r="CC43" i="196"/>
  <c r="BY44" i="196"/>
  <c r="BZ44" i="196"/>
  <c r="CB44" i="196"/>
  <c r="CC44" i="196"/>
  <c r="BX45" i="196"/>
  <c r="BY45" i="196"/>
  <c r="BZ45" i="196"/>
  <c r="CB45" i="196"/>
  <c r="CC45" i="196"/>
  <c r="BX46" i="196"/>
  <c r="BY46" i="196"/>
  <c r="BZ46" i="196"/>
  <c r="CB46" i="196"/>
  <c r="CC46" i="196"/>
  <c r="BX47" i="196"/>
  <c r="BY47" i="196"/>
  <c r="BZ47" i="196"/>
  <c r="BQ47" i="196"/>
  <c r="CB47" i="196"/>
  <c r="CC47" i="196"/>
  <c r="BX48" i="196"/>
  <c r="BY48" i="196"/>
  <c r="BZ48" i="196"/>
  <c r="BQ48" i="196"/>
  <c r="CB48" i="196"/>
  <c r="CC48" i="196"/>
  <c r="BX49" i="196"/>
  <c r="BY49" i="196"/>
  <c r="BZ49" i="196"/>
  <c r="BQ49" i="196"/>
  <c r="CB49" i="196"/>
  <c r="CC49" i="196"/>
  <c r="BX50" i="196"/>
  <c r="BY50" i="196"/>
  <c r="BZ50" i="196"/>
  <c r="BQ50" i="196"/>
  <c r="CB50" i="196"/>
  <c r="CC50" i="196"/>
  <c r="BX51" i="196"/>
  <c r="BY51" i="196"/>
  <c r="BZ51" i="196"/>
  <c r="BQ51" i="196"/>
  <c r="CB51" i="196"/>
  <c r="CC51" i="196"/>
  <c r="BX52" i="196"/>
  <c r="BY52" i="196"/>
  <c r="BZ52" i="196"/>
  <c r="BQ52" i="196"/>
  <c r="CB52" i="196"/>
  <c r="CC52" i="196"/>
  <c r="BX53" i="196"/>
  <c r="BY53" i="196"/>
  <c r="BZ53" i="196"/>
  <c r="BQ53" i="196"/>
  <c r="CB53" i="196"/>
  <c r="CC53" i="196"/>
  <c r="BX54" i="196"/>
  <c r="BY54" i="196"/>
  <c r="BZ54" i="196"/>
  <c r="BQ54" i="196"/>
  <c r="CB54" i="196"/>
  <c r="CC54" i="196"/>
  <c r="BX55" i="196"/>
  <c r="BY55" i="196"/>
  <c r="BZ55" i="196"/>
  <c r="BQ55" i="196"/>
  <c r="CB55" i="196"/>
  <c r="CC55" i="196"/>
  <c r="BX56" i="196"/>
  <c r="BY56" i="196"/>
  <c r="BZ56" i="196"/>
  <c r="BQ56" i="196"/>
  <c r="CB56" i="196"/>
  <c r="CC56" i="196"/>
  <c r="BX57" i="196"/>
  <c r="BY57" i="196"/>
  <c r="BZ57" i="196"/>
  <c r="BQ57" i="196"/>
  <c r="CB57" i="196"/>
  <c r="CC57" i="196"/>
  <c r="BX58" i="196"/>
  <c r="BY58" i="196"/>
  <c r="BZ58" i="196"/>
  <c r="BQ58" i="196"/>
  <c r="CB58" i="196"/>
  <c r="CC58" i="196"/>
  <c r="BX59" i="196"/>
  <c r="BY59" i="196"/>
  <c r="BZ59" i="196"/>
  <c r="BQ59" i="196"/>
  <c r="CB59" i="196"/>
  <c r="CC59" i="196"/>
  <c r="BX60" i="196"/>
  <c r="BY60" i="196"/>
  <c r="BZ60" i="196"/>
  <c r="BQ60" i="196"/>
  <c r="CB60" i="196"/>
  <c r="CC60" i="196"/>
  <c r="BT61" i="196"/>
  <c r="BX61" i="196"/>
  <c r="BY61" i="196"/>
  <c r="BZ61" i="196"/>
  <c r="BQ61" i="196"/>
  <c r="CB61" i="196"/>
  <c r="CC61" i="196"/>
  <c r="BT62" i="196"/>
  <c r="BX62" i="196"/>
  <c r="BY62" i="196"/>
  <c r="BZ62" i="196"/>
  <c r="BQ62" i="196"/>
  <c r="CB62" i="196"/>
  <c r="CC62" i="196"/>
  <c r="BT63" i="196"/>
  <c r="BX63" i="196"/>
  <c r="BY63" i="196"/>
  <c r="BZ63" i="196"/>
  <c r="BQ63" i="196"/>
  <c r="CB63" i="196"/>
  <c r="CC63" i="196"/>
  <c r="BT64" i="196"/>
  <c r="BX64" i="196"/>
  <c r="BY64" i="196"/>
  <c r="BZ64" i="196"/>
  <c r="BQ64" i="196"/>
  <c r="CB64" i="196"/>
  <c r="CC64" i="196"/>
  <c r="BT65" i="196"/>
  <c r="BU65" i="196"/>
  <c r="BX65" i="196"/>
  <c r="BY65" i="196"/>
  <c r="BZ65" i="196"/>
  <c r="BQ65" i="196"/>
  <c r="CB65" i="196"/>
  <c r="CC65" i="196"/>
  <c r="BT66" i="196"/>
  <c r="BU66" i="196"/>
  <c r="BX66" i="196"/>
  <c r="BY66" i="196"/>
  <c r="BZ66" i="196"/>
  <c r="BQ66" i="196"/>
  <c r="CB66" i="196"/>
  <c r="CC66" i="196"/>
  <c r="BT67" i="196"/>
  <c r="BU67" i="196"/>
  <c r="BX67" i="196"/>
  <c r="BY67" i="196"/>
  <c r="BZ67" i="196"/>
  <c r="BQ67" i="196"/>
  <c r="CB67" i="196"/>
  <c r="CC67" i="196"/>
  <c r="BT68" i="196"/>
  <c r="BU68" i="196"/>
  <c r="BX68" i="196"/>
  <c r="BY68" i="196"/>
  <c r="BZ68" i="196"/>
  <c r="BQ68" i="196"/>
  <c r="CB68" i="196"/>
  <c r="CC68" i="196"/>
  <c r="BT69" i="196"/>
  <c r="BU69" i="196"/>
  <c r="BX69" i="196"/>
  <c r="BY69" i="196"/>
  <c r="BZ69" i="196"/>
  <c r="BQ69" i="196"/>
  <c r="CB69" i="196"/>
  <c r="CC69" i="196"/>
  <c r="BT70" i="196"/>
  <c r="BU70" i="196"/>
  <c r="BX70" i="196"/>
  <c r="BY70" i="196"/>
  <c r="BZ70" i="196"/>
  <c r="BQ70" i="196"/>
  <c r="CB70" i="196"/>
  <c r="CC70" i="196"/>
  <c r="BT71" i="196"/>
  <c r="BU71" i="196"/>
  <c r="BX71" i="196"/>
  <c r="BY71" i="196"/>
  <c r="BZ71" i="196"/>
  <c r="BQ71" i="196"/>
  <c r="CB71" i="196"/>
  <c r="CC71" i="196"/>
  <c r="BT72" i="196"/>
  <c r="BU72" i="196"/>
  <c r="BX72" i="196"/>
  <c r="BY72" i="196"/>
  <c r="BZ72" i="196"/>
  <c r="BQ72" i="196"/>
  <c r="CB72" i="196"/>
  <c r="CC72" i="196"/>
  <c r="BT73" i="196"/>
  <c r="BU73" i="196"/>
  <c r="BX73" i="196"/>
  <c r="BY73" i="196"/>
  <c r="BZ73" i="196"/>
  <c r="BQ73" i="196"/>
  <c r="CB73" i="196"/>
  <c r="CC73" i="196"/>
  <c r="BT74" i="196"/>
  <c r="BU74" i="196"/>
  <c r="BX74" i="196"/>
  <c r="BY74" i="196"/>
  <c r="BZ74" i="196"/>
  <c r="BQ74" i="196"/>
  <c r="CB74" i="196"/>
  <c r="CC74" i="196"/>
  <c r="BT75" i="196"/>
  <c r="BU75" i="196"/>
  <c r="BX75" i="196"/>
  <c r="BY75" i="196"/>
  <c r="BZ75" i="196"/>
  <c r="BQ75" i="196"/>
  <c r="CB75" i="196"/>
  <c r="CC75" i="196"/>
  <c r="BT76" i="196"/>
  <c r="BU76" i="196"/>
  <c r="BX76" i="196"/>
  <c r="BY76" i="196"/>
  <c r="BZ76" i="196"/>
  <c r="BQ76" i="196"/>
  <c r="CB76" i="196"/>
  <c r="CC76" i="196"/>
  <c r="BT77" i="196"/>
  <c r="BU77" i="196"/>
  <c r="BX77" i="196"/>
  <c r="BY77" i="196"/>
  <c r="BZ77" i="196"/>
  <c r="BQ77" i="196"/>
  <c r="CB77" i="196"/>
  <c r="CC77" i="196"/>
  <c r="BT78" i="196"/>
  <c r="BU78" i="196"/>
  <c r="BW78" i="196"/>
  <c r="BX78" i="196"/>
  <c r="BY78" i="196"/>
  <c r="BZ78" i="196"/>
  <c r="BQ78" i="196"/>
  <c r="CB78" i="196"/>
  <c r="CC78" i="196"/>
  <c r="BT79" i="196"/>
  <c r="BU79" i="196"/>
  <c r="BW79" i="196"/>
  <c r="BX79" i="196"/>
  <c r="BY79" i="196"/>
  <c r="BZ79" i="196"/>
  <c r="BQ79" i="196"/>
  <c r="CB79" i="196"/>
  <c r="CC79" i="196"/>
  <c r="BT80" i="196"/>
  <c r="BU80" i="196"/>
  <c r="BW80" i="196"/>
  <c r="BX80" i="196"/>
  <c r="BY80" i="196"/>
  <c r="BZ80" i="196"/>
  <c r="BQ80" i="196"/>
  <c r="CB80" i="196"/>
  <c r="CC80" i="196"/>
  <c r="BT81" i="196"/>
  <c r="BU81" i="196"/>
  <c r="BW81" i="196"/>
  <c r="BX81" i="196"/>
  <c r="BY81" i="196"/>
  <c r="BZ81" i="196"/>
  <c r="BQ81" i="196"/>
  <c r="CB81" i="196"/>
  <c r="CC81" i="196"/>
  <c r="BT82" i="196"/>
  <c r="BU82" i="196"/>
  <c r="BW82" i="196"/>
  <c r="BX82" i="196"/>
  <c r="BY82" i="196"/>
  <c r="BZ82" i="196"/>
  <c r="BQ82" i="196"/>
  <c r="CB82" i="196"/>
  <c r="CC82" i="196"/>
  <c r="BT83" i="196"/>
  <c r="BU83" i="196"/>
  <c r="BW83" i="196"/>
  <c r="BX83" i="196"/>
  <c r="BY83" i="196"/>
  <c r="BZ83" i="196"/>
  <c r="BQ83" i="196"/>
  <c r="CB83" i="196"/>
  <c r="CC83" i="196"/>
  <c r="BT84" i="196"/>
  <c r="BU84" i="196"/>
  <c r="BW84" i="196"/>
  <c r="BX84" i="196"/>
  <c r="BY84" i="196"/>
  <c r="BZ84" i="196"/>
  <c r="BQ84" i="196"/>
  <c r="CB84" i="196"/>
  <c r="CC84" i="196"/>
  <c r="BT85" i="196"/>
  <c r="BU85" i="196"/>
  <c r="BW85" i="196"/>
  <c r="BX85" i="196"/>
  <c r="BY85" i="196"/>
  <c r="BZ85" i="196"/>
  <c r="BQ85" i="196"/>
  <c r="CB85" i="196"/>
  <c r="CC85" i="196"/>
  <c r="BT86" i="196"/>
  <c r="BU86" i="196"/>
  <c r="BW86" i="196"/>
  <c r="BX86" i="196"/>
  <c r="BY86" i="196"/>
  <c r="BZ86" i="196"/>
  <c r="BQ86" i="196"/>
  <c r="CB86" i="196"/>
  <c r="CC86" i="196"/>
  <c r="BT87" i="196"/>
  <c r="BU87" i="196"/>
  <c r="BW87" i="196"/>
  <c r="BX87" i="196"/>
  <c r="BY87" i="196"/>
  <c r="BZ87" i="196"/>
  <c r="BQ87" i="196"/>
  <c r="CB87" i="196"/>
  <c r="CC87" i="196"/>
  <c r="BT88" i="196"/>
  <c r="BU88" i="196"/>
  <c r="BW88" i="196"/>
  <c r="BX88" i="196"/>
  <c r="BY88" i="196"/>
  <c r="BZ88" i="196"/>
  <c r="BQ88" i="196"/>
  <c r="CB88" i="196"/>
  <c r="CC88" i="196"/>
  <c r="BT89" i="196"/>
  <c r="BU89" i="196"/>
  <c r="BW89" i="196"/>
  <c r="BX89" i="196"/>
  <c r="BY89" i="196"/>
  <c r="BZ89" i="196"/>
  <c r="BQ89" i="196"/>
  <c r="CB89" i="196"/>
  <c r="CC89" i="196"/>
  <c r="BT90" i="196"/>
  <c r="BU90" i="196"/>
  <c r="BW90" i="196"/>
  <c r="BX90" i="196"/>
  <c r="BY90" i="196"/>
  <c r="BZ90" i="196"/>
  <c r="BQ90" i="196"/>
  <c r="CB90" i="196"/>
  <c r="CC90" i="196"/>
  <c r="BT91" i="196"/>
  <c r="BU91" i="196"/>
  <c r="BW91" i="196"/>
  <c r="BX91" i="196"/>
  <c r="BY91" i="196"/>
  <c r="BZ91" i="196"/>
  <c r="BQ91" i="196"/>
  <c r="CB91" i="196"/>
  <c r="CC91" i="196"/>
  <c r="BT92" i="196"/>
  <c r="BU92" i="196"/>
  <c r="BW92" i="196"/>
  <c r="BX92" i="196"/>
  <c r="BY92" i="196"/>
  <c r="BZ92" i="196"/>
  <c r="BQ92" i="196"/>
  <c r="CB92" i="196"/>
  <c r="CC92" i="196"/>
  <c r="BT93" i="196"/>
  <c r="BU93" i="196"/>
  <c r="BW93" i="196"/>
  <c r="BX93" i="196"/>
  <c r="BY93" i="196"/>
  <c r="BZ93" i="196"/>
  <c r="BQ93" i="196"/>
  <c r="CB93" i="196"/>
  <c r="CC93" i="196"/>
  <c r="BT94" i="196"/>
  <c r="BU94" i="196"/>
  <c r="BW94" i="196"/>
  <c r="BX94" i="196"/>
  <c r="BY94" i="196"/>
  <c r="BZ94" i="196"/>
  <c r="BQ94" i="196"/>
  <c r="CB94" i="196"/>
  <c r="CC94" i="196"/>
  <c r="CS94" i="196" s="1"/>
  <c r="CB3" i="196"/>
  <c r="CC3" i="196"/>
  <c r="AB17" i="248"/>
  <c r="AB18" i="248"/>
  <c r="AB25" i="248"/>
  <c r="BV98" i="196"/>
  <c r="BV99" i="196"/>
  <c r="BV100" i="196"/>
  <c r="BV101" i="196"/>
  <c r="BV102" i="196"/>
  <c r="BV103" i="196"/>
  <c r="BV104" i="196"/>
  <c r="BV105" i="196"/>
  <c r="BV106" i="196"/>
  <c r="BV107" i="196"/>
  <c r="BV108" i="196"/>
  <c r="BV109" i="196"/>
  <c r="BV110" i="196"/>
  <c r="BV111" i="196"/>
  <c r="BV112" i="196"/>
  <c r="BV113" i="196"/>
  <c r="BV114" i="196"/>
  <c r="BV115" i="196"/>
  <c r="BV116" i="196"/>
  <c r="BV117" i="196"/>
  <c r="BV118" i="196"/>
  <c r="BV119" i="196"/>
  <c r="BV120" i="196"/>
  <c r="BV121" i="196"/>
  <c r="BV122" i="196"/>
  <c r="BV123" i="196"/>
  <c r="Z23" i="249"/>
  <c r="B99" i="253"/>
  <c r="B98" i="253"/>
  <c r="B97" i="253"/>
  <c r="B96" i="253"/>
  <c r="Y97" i="248" s="1"/>
  <c r="B95" i="253"/>
  <c r="Y96" i="248" s="1"/>
  <c r="B94" i="253"/>
  <c r="Y95" i="248" s="1"/>
  <c r="B93" i="253"/>
  <c r="Y94" i="248" s="1"/>
  <c r="B92" i="253"/>
  <c r="Y93" i="248" s="1"/>
  <c r="B91" i="253"/>
  <c r="Y92" i="248" s="1"/>
  <c r="B90" i="253"/>
  <c r="Y91" i="248" s="1"/>
  <c r="B89" i="253"/>
  <c r="Y90" i="248" s="1"/>
  <c r="B88" i="253"/>
  <c r="Y89" i="248" s="1"/>
  <c r="B87" i="253"/>
  <c r="Y88" i="248" s="1"/>
  <c r="B86" i="253"/>
  <c r="Y87" i="248" s="1"/>
  <c r="B85" i="253"/>
  <c r="Y86" i="248" s="1"/>
  <c r="B84" i="253"/>
  <c r="Y85" i="248" s="1"/>
  <c r="B83" i="253"/>
  <c r="Y84" i="248" s="1"/>
  <c r="B82" i="253"/>
  <c r="Y83" i="248" s="1"/>
  <c r="B81" i="253"/>
  <c r="Y82" i="248" s="1"/>
  <c r="B80" i="253"/>
  <c r="Y81" i="248" s="1"/>
  <c r="B79" i="253"/>
  <c r="Y80" i="248" s="1"/>
  <c r="B78" i="253"/>
  <c r="Y79" i="248" s="1"/>
  <c r="B77" i="253"/>
  <c r="Y78" i="248" s="1"/>
  <c r="B76" i="253"/>
  <c r="Y77" i="248" s="1"/>
  <c r="B75" i="253"/>
  <c r="Y76" i="248" s="1"/>
  <c r="B74" i="253"/>
  <c r="Y75" i="248" s="1"/>
  <c r="B73" i="253"/>
  <c r="Y74" i="248" s="1"/>
  <c r="B72" i="253"/>
  <c r="Y73" i="248" s="1"/>
  <c r="B71" i="253"/>
  <c r="Y72" i="248" s="1"/>
  <c r="B70" i="253"/>
  <c r="Y71" i="248" s="1"/>
  <c r="B69" i="253"/>
  <c r="Y70" i="248" s="1"/>
  <c r="B68" i="253"/>
  <c r="Y69" i="248" s="1"/>
  <c r="B67" i="253"/>
  <c r="Y68" i="248" s="1"/>
  <c r="B66" i="253"/>
  <c r="Y67" i="248" s="1"/>
  <c r="B65" i="253"/>
  <c r="Y66" i="248" s="1"/>
  <c r="B64" i="253"/>
  <c r="Y65" i="248" s="1"/>
  <c r="B63" i="253"/>
  <c r="Y64" i="248" s="1"/>
  <c r="B62" i="253"/>
  <c r="Y63" i="248" s="1"/>
  <c r="B61" i="253"/>
  <c r="Y62" i="248" s="1"/>
  <c r="B60" i="253"/>
  <c r="Y61" i="248" s="1"/>
  <c r="B59" i="253"/>
  <c r="Y60" i="248" s="1"/>
  <c r="B58" i="253"/>
  <c r="Y59" i="248" s="1"/>
  <c r="B57" i="253"/>
  <c r="Y58" i="248" s="1"/>
  <c r="B56" i="253"/>
  <c r="Y57" i="248" s="1"/>
  <c r="B55" i="253"/>
  <c r="Y56" i="248" s="1"/>
  <c r="B54" i="253"/>
  <c r="Y55" i="248" s="1"/>
  <c r="B53" i="253"/>
  <c r="Y54" i="248" s="1"/>
  <c r="B52" i="253"/>
  <c r="Y53" i="248" s="1"/>
  <c r="B51" i="253"/>
  <c r="Y52" i="248" s="1"/>
  <c r="B50" i="253"/>
  <c r="Y51" i="248" s="1"/>
  <c r="B49" i="253"/>
  <c r="Y50" i="248" s="1"/>
  <c r="B48" i="253"/>
  <c r="Y49" i="248" s="1"/>
  <c r="B47" i="253"/>
  <c r="Y48" i="248" s="1"/>
  <c r="B46" i="253"/>
  <c r="Y47" i="248" s="1"/>
  <c r="B45" i="253"/>
  <c r="Y46" i="248" s="1"/>
  <c r="B44" i="253"/>
  <c r="Y45" i="248" s="1"/>
  <c r="B43" i="253"/>
  <c r="Y44" i="248" s="1"/>
  <c r="B42" i="253"/>
  <c r="Y43" i="248" s="1"/>
  <c r="B41" i="253"/>
  <c r="Y42" i="248" s="1"/>
  <c r="B40" i="253"/>
  <c r="Y41" i="248" s="1"/>
  <c r="B39" i="253"/>
  <c r="Y40" i="248" s="1"/>
  <c r="B38" i="253"/>
  <c r="Y39" i="248" s="1"/>
  <c r="B37" i="253"/>
  <c r="Y38" i="248" s="1"/>
  <c r="B36" i="253"/>
  <c r="Y37" i="248" s="1"/>
  <c r="B35" i="253"/>
  <c r="Y36" i="248" s="1"/>
  <c r="B34" i="253"/>
  <c r="Y35" i="248" s="1"/>
  <c r="B33" i="253"/>
  <c r="Y34" i="248" s="1"/>
  <c r="B32" i="253"/>
  <c r="Y33" i="248" s="1"/>
  <c r="B31" i="253"/>
  <c r="Y32" i="248" s="1"/>
  <c r="B30" i="253"/>
  <c r="Y31" i="248" s="1"/>
  <c r="B29" i="253"/>
  <c r="Y30" i="248" s="1"/>
  <c r="B28" i="253"/>
  <c r="Y29" i="248" s="1"/>
  <c r="B27" i="253"/>
  <c r="Y28" i="248" s="1"/>
  <c r="B26" i="253"/>
  <c r="Y27" i="248" s="1"/>
  <c r="B25" i="253"/>
  <c r="Y26" i="248" s="1"/>
  <c r="B24" i="253"/>
  <c r="Y25" i="248" s="1"/>
  <c r="B23" i="253"/>
  <c r="Y24" i="248" s="1"/>
  <c r="B22" i="253"/>
  <c r="Y23" i="248" s="1"/>
  <c r="B21" i="253"/>
  <c r="Y22" i="248" s="1"/>
  <c r="B20" i="253"/>
  <c r="Y21" i="248" s="1"/>
  <c r="B19" i="253"/>
  <c r="Y20" i="248" s="1"/>
  <c r="B18" i="253"/>
  <c r="Y19" i="248" s="1"/>
  <c r="B17" i="253"/>
  <c r="Y18" i="248" s="1"/>
  <c r="B16" i="253"/>
  <c r="Y17" i="248" s="1"/>
  <c r="B15" i="253"/>
  <c r="Y16" i="248" s="1"/>
  <c r="B14" i="253"/>
  <c r="Y15" i="248" s="1"/>
  <c r="B13" i="253"/>
  <c r="Y14" i="248" s="1"/>
  <c r="B12" i="253"/>
  <c r="Y13" i="248" s="1"/>
  <c r="B11" i="253"/>
  <c r="Y12" i="248" s="1"/>
  <c r="B10" i="253"/>
  <c r="Y11" i="248" s="1"/>
  <c r="B9" i="253"/>
  <c r="Y10" i="248" s="1"/>
  <c r="B8" i="253"/>
  <c r="Y9" i="248" s="1"/>
  <c r="B7" i="253"/>
  <c r="Y8" i="248" s="1"/>
  <c r="B6" i="253"/>
  <c r="M53" i="252"/>
  <c r="L53" i="252"/>
  <c r="K53" i="252"/>
  <c r="J53" i="252"/>
  <c r="W37" i="249"/>
  <c r="W34" i="249"/>
  <c r="W33" i="249"/>
  <c r="W32" i="249"/>
  <c r="W31" i="249"/>
  <c r="W30" i="249"/>
  <c r="W29" i="249"/>
  <c r="W28" i="249"/>
  <c r="W27" i="249"/>
  <c r="W26" i="249"/>
  <c r="W25" i="249"/>
  <c r="W24" i="249"/>
  <c r="W23" i="249"/>
  <c r="W22" i="249"/>
  <c r="W21" i="249"/>
  <c r="W20" i="249"/>
  <c r="W19" i="249"/>
  <c r="W18" i="249"/>
  <c r="W17" i="249"/>
  <c r="W16" i="249"/>
  <c r="W15" i="249"/>
  <c r="W14" i="249"/>
  <c r="W13" i="249"/>
  <c r="W12" i="249"/>
  <c r="W11" i="249"/>
  <c r="W10" i="249"/>
  <c r="W9" i="249"/>
  <c r="W8" i="249"/>
  <c r="W7" i="249"/>
  <c r="W6" i="249"/>
  <c r="W5" i="249"/>
  <c r="W4" i="249"/>
  <c r="W3" i="249"/>
  <c r="W35" i="249"/>
  <c r="W36" i="249"/>
  <c r="U7" i="249"/>
  <c r="C8" i="250"/>
  <c r="C7" i="250" s="1"/>
  <c r="C6" i="250" s="1"/>
  <c r="C5" i="250" s="1"/>
  <c r="C4" i="250" s="1"/>
  <c r="C3" i="250" s="1"/>
  <c r="C2" i="250" s="1"/>
  <c r="C9" i="250"/>
  <c r="C10" i="250"/>
  <c r="C11" i="250"/>
  <c r="C12" i="250"/>
  <c r="C13" i="250"/>
  <c r="C14" i="250"/>
  <c r="C15" i="250"/>
  <c r="C16" i="250"/>
  <c r="C17" i="250"/>
  <c r="C18" i="250"/>
  <c r="C19" i="250"/>
  <c r="C20" i="250"/>
  <c r="C21" i="250"/>
  <c r="C22" i="250"/>
  <c r="C23" i="250"/>
  <c r="C24" i="250"/>
  <c r="C25" i="250"/>
  <c r="C26" i="250"/>
  <c r="C27" i="250"/>
  <c r="C28" i="250"/>
  <c r="C29" i="250"/>
  <c r="C30" i="250"/>
  <c r="C31" i="250"/>
  <c r="C32" i="250"/>
  <c r="C33" i="250"/>
  <c r="C34" i="250"/>
  <c r="C35" i="250"/>
  <c r="C36" i="250"/>
  <c r="C37" i="250"/>
  <c r="C38" i="250"/>
  <c r="C39" i="250"/>
  <c r="C40" i="250"/>
  <c r="C41" i="250"/>
  <c r="C42" i="250"/>
  <c r="C43" i="250"/>
  <c r="C44" i="250"/>
  <c r="C45" i="250"/>
  <c r="C46" i="250"/>
  <c r="C47" i="250"/>
  <c r="C48" i="250"/>
  <c r="C49" i="250"/>
  <c r="C50" i="250"/>
  <c r="C51" i="250"/>
  <c r="C52" i="250"/>
  <c r="C53" i="250"/>
  <c r="C54" i="250"/>
  <c r="C55" i="250"/>
  <c r="C56" i="250"/>
  <c r="C57" i="250"/>
  <c r="C58" i="250"/>
  <c r="C59" i="250"/>
  <c r="C60" i="250"/>
  <c r="C61" i="250"/>
  <c r="C62" i="250"/>
  <c r="C63" i="250"/>
  <c r="C64" i="250"/>
  <c r="C65" i="250"/>
  <c r="C66" i="250"/>
  <c r="C67" i="250"/>
  <c r="C68" i="250"/>
  <c r="C69" i="250"/>
  <c r="C70" i="250"/>
  <c r="C71" i="250"/>
  <c r="C72" i="250"/>
  <c r="C73" i="250"/>
  <c r="C74" i="250"/>
  <c r="C75" i="250"/>
  <c r="C76" i="250"/>
  <c r="C77" i="250"/>
  <c r="C78" i="250"/>
  <c r="C79" i="250"/>
  <c r="C80" i="250"/>
  <c r="C81" i="250"/>
  <c r="C82" i="250"/>
  <c r="C83" i="250"/>
  <c r="C84" i="250"/>
  <c r="C85" i="250"/>
  <c r="C86" i="250"/>
  <c r="C87" i="250"/>
  <c r="C88" i="250"/>
  <c r="C89" i="250"/>
  <c r="C90" i="250"/>
  <c r="C91" i="250"/>
  <c r="C92" i="250"/>
  <c r="C93" i="250"/>
  <c r="C94" i="250"/>
  <c r="C95" i="250"/>
  <c r="C96" i="250"/>
  <c r="C97" i="250"/>
  <c r="CA123" i="196"/>
  <c r="CQ123" i="196" s="1"/>
  <c r="S123" i="249"/>
  <c r="BP123" i="196" s="1"/>
  <c r="CF123" i="196" s="1"/>
  <c r="CA122" i="196"/>
  <c r="S122" i="249"/>
  <c r="BP122" i="196" s="1"/>
  <c r="CA121" i="196"/>
  <c r="S121" i="249"/>
  <c r="BP121" i="196" s="1"/>
  <c r="CA120" i="196"/>
  <c r="S120" i="249"/>
  <c r="BP120" i="196" s="1"/>
  <c r="CA119" i="196"/>
  <c r="S119" i="249"/>
  <c r="BP119" i="196" s="1"/>
  <c r="CA118" i="196"/>
  <c r="S118" i="249"/>
  <c r="BP118" i="196" s="1"/>
  <c r="CA117" i="196"/>
  <c r="S117" i="249"/>
  <c r="BP117" i="196" s="1"/>
  <c r="CA116" i="196"/>
  <c r="S116" i="249"/>
  <c r="BP116" i="196" s="1"/>
  <c r="CA115" i="196"/>
  <c r="S115" i="249"/>
  <c r="BP115" i="196" s="1"/>
  <c r="CA114" i="196"/>
  <c r="S114" i="249"/>
  <c r="BP114" i="196" s="1"/>
  <c r="CA113" i="196"/>
  <c r="S113" i="249"/>
  <c r="BP113" i="196" s="1"/>
  <c r="CA112" i="196"/>
  <c r="S112" i="249"/>
  <c r="BP112" i="196" s="1"/>
  <c r="CA111" i="196"/>
  <c r="S111" i="249"/>
  <c r="BP111" i="196" s="1"/>
  <c r="CA110" i="196"/>
  <c r="S110" i="249"/>
  <c r="BP110" i="196" s="1"/>
  <c r="CA109" i="196"/>
  <c r="S109" i="249"/>
  <c r="BP109" i="196" s="1"/>
  <c r="CA108" i="196"/>
  <c r="S108" i="249"/>
  <c r="BP108" i="196" s="1"/>
  <c r="CA107" i="196"/>
  <c r="S107" i="249"/>
  <c r="BP107" i="196" s="1"/>
  <c r="CA106" i="196"/>
  <c r="S106" i="249"/>
  <c r="BP106" i="196" s="1"/>
  <c r="CA105" i="196"/>
  <c r="S105" i="249"/>
  <c r="BP105" i="196" s="1"/>
  <c r="CA104" i="196"/>
  <c r="S104" i="249"/>
  <c r="BP104" i="196" s="1"/>
  <c r="CA103" i="196"/>
  <c r="S103" i="249"/>
  <c r="BP103" i="196" s="1"/>
  <c r="CA102" i="196"/>
  <c r="S102" i="249"/>
  <c r="BP102" i="196" s="1"/>
  <c r="CA101" i="196"/>
  <c r="S101" i="249"/>
  <c r="BP101" i="196" s="1"/>
  <c r="CA100" i="196"/>
  <c r="S100" i="249"/>
  <c r="BP100" i="196" s="1"/>
  <c r="CA99" i="196"/>
  <c r="S99" i="249"/>
  <c r="BP99" i="196" s="1"/>
  <c r="CA98" i="196"/>
  <c r="S98" i="249"/>
  <c r="BP98" i="196" s="1"/>
  <c r="CA97" i="196"/>
  <c r="S97" i="249"/>
  <c r="BP97" i="196" s="1"/>
  <c r="CA96" i="196"/>
  <c r="S96" i="249"/>
  <c r="BP96" i="196" s="1"/>
  <c r="CA95" i="196"/>
  <c r="S95" i="249"/>
  <c r="BP95" i="196" s="1"/>
  <c r="CA94" i="196"/>
  <c r="S94" i="249"/>
  <c r="BP94" i="196" s="1"/>
  <c r="CA93" i="196"/>
  <c r="S93" i="249"/>
  <c r="BP93" i="196" s="1"/>
  <c r="CA92" i="196"/>
  <c r="S92" i="249"/>
  <c r="BP92" i="196" s="1"/>
  <c r="CA91" i="196"/>
  <c r="S91" i="249"/>
  <c r="BP91" i="196" s="1"/>
  <c r="CA90" i="196"/>
  <c r="S90" i="249"/>
  <c r="BP90" i="196" s="1"/>
  <c r="CA89" i="196"/>
  <c r="S89" i="249"/>
  <c r="BP89" i="196" s="1"/>
  <c r="CA88" i="196"/>
  <c r="S88" i="249"/>
  <c r="BP88" i="196" s="1"/>
  <c r="CA87" i="196"/>
  <c r="S87" i="249"/>
  <c r="BP87" i="196" s="1"/>
  <c r="CA86" i="196"/>
  <c r="S86" i="249"/>
  <c r="BP86" i="196" s="1"/>
  <c r="CA85" i="196"/>
  <c r="S85" i="249"/>
  <c r="BP85" i="196" s="1"/>
  <c r="CA84" i="196"/>
  <c r="S84" i="249"/>
  <c r="BP84" i="196" s="1"/>
  <c r="CA83" i="196"/>
  <c r="S83" i="249"/>
  <c r="BP83" i="196" s="1"/>
  <c r="CA82" i="196"/>
  <c r="S82" i="249"/>
  <c r="BP82" i="196" s="1"/>
  <c r="CA81" i="196"/>
  <c r="S81" i="249"/>
  <c r="BP81" i="196" s="1"/>
  <c r="CA80" i="196"/>
  <c r="S80" i="249"/>
  <c r="BP80" i="196" s="1"/>
  <c r="CA79" i="196"/>
  <c r="S79" i="249"/>
  <c r="BP79" i="196" s="1"/>
  <c r="CA78" i="196"/>
  <c r="S78" i="249"/>
  <c r="BP78" i="196" s="1"/>
  <c r="CA77" i="196"/>
  <c r="S77" i="249"/>
  <c r="BP77" i="196" s="1"/>
  <c r="CA76" i="196"/>
  <c r="S76" i="249"/>
  <c r="BP76" i="196" s="1"/>
  <c r="CA75" i="196"/>
  <c r="S75" i="249"/>
  <c r="BP75" i="196" s="1"/>
  <c r="CA74" i="196"/>
  <c r="S74" i="249"/>
  <c r="BP74" i="196" s="1"/>
  <c r="CA73" i="196"/>
  <c r="S73" i="249"/>
  <c r="BP73" i="196" s="1"/>
  <c r="CA72" i="196"/>
  <c r="S72" i="249"/>
  <c r="BP72" i="196" s="1"/>
  <c r="CA71" i="196"/>
  <c r="S71" i="249"/>
  <c r="BP71" i="196" s="1"/>
  <c r="CA70" i="196"/>
  <c r="S70" i="249"/>
  <c r="BP70" i="196" s="1"/>
  <c r="CA69" i="196"/>
  <c r="S69" i="249"/>
  <c r="BP69" i="196" s="1"/>
  <c r="CA68" i="196"/>
  <c r="S68" i="249"/>
  <c r="BP68" i="196" s="1"/>
  <c r="CA67" i="196"/>
  <c r="S67" i="249"/>
  <c r="BP67" i="196" s="1"/>
  <c r="CA66" i="196"/>
  <c r="S66" i="249"/>
  <c r="BP66" i="196" s="1"/>
  <c r="CA65" i="196"/>
  <c r="S65" i="249"/>
  <c r="BP65" i="196" s="1"/>
  <c r="CA64" i="196"/>
  <c r="S64" i="249"/>
  <c r="BP64" i="196" s="1"/>
  <c r="CA63" i="196"/>
  <c r="S63" i="249"/>
  <c r="BP63" i="196" s="1"/>
  <c r="CA62" i="196"/>
  <c r="S62" i="249"/>
  <c r="BP62" i="196" s="1"/>
  <c r="CA61" i="196"/>
  <c r="S61" i="249"/>
  <c r="BP61" i="196" s="1"/>
  <c r="CA60" i="196"/>
  <c r="CA59" i="196"/>
  <c r="CA58" i="196"/>
  <c r="CA57" i="196"/>
  <c r="CA56" i="196"/>
  <c r="CA55" i="196"/>
  <c r="CA54" i="196"/>
  <c r="CA53" i="196"/>
  <c r="CA52" i="196"/>
  <c r="U42" i="249"/>
  <c r="U41" i="249"/>
  <c r="U40" i="249"/>
  <c r="U39" i="249"/>
  <c r="U38" i="249"/>
  <c r="U37" i="249"/>
  <c r="U36" i="249"/>
  <c r="U35" i="249"/>
  <c r="U34" i="249"/>
  <c r="U33" i="249"/>
  <c r="U32" i="249"/>
  <c r="U31" i="249"/>
  <c r="U30" i="249"/>
  <c r="U29" i="249"/>
  <c r="U28" i="249"/>
  <c r="AD27" i="249"/>
  <c r="U27" i="249"/>
  <c r="AD26" i="249"/>
  <c r="U26" i="249"/>
  <c r="AD25" i="249"/>
  <c r="U25" i="249"/>
  <c r="AD24" i="249"/>
  <c r="U24" i="249"/>
  <c r="AD23" i="249"/>
  <c r="U23" i="249"/>
  <c r="AD22" i="249"/>
  <c r="U22" i="249"/>
  <c r="AD21" i="249"/>
  <c r="U21" i="249"/>
  <c r="AD20" i="249"/>
  <c r="U20" i="249"/>
  <c r="AD19" i="249"/>
  <c r="U19" i="249"/>
  <c r="AD18" i="249"/>
  <c r="U18" i="249"/>
  <c r="AD17" i="249"/>
  <c r="U17" i="249"/>
  <c r="AD16" i="249"/>
  <c r="U16" i="249"/>
  <c r="AD15" i="249"/>
  <c r="U15" i="249"/>
  <c r="AD14" i="249"/>
  <c r="U14" i="249"/>
  <c r="AD13" i="249"/>
  <c r="AC13" i="249"/>
  <c r="Y13" i="249"/>
  <c r="Y14" i="249" s="1"/>
  <c r="U13" i="249"/>
  <c r="AD12" i="249"/>
  <c r="AC12" i="249"/>
  <c r="Y12" i="249"/>
  <c r="U12" i="249"/>
  <c r="AD11" i="249"/>
  <c r="AC11" i="249"/>
  <c r="Y11" i="249"/>
  <c r="U11" i="249"/>
  <c r="AD10" i="249"/>
  <c r="AC10" i="249"/>
  <c r="Y10" i="249"/>
  <c r="U10" i="249"/>
  <c r="AD9" i="249"/>
  <c r="AC9" i="249"/>
  <c r="Y9" i="249"/>
  <c r="U9" i="249"/>
  <c r="AD8" i="249"/>
  <c r="AC8" i="249"/>
  <c r="Y8" i="249"/>
  <c r="U8" i="249"/>
  <c r="AD7" i="249"/>
  <c r="AC7" i="249"/>
  <c r="Y7" i="249"/>
  <c r="AD6" i="249"/>
  <c r="AC6" i="249"/>
  <c r="Y6" i="249"/>
  <c r="AD5" i="249"/>
  <c r="AC5" i="249"/>
  <c r="Y5" i="249"/>
  <c r="AD4" i="249"/>
  <c r="AC4" i="249"/>
  <c r="Y4" i="249"/>
  <c r="Y3" i="249"/>
  <c r="AB27" i="248"/>
  <c r="AB26" i="248"/>
  <c r="AB23" i="248"/>
  <c r="AB22" i="248"/>
  <c r="AB19" i="248"/>
  <c r="AB15" i="248"/>
  <c r="AB11" i="248"/>
  <c r="AB9" i="248"/>
  <c r="AB7" i="248"/>
  <c r="AB6" i="248"/>
  <c r="B5" i="253" l="1"/>
  <c r="B4" i="253" s="1"/>
  <c r="B3" i="253" s="1"/>
  <c r="B2" i="253" s="1"/>
  <c r="Y7" i="248"/>
  <c r="C101" i="250"/>
  <c r="C123" i="250"/>
  <c r="B15" i="250"/>
  <c r="CG94" i="196"/>
  <c r="CA23" i="196"/>
  <c r="AB24" i="248"/>
  <c r="BY24" i="196" s="1"/>
  <c r="AB16" i="248"/>
  <c r="BY16" i="196" s="1"/>
  <c r="AB8" i="248"/>
  <c r="AB21" i="248"/>
  <c r="BY21" i="196" s="1"/>
  <c r="AB10" i="248"/>
  <c r="AB13" i="248"/>
  <c r="AB20" i="248"/>
  <c r="BY20" i="196" s="1"/>
  <c r="AB12" i="248"/>
  <c r="B12" i="250"/>
  <c r="U13" i="248" s="1"/>
  <c r="G3" i="196"/>
  <c r="G4" i="196" s="1"/>
  <c r="G5" i="196" s="1"/>
  <c r="G6" i="196" s="1"/>
  <c r="G7" i="196" s="1"/>
  <c r="G8" i="196" s="1"/>
  <c r="G9" i="196" s="1"/>
  <c r="G10" i="196" s="1"/>
  <c r="G11" i="196" s="1"/>
  <c r="G12" i="196" s="1"/>
  <c r="G13" i="196" s="1"/>
  <c r="G14" i="196" s="1"/>
  <c r="G15" i="196" s="1"/>
  <c r="G16" i="196" s="1"/>
  <c r="G17" i="196" s="1"/>
  <c r="G18" i="196" s="1"/>
  <c r="G19" i="196" s="1"/>
  <c r="G20" i="196" s="1"/>
  <c r="G21" i="196" s="1"/>
  <c r="G22" i="196" s="1"/>
  <c r="G23" i="196" s="1"/>
  <c r="G24" i="196" s="1"/>
  <c r="G25" i="196" s="1"/>
  <c r="G26" i="196" s="1"/>
  <c r="G27" i="196" s="1"/>
  <c r="G28" i="196" s="1"/>
  <c r="G29" i="196" s="1"/>
  <c r="G30" i="196" s="1"/>
  <c r="G31" i="196" s="1"/>
  <c r="G32" i="196" s="1"/>
  <c r="G33" i="196" s="1"/>
  <c r="G34" i="196" s="1"/>
  <c r="G35" i="196" s="1"/>
  <c r="G36" i="196" s="1"/>
  <c r="G37" i="196" s="1"/>
  <c r="CZ3" i="196"/>
  <c r="EH3" i="196" s="1"/>
  <c r="J3" i="196"/>
  <c r="J4" i="196" s="1"/>
  <c r="DC3" i="196"/>
  <c r="EK3" i="196" s="1"/>
  <c r="F3" i="196"/>
  <c r="F4" i="196" s="1"/>
  <c r="F5" i="196" s="1"/>
  <c r="F6" i="196" s="1"/>
  <c r="F7" i="196" s="1"/>
  <c r="F8" i="196" s="1"/>
  <c r="F9" i="196" s="1"/>
  <c r="F10" i="196" s="1"/>
  <c r="F11" i="196" s="1"/>
  <c r="F12" i="196" s="1"/>
  <c r="F13" i="196" s="1"/>
  <c r="F14" i="196" s="1"/>
  <c r="F15" i="196" s="1"/>
  <c r="F16" i="196" s="1"/>
  <c r="F17" i="196" s="1"/>
  <c r="F18" i="196" s="1"/>
  <c r="F19" i="196" s="1"/>
  <c r="F20" i="196" s="1"/>
  <c r="F21" i="196" s="1"/>
  <c r="F22" i="196" s="1"/>
  <c r="F23" i="196" s="1"/>
  <c r="F24" i="196" s="1"/>
  <c r="F25" i="196" s="1"/>
  <c r="F26" i="196" s="1"/>
  <c r="F27" i="196" s="1"/>
  <c r="F28" i="196" s="1"/>
  <c r="F29" i="196" s="1"/>
  <c r="F30" i="196" s="1"/>
  <c r="F31" i="196" s="1"/>
  <c r="F32" i="196" s="1"/>
  <c r="F33" i="196" s="1"/>
  <c r="F34" i="196" s="1"/>
  <c r="F35" i="196" s="1"/>
  <c r="F36" i="196" s="1"/>
  <c r="F37" i="196" s="1"/>
  <c r="F38" i="196" s="1"/>
  <c r="F39" i="196" s="1"/>
  <c r="F40" i="196" s="1"/>
  <c r="F41" i="196" s="1"/>
  <c r="F42" i="196" s="1"/>
  <c r="F43" i="196" s="1"/>
  <c r="CY3" i="196"/>
  <c r="EG3" i="196" s="1"/>
  <c r="D3" i="196"/>
  <c r="D4" i="196" s="1"/>
  <c r="D5" i="196" s="1"/>
  <c r="D6" i="196" s="1"/>
  <c r="D7" i="196" s="1"/>
  <c r="D8" i="196" s="1"/>
  <c r="D9" i="196" s="1"/>
  <c r="D10" i="196" s="1"/>
  <c r="D11" i="196" s="1"/>
  <c r="D12" i="196" s="1"/>
  <c r="D13" i="196" s="1"/>
  <c r="D14" i="196" s="1"/>
  <c r="D15" i="196" s="1"/>
  <c r="D16" i="196" s="1"/>
  <c r="D17" i="196" s="1"/>
  <c r="D18" i="196" s="1"/>
  <c r="D19" i="196" s="1"/>
  <c r="CW3" i="196"/>
  <c r="EE3" i="196" s="1"/>
  <c r="BQ3" i="196"/>
  <c r="DG3" i="196"/>
  <c r="EO3" i="196" s="1"/>
  <c r="N3" i="196"/>
  <c r="N4" i="196" s="1"/>
  <c r="N5" i="196" s="1"/>
  <c r="N6" i="196" s="1"/>
  <c r="N7" i="196" s="1"/>
  <c r="N8" i="196" s="1"/>
  <c r="N9" i="196" s="1"/>
  <c r="N10" i="196" s="1"/>
  <c r="N11" i="196" s="1"/>
  <c r="N12" i="196" s="1"/>
  <c r="N13" i="196" s="1"/>
  <c r="N14" i="196" s="1"/>
  <c r="N15" i="196" s="1"/>
  <c r="N16" i="196" s="1"/>
  <c r="N17" i="196" s="1"/>
  <c r="N18" i="196" s="1"/>
  <c r="N19" i="196" s="1"/>
  <c r="N20" i="196" s="1"/>
  <c r="N21" i="196" s="1"/>
  <c r="N22" i="196" s="1"/>
  <c r="N23" i="196" s="1"/>
  <c r="N24" i="196" s="1"/>
  <c r="N25" i="196" s="1"/>
  <c r="N26" i="196" s="1"/>
  <c r="N27" i="196" s="1"/>
  <c r="I3" i="196"/>
  <c r="I4" i="196" s="1"/>
  <c r="DB3" i="196"/>
  <c r="EJ3" i="196" s="1"/>
  <c r="BV69" i="196"/>
  <c r="BV48" i="196"/>
  <c r="BV56" i="196"/>
  <c r="BV64" i="196"/>
  <c r="BV72" i="196"/>
  <c r="BV80" i="196"/>
  <c r="BV88" i="196"/>
  <c r="BV96" i="196"/>
  <c r="BV53" i="196"/>
  <c r="BV77" i="196"/>
  <c r="BV85" i="196"/>
  <c r="BY18" i="196"/>
  <c r="BV54" i="196"/>
  <c r="BV62" i="196"/>
  <c r="BV70" i="196"/>
  <c r="BV78" i="196"/>
  <c r="BV86" i="196"/>
  <c r="BV94" i="196"/>
  <c r="BY25" i="196"/>
  <c r="BY17" i="196"/>
  <c r="BV61" i="196"/>
  <c r="BV93" i="196"/>
  <c r="BV49" i="196"/>
  <c r="BV57" i="196"/>
  <c r="BV65" i="196"/>
  <c r="BV73" i="196"/>
  <c r="BV81" i="196"/>
  <c r="BV89" i="196"/>
  <c r="BV97" i="196"/>
  <c r="BV52" i="196"/>
  <c r="BV60" i="196"/>
  <c r="BV68" i="196"/>
  <c r="BV76" i="196"/>
  <c r="BV84" i="196"/>
  <c r="BV92" i="196"/>
  <c r="BV50" i="196"/>
  <c r="BV58" i="196"/>
  <c r="BV66" i="196"/>
  <c r="BV74" i="196"/>
  <c r="BV82" i="196"/>
  <c r="BV90" i="196"/>
  <c r="BV83" i="196"/>
  <c r="BV51" i="196"/>
  <c r="BY26" i="196"/>
  <c r="BV91" i="196"/>
  <c r="BV67" i="196"/>
  <c r="BY15" i="196"/>
  <c r="BY22" i="196"/>
  <c r="BV59" i="196"/>
  <c r="BV71" i="196"/>
  <c r="BV75" i="196"/>
  <c r="BV95" i="196"/>
  <c r="BV79" i="196"/>
  <c r="BV63" i="196"/>
  <c r="BV47" i="196"/>
  <c r="BY23" i="196"/>
  <c r="BV87" i="196"/>
  <c r="BV55" i="196"/>
  <c r="BY19" i="196"/>
  <c r="BY27" i="196"/>
  <c r="CF64" i="196"/>
  <c r="K3" i="196"/>
  <c r="K4" i="196" s="1"/>
  <c r="DD3" i="196"/>
  <c r="EL3" i="196" s="1"/>
  <c r="CJ94" i="196"/>
  <c r="CR94" i="196"/>
  <c r="CR3" i="196"/>
  <c r="CS109" i="196"/>
  <c r="CQ117" i="196"/>
  <c r="B3" i="196"/>
  <c r="B4" i="196" s="1"/>
  <c r="B5" i="196" s="1"/>
  <c r="B6" i="196" s="1"/>
  <c r="B7" i="196" s="1"/>
  <c r="B8" i="196" s="1"/>
  <c r="B9" i="196" s="1"/>
  <c r="B10" i="196" s="1"/>
  <c r="B11" i="196" s="1"/>
  <c r="B12" i="196" s="1"/>
  <c r="B13" i="196" s="1"/>
  <c r="B14" i="196" s="1"/>
  <c r="B15" i="196" s="1"/>
  <c r="B16" i="196" s="1"/>
  <c r="B17" i="196" s="1"/>
  <c r="B18" i="196" s="1"/>
  <c r="B19" i="196" s="1"/>
  <c r="B20" i="196" s="1"/>
  <c r="B21" i="196" s="1"/>
  <c r="B22" i="196" s="1"/>
  <c r="B23" i="196" s="1"/>
  <c r="B24" i="196" s="1"/>
  <c r="B25" i="196" s="1"/>
  <c r="B26" i="196" s="1"/>
  <c r="CU3" i="196"/>
  <c r="EC3" i="196" s="1"/>
  <c r="CS52" i="196"/>
  <c r="CS44" i="196"/>
  <c r="CS12" i="196"/>
  <c r="CJ122" i="196"/>
  <c r="CJ118" i="196"/>
  <c r="CJ110" i="196"/>
  <c r="CS18" i="196"/>
  <c r="CS8" i="196"/>
  <c r="CJ113" i="196"/>
  <c r="CS3" i="196"/>
  <c r="CR86" i="196"/>
  <c r="CR5" i="196"/>
  <c r="CR116" i="196"/>
  <c r="CS116" i="196"/>
  <c r="CS10" i="196"/>
  <c r="CS64" i="196"/>
  <c r="CS14" i="196"/>
  <c r="CQ120" i="196"/>
  <c r="CS16" i="196"/>
  <c r="CS6" i="196"/>
  <c r="CR114" i="196"/>
  <c r="CR90" i="196"/>
  <c r="CR88" i="196"/>
  <c r="CS84" i="196"/>
  <c r="CR82" i="196"/>
  <c r="CS60" i="196"/>
  <c r="CR111" i="196"/>
  <c r="CR78" i="196"/>
  <c r="CQ65" i="196"/>
  <c r="CJ75" i="196"/>
  <c r="CS72" i="196"/>
  <c r="CJ115" i="196"/>
  <c r="CS56" i="196"/>
  <c r="CS48" i="196"/>
  <c r="CS40" i="196"/>
  <c r="CS92" i="196"/>
  <c r="CJ87" i="196"/>
  <c r="CS68" i="196"/>
  <c r="CR16" i="196"/>
  <c r="CS114" i="196"/>
  <c r="CQ69" i="196"/>
  <c r="CF84" i="196"/>
  <c r="CF68" i="196"/>
  <c r="CG58" i="196"/>
  <c r="CG50" i="196"/>
  <c r="CQ57" i="196"/>
  <c r="CQ77" i="196"/>
  <c r="CQ85" i="196"/>
  <c r="CF88" i="196"/>
  <c r="CQ53" i="196"/>
  <c r="CQ73" i="196"/>
  <c r="CQ93" i="196"/>
  <c r="CF82" i="196"/>
  <c r="CF94" i="196"/>
  <c r="CG62" i="196"/>
  <c r="CG54" i="196"/>
  <c r="CF90" i="196"/>
  <c r="CG64" i="196"/>
  <c r="CF78" i="196"/>
  <c r="CQ81" i="196"/>
  <c r="CG119" i="196"/>
  <c r="CQ61" i="196"/>
  <c r="CG66" i="196"/>
  <c r="CF100" i="196"/>
  <c r="CG70" i="196"/>
  <c r="CG112" i="196"/>
  <c r="CG104" i="196"/>
  <c r="CQ113" i="196"/>
  <c r="CF80" i="196"/>
  <c r="CF86" i="196"/>
  <c r="CQ89" i="196"/>
  <c r="CQ94" i="196"/>
  <c r="BT16" i="196"/>
  <c r="BT24" i="196"/>
  <c r="CF92" i="196"/>
  <c r="BQ13" i="196"/>
  <c r="S28" i="249"/>
  <c r="BQ7" i="196"/>
  <c r="CA13" i="196"/>
  <c r="CA21" i="196"/>
  <c r="S22" i="249"/>
  <c r="S31" i="249"/>
  <c r="S33" i="249"/>
  <c r="CF72" i="196"/>
  <c r="CQ112" i="196"/>
  <c r="BT9" i="196"/>
  <c r="BT17" i="196"/>
  <c r="BT33" i="196"/>
  <c r="Y29" i="249"/>
  <c r="CG86" i="196"/>
  <c r="BT32" i="196"/>
  <c r="AD28" i="249"/>
  <c r="CA27" i="196"/>
  <c r="CA5" i="196"/>
  <c r="CA7" i="196"/>
  <c r="S8" i="249"/>
  <c r="BQ16" i="196"/>
  <c r="CA19" i="196"/>
  <c r="CA22" i="196"/>
  <c r="S23" i="249"/>
  <c r="S36" i="249"/>
  <c r="S41" i="249"/>
  <c r="BT35" i="196"/>
  <c r="BT10" i="196"/>
  <c r="BT18" i="196"/>
  <c r="BT26" i="196"/>
  <c r="BQ19" i="196"/>
  <c r="CA10" i="196"/>
  <c r="CF62" i="196"/>
  <c r="BQ8" i="196"/>
  <c r="S15" i="249"/>
  <c r="CA16" i="196"/>
  <c r="U43" i="249"/>
  <c r="U44" i="249" s="1"/>
  <c r="BT11" i="196"/>
  <c r="BT19" i="196"/>
  <c r="BT27" i="196"/>
  <c r="W38" i="249"/>
  <c r="BT37" i="196"/>
  <c r="BT3" i="196"/>
  <c r="BT30" i="196"/>
  <c r="S19" i="249"/>
  <c r="S4" i="249"/>
  <c r="CA8" i="196"/>
  <c r="BQ9" i="196"/>
  <c r="S10" i="249"/>
  <c r="BQ18" i="196"/>
  <c r="CA24" i="196"/>
  <c r="S25" i="249"/>
  <c r="CF66" i="196"/>
  <c r="CF74" i="196"/>
  <c r="BT4" i="196"/>
  <c r="BT12" i="196"/>
  <c r="BT20" i="196"/>
  <c r="CR92" i="196"/>
  <c r="CR84" i="196"/>
  <c r="CG82" i="196"/>
  <c r="BT25" i="196"/>
  <c r="BQ17" i="196"/>
  <c r="CA11" i="196"/>
  <c r="CA17" i="196"/>
  <c r="BQ6" i="196"/>
  <c r="CG5" i="196" s="1"/>
  <c r="CA9" i="196"/>
  <c r="BQ10" i="196"/>
  <c r="CA15" i="196"/>
  <c r="CA18" i="196"/>
  <c r="S20" i="249"/>
  <c r="CA25" i="196"/>
  <c r="CF70" i="196"/>
  <c r="BT5" i="196"/>
  <c r="BT13" i="196"/>
  <c r="BT21" i="196"/>
  <c r="BT29" i="196"/>
  <c r="CG90" i="196"/>
  <c r="CG74" i="196"/>
  <c r="BT36" i="196"/>
  <c r="BT28" i="196"/>
  <c r="BT7" i="196"/>
  <c r="CA4" i="196"/>
  <c r="CA6" i="196"/>
  <c r="BQ11" i="196"/>
  <c r="BQ14" i="196"/>
  <c r="S17" i="249"/>
  <c r="CA20" i="196"/>
  <c r="S26" i="249"/>
  <c r="CQ121" i="196"/>
  <c r="BT6" i="196"/>
  <c r="BT14" i="196"/>
  <c r="BT22" i="196"/>
  <c r="CA3" i="196"/>
  <c r="CG78" i="196"/>
  <c r="BQ15" i="196"/>
  <c r="CA12" i="196"/>
  <c r="CA14" i="196"/>
  <c r="CA26" i="196"/>
  <c r="S27" i="249"/>
  <c r="CF76" i="196"/>
  <c r="BT15" i="196"/>
  <c r="BT23" i="196"/>
  <c r="BT31" i="196"/>
  <c r="CJ91" i="196"/>
  <c r="CS88" i="196"/>
  <c r="CJ83" i="196"/>
  <c r="CR80" i="196"/>
  <c r="CS76" i="196"/>
  <c r="BT34" i="196"/>
  <c r="BQ12" i="196"/>
  <c r="BT8" i="196"/>
  <c r="BQ4" i="196"/>
  <c r="CG4" i="196" s="1"/>
  <c r="CJ71" i="196"/>
  <c r="CJ67" i="196"/>
  <c r="CJ63" i="196"/>
  <c r="CR28" i="196"/>
  <c r="CJ111" i="196"/>
  <c r="CG110" i="196"/>
  <c r="CR101" i="196"/>
  <c r="CS80" i="196"/>
  <c r="CR74" i="196"/>
  <c r="CR70" i="196"/>
  <c r="CR66" i="196"/>
  <c r="CR62" i="196"/>
  <c r="CR58" i="196"/>
  <c r="CR54" i="196"/>
  <c r="CR40" i="196"/>
  <c r="CR8" i="196"/>
  <c r="CJ114" i="196"/>
  <c r="CS111" i="196"/>
  <c r="CR33" i="196"/>
  <c r="CJ120" i="196"/>
  <c r="CS110" i="196"/>
  <c r="CS122" i="196"/>
  <c r="CS103" i="196"/>
  <c r="CJ79" i="196"/>
  <c r="CR76" i="196"/>
  <c r="CR72" i="196"/>
  <c r="CR68" i="196"/>
  <c r="CR64" i="196"/>
  <c r="CR60" i="196"/>
  <c r="CR56" i="196"/>
  <c r="CR52" i="196"/>
  <c r="CR48" i="196"/>
  <c r="CR44" i="196"/>
  <c r="CS34" i="196"/>
  <c r="CS32" i="196"/>
  <c r="CR12" i="196"/>
  <c r="CR4" i="196"/>
  <c r="CG117" i="196"/>
  <c r="CR109" i="196"/>
  <c r="CS95" i="196"/>
  <c r="CQ110" i="196"/>
  <c r="CQ111" i="196"/>
  <c r="CJ90" i="196"/>
  <c r="CG89" i="196"/>
  <c r="CS87" i="196"/>
  <c r="CG77" i="196"/>
  <c r="CG69" i="196"/>
  <c r="CR32" i="196"/>
  <c r="CJ93" i="196"/>
  <c r="CG92" i="196"/>
  <c r="CQ91" i="196"/>
  <c r="CS90" i="196"/>
  <c r="CJ89" i="196"/>
  <c r="CG88" i="196"/>
  <c r="CQ87" i="196"/>
  <c r="CS86" i="196"/>
  <c r="CJ85" i="196"/>
  <c r="CG84" i="196"/>
  <c r="CQ83" i="196"/>
  <c r="CS82" i="196"/>
  <c r="CJ81" i="196"/>
  <c r="CG80" i="196"/>
  <c r="CQ79" i="196"/>
  <c r="CS78" i="196"/>
  <c r="CJ77" i="196"/>
  <c r="CG76" i="196"/>
  <c r="CQ75" i="196"/>
  <c r="CS74" i="196"/>
  <c r="CJ73" i="196"/>
  <c r="CG72" i="196"/>
  <c r="CQ71" i="196"/>
  <c r="CS70" i="196"/>
  <c r="CJ69" i="196"/>
  <c r="CG68" i="196"/>
  <c r="CQ67" i="196"/>
  <c r="CS66" i="196"/>
  <c r="CJ65" i="196"/>
  <c r="CQ63" i="196"/>
  <c r="CS62" i="196"/>
  <c r="CJ61" i="196"/>
  <c r="CG60" i="196"/>
  <c r="CQ59" i="196"/>
  <c r="CS58" i="196"/>
  <c r="CG56" i="196"/>
  <c r="CQ55" i="196"/>
  <c r="CS54" i="196"/>
  <c r="CG52" i="196"/>
  <c r="CS50" i="196"/>
  <c r="CG48" i="196"/>
  <c r="CS46" i="196"/>
  <c r="CS42" i="196"/>
  <c r="CS38" i="196"/>
  <c r="CR50" i="196"/>
  <c r="CR46" i="196"/>
  <c r="CG79" i="196"/>
  <c r="CS36" i="196"/>
  <c r="CR41" i="196"/>
  <c r="CR36" i="196"/>
  <c r="CS28" i="196"/>
  <c r="CS24" i="196"/>
  <c r="CS20" i="196"/>
  <c r="CR99" i="196"/>
  <c r="CR24" i="196"/>
  <c r="CR20" i="196"/>
  <c r="CS115" i="196"/>
  <c r="CQ114" i="196"/>
  <c r="CJ112" i="196"/>
  <c r="CF106" i="196"/>
  <c r="CJ121" i="196"/>
  <c r="CJ116" i="196"/>
  <c r="CR105" i="196"/>
  <c r="CF98" i="196"/>
  <c r="CF120" i="196"/>
  <c r="CS119" i="196"/>
  <c r="CG114" i="196"/>
  <c r="CS112" i="196"/>
  <c r="CF104" i="196"/>
  <c r="CS30" i="196"/>
  <c r="CS26" i="196"/>
  <c r="CS22" i="196"/>
  <c r="CJ119" i="196"/>
  <c r="CG111" i="196"/>
  <c r="CQ108" i="196"/>
  <c r="CR103" i="196"/>
  <c r="CF96" i="196"/>
  <c r="CJ117" i="196"/>
  <c r="CF112" i="196"/>
  <c r="CR95" i="196"/>
  <c r="CF93" i="196"/>
  <c r="CR91" i="196"/>
  <c r="CF89" i="196"/>
  <c r="CR87" i="196"/>
  <c r="CF85" i="196"/>
  <c r="CR63" i="196"/>
  <c r="CG75" i="196"/>
  <c r="CS93" i="196"/>
  <c r="CJ92" i="196"/>
  <c r="CG91" i="196"/>
  <c r="CQ90" i="196"/>
  <c r="CS89" i="196"/>
  <c r="CG83" i="196"/>
  <c r="CS73" i="196"/>
  <c r="CS85" i="196"/>
  <c r="CR93" i="196"/>
  <c r="CR81" i="196"/>
  <c r="CJ88" i="196"/>
  <c r="CG87" i="196"/>
  <c r="CQ86" i="196"/>
  <c r="CJ84" i="196"/>
  <c r="CQ82" i="196"/>
  <c r="CS81" i="196"/>
  <c r="CJ80" i="196"/>
  <c r="CQ78" i="196"/>
  <c r="CS77" i="196"/>
  <c r="CJ76" i="196"/>
  <c r="CQ74" i="196"/>
  <c r="CJ72" i="196"/>
  <c r="CG71" i="196"/>
  <c r="CQ70" i="196"/>
  <c r="CS69" i="196"/>
  <c r="CJ68" i="196"/>
  <c r="CG67" i="196"/>
  <c r="CQ66" i="196"/>
  <c r="CS65" i="196"/>
  <c r="CJ64" i="196"/>
  <c r="CG63" i="196"/>
  <c r="CQ62" i="196"/>
  <c r="CS61" i="196"/>
  <c r="CG59" i="196"/>
  <c r="CQ58" i="196"/>
  <c r="CS57" i="196"/>
  <c r="CG55" i="196"/>
  <c r="CQ54" i="196"/>
  <c r="CS53" i="196"/>
  <c r="CG51" i="196"/>
  <c r="CS49" i="196"/>
  <c r="CG47" i="196"/>
  <c r="CS45" i="196"/>
  <c r="CS41" i="196"/>
  <c r="CS37" i="196"/>
  <c r="CF91" i="196"/>
  <c r="CR89" i="196"/>
  <c r="CF87" i="196"/>
  <c r="CR85" i="196"/>
  <c r="CF83" i="196"/>
  <c r="CF79" i="196"/>
  <c r="CR77" i="196"/>
  <c r="CF75" i="196"/>
  <c r="CR73" i="196"/>
  <c r="CF71" i="196"/>
  <c r="CR69" i="196"/>
  <c r="CF67" i="196"/>
  <c r="CR65" i="196"/>
  <c r="CF63" i="196"/>
  <c r="CR61" i="196"/>
  <c r="CG93" i="196"/>
  <c r="CQ92" i="196"/>
  <c r="CS91" i="196"/>
  <c r="CQ88" i="196"/>
  <c r="CJ86" i="196"/>
  <c r="CG85" i="196"/>
  <c r="CQ84" i="196"/>
  <c r="CS83" i="196"/>
  <c r="CJ82" i="196"/>
  <c r="CG81" i="196"/>
  <c r="CQ80" i="196"/>
  <c r="CS79" i="196"/>
  <c r="CJ78" i="196"/>
  <c r="CQ76" i="196"/>
  <c r="CS75" i="196"/>
  <c r="CJ74" i="196"/>
  <c r="CG73" i="196"/>
  <c r="CQ72" i="196"/>
  <c r="CS71" i="196"/>
  <c r="CJ70" i="196"/>
  <c r="CQ68" i="196"/>
  <c r="CS67" i="196"/>
  <c r="CJ66" i="196"/>
  <c r="CG65" i="196"/>
  <c r="CQ64" i="196"/>
  <c r="CS63" i="196"/>
  <c r="CJ62" i="196"/>
  <c r="CG61" i="196"/>
  <c r="CQ60" i="196"/>
  <c r="CR83" i="196"/>
  <c r="CF81" i="196"/>
  <c r="CR79" i="196"/>
  <c r="CF77" i="196"/>
  <c r="CR75" i="196"/>
  <c r="CF73" i="196"/>
  <c r="CR71" i="196"/>
  <c r="CF69" i="196"/>
  <c r="CR67" i="196"/>
  <c r="CF65" i="196"/>
  <c r="CF61" i="196"/>
  <c r="CR59" i="196"/>
  <c r="CR55" i="196"/>
  <c r="CR51" i="196"/>
  <c r="CR47" i="196"/>
  <c r="CR43" i="196"/>
  <c r="CR39" i="196"/>
  <c r="CR35" i="196"/>
  <c r="CR31" i="196"/>
  <c r="CR27" i="196"/>
  <c r="CS59" i="196"/>
  <c r="CG57" i="196"/>
  <c r="CQ56" i="196"/>
  <c r="CS55" i="196"/>
  <c r="CG53" i="196"/>
  <c r="CQ52" i="196"/>
  <c r="CS51" i="196"/>
  <c r="CG49" i="196"/>
  <c r="CS47" i="196"/>
  <c r="CS43" i="196"/>
  <c r="CS39" i="196"/>
  <c r="CS35" i="196"/>
  <c r="CS31" i="196"/>
  <c r="CS27" i="196"/>
  <c r="CS23" i="196"/>
  <c r="CS19" i="196"/>
  <c r="CS15" i="196"/>
  <c r="CS11" i="196"/>
  <c r="CS7" i="196"/>
  <c r="CR23" i="196"/>
  <c r="CR19" i="196"/>
  <c r="CR15" i="196"/>
  <c r="CR11" i="196"/>
  <c r="CR7" i="196"/>
  <c r="CR42" i="196"/>
  <c r="CR38" i="196"/>
  <c r="CR34" i="196"/>
  <c r="CR30" i="196"/>
  <c r="CR26" i="196"/>
  <c r="CR22" i="196"/>
  <c r="CR18" i="196"/>
  <c r="CR14" i="196"/>
  <c r="CR10" i="196"/>
  <c r="CR6" i="196"/>
  <c r="CS33" i="196"/>
  <c r="CS29" i="196"/>
  <c r="CS25" i="196"/>
  <c r="CS21" i="196"/>
  <c r="CS17" i="196"/>
  <c r="CS13" i="196"/>
  <c r="CS9" i="196"/>
  <c r="CS5" i="196"/>
  <c r="CR57" i="196"/>
  <c r="CR53" i="196"/>
  <c r="CR49" i="196"/>
  <c r="CR45" i="196"/>
  <c r="CR37" i="196"/>
  <c r="CR29" i="196"/>
  <c r="CR25" i="196"/>
  <c r="CR21" i="196"/>
  <c r="CR17" i="196"/>
  <c r="CR13" i="196"/>
  <c r="CR9" i="196"/>
  <c r="CS4" i="196"/>
  <c r="CQ119" i="196"/>
  <c r="CQ118" i="196"/>
  <c r="CS121" i="196"/>
  <c r="CS120" i="196"/>
  <c r="CG122" i="196"/>
  <c r="CR121" i="196"/>
  <c r="CF117" i="196"/>
  <c r="CQ116" i="196"/>
  <c r="CR113" i="196"/>
  <c r="CG109" i="196"/>
  <c r="CS105" i="196"/>
  <c r="CS97" i="196"/>
  <c r="CF122" i="196"/>
  <c r="CG121" i="196"/>
  <c r="CS118" i="196"/>
  <c r="CR118" i="196"/>
  <c r="CF114" i="196"/>
  <c r="CG113" i="196"/>
  <c r="CF110" i="196"/>
  <c r="CS108" i="196"/>
  <c r="CS99" i="196"/>
  <c r="CG98" i="196"/>
  <c r="CQ95" i="196"/>
  <c r="CF119" i="196"/>
  <c r="CG116" i="196"/>
  <c r="CQ115" i="196"/>
  <c r="CR115" i="196"/>
  <c r="CJ109" i="196"/>
  <c r="CG106" i="196"/>
  <c r="CF102" i="196"/>
  <c r="CG100" i="196"/>
  <c r="CG96" i="196"/>
  <c r="CR120" i="196"/>
  <c r="CS117" i="196"/>
  <c r="CF116" i="196"/>
  <c r="CG115" i="196"/>
  <c r="CR112" i="196"/>
  <c r="CF111" i="196"/>
  <c r="CS107" i="196"/>
  <c r="CS101" i="196"/>
  <c r="CF121" i="196"/>
  <c r="CG118" i="196"/>
  <c r="CR117" i="196"/>
  <c r="CS113" i="196"/>
  <c r="CF113" i="196"/>
  <c r="CG102" i="196"/>
  <c r="CF95" i="196"/>
  <c r="CR122" i="196"/>
  <c r="CF118" i="196"/>
  <c r="CG120" i="196"/>
  <c r="CR119" i="196"/>
  <c r="CF115" i="196"/>
  <c r="CF109" i="196"/>
  <c r="CR97" i="196"/>
  <c r="CJ106" i="196"/>
  <c r="CJ105" i="196"/>
  <c r="CJ123" i="196"/>
  <c r="CR110" i="196"/>
  <c r="CJ108" i="196"/>
  <c r="CJ107" i="196"/>
  <c r="CQ105" i="196"/>
  <c r="CQ104" i="196"/>
  <c r="CJ100" i="196"/>
  <c r="CJ99" i="196"/>
  <c r="CQ122" i="196"/>
  <c r="CQ99" i="196"/>
  <c r="CQ98" i="196"/>
  <c r="CJ96" i="196"/>
  <c r="CJ95" i="196"/>
  <c r="CJ104" i="196"/>
  <c r="CJ103" i="196"/>
  <c r="CR107" i="196"/>
  <c r="CR108" i="196"/>
  <c r="CQ103" i="196"/>
  <c r="CQ102" i="196"/>
  <c r="CJ98" i="196"/>
  <c r="CJ97" i="196"/>
  <c r="CQ109" i="196"/>
  <c r="CF108" i="196"/>
  <c r="CQ97" i="196"/>
  <c r="CQ96" i="196"/>
  <c r="CQ107" i="196"/>
  <c r="CQ106" i="196"/>
  <c r="CJ102" i="196"/>
  <c r="CJ101" i="196"/>
  <c r="CG108" i="196"/>
  <c r="CG107" i="196"/>
  <c r="CQ101" i="196"/>
  <c r="CQ100" i="196"/>
  <c r="CS106" i="196"/>
  <c r="CG105" i="196"/>
  <c r="CS104" i="196"/>
  <c r="CG103" i="196"/>
  <c r="CS102" i="196"/>
  <c r="CG101" i="196"/>
  <c r="CS100" i="196"/>
  <c r="CG99" i="196"/>
  <c r="CS98" i="196"/>
  <c r="CG97" i="196"/>
  <c r="CS96" i="196"/>
  <c r="CG95" i="196"/>
  <c r="CF107" i="196"/>
  <c r="CR106" i="196"/>
  <c r="CF105" i="196"/>
  <c r="CR104" i="196"/>
  <c r="CF103" i="196"/>
  <c r="CR102" i="196"/>
  <c r="CF101" i="196"/>
  <c r="CR100" i="196"/>
  <c r="CF99" i="196"/>
  <c r="CR98" i="196"/>
  <c r="CF97" i="196"/>
  <c r="CR96" i="196"/>
  <c r="AB14" i="248"/>
  <c r="AC4" i="248"/>
  <c r="AC12" i="248"/>
  <c r="AC10" i="248"/>
  <c r="AC8" i="248"/>
  <c r="AC14" i="248"/>
  <c r="AC3" i="248"/>
  <c r="AC13" i="248"/>
  <c r="AC11" i="248"/>
  <c r="AC9" i="248"/>
  <c r="AC7" i="248"/>
  <c r="B100" i="253"/>
  <c r="B101" i="253" s="1"/>
  <c r="B102" i="253" s="1"/>
  <c r="B103" i="253" s="1"/>
  <c r="B104" i="253" s="1"/>
  <c r="B105" i="253" s="1"/>
  <c r="B106" i="253" s="1"/>
  <c r="B107" i="253" s="1"/>
  <c r="B108" i="253" s="1"/>
  <c r="B109" i="253" s="1"/>
  <c r="B110" i="253" s="1"/>
  <c r="B111" i="253" s="1"/>
  <c r="B112" i="253" s="1"/>
  <c r="B113" i="253" s="1"/>
  <c r="B114" i="253" s="1"/>
  <c r="B115" i="253" s="1"/>
  <c r="B116" i="253" s="1"/>
  <c r="B117" i="253" s="1"/>
  <c r="B118" i="253" s="1"/>
  <c r="B119" i="253" s="1"/>
  <c r="B120" i="253" s="1"/>
  <c r="B121" i="253" s="1"/>
  <c r="B122" i="253" s="1"/>
  <c r="W40" i="249"/>
  <c r="W39" i="249"/>
  <c r="W41" i="249"/>
  <c r="W42" i="249"/>
  <c r="B10" i="251"/>
  <c r="V11" i="248" s="1"/>
  <c r="B8" i="251"/>
  <c r="V9" i="248" s="1"/>
  <c r="B15" i="251"/>
  <c r="B12" i="251"/>
  <c r="V13" i="248" s="1"/>
  <c r="B11" i="251"/>
  <c r="V12" i="248" s="1"/>
  <c r="C118" i="250"/>
  <c r="C108" i="250"/>
  <c r="B13" i="250"/>
  <c r="U14" i="248" s="1"/>
  <c r="B8" i="250"/>
  <c r="B7" i="250" s="1"/>
  <c r="B6" i="250" s="1"/>
  <c r="B5" i="250" s="1"/>
  <c r="B4" i="250" s="1"/>
  <c r="B3" i="250" s="1"/>
  <c r="B2" i="250" s="1"/>
  <c r="B14" i="250"/>
  <c r="U15" i="248" s="1"/>
  <c r="C113" i="250"/>
  <c r="C99" i="250"/>
  <c r="C98" i="250" s="1"/>
  <c r="C103" i="250"/>
  <c r="C102" i="250" s="1"/>
  <c r="C100" i="250"/>
  <c r="B9" i="250"/>
  <c r="U10" i="248" s="1"/>
  <c r="B9" i="251"/>
  <c r="V10" i="248" s="1"/>
  <c r="B13" i="251"/>
  <c r="V14" i="248" s="1"/>
  <c r="B14" i="251"/>
  <c r="V15" i="248" s="1"/>
  <c r="B11" i="250"/>
  <c r="U12" i="248" s="1"/>
  <c r="B10" i="250"/>
  <c r="U11" i="248" s="1"/>
  <c r="S12" i="249"/>
  <c r="S9" i="249"/>
  <c r="AC3" i="249"/>
  <c r="S30" i="249"/>
  <c r="S7" i="249"/>
  <c r="S14" i="249"/>
  <c r="S11" i="249"/>
  <c r="S37" i="249"/>
  <c r="S40" i="249"/>
  <c r="S35" i="249"/>
  <c r="S3" i="249"/>
  <c r="S5" i="249"/>
  <c r="S18" i="249"/>
  <c r="S34" i="249"/>
  <c r="S6" i="249"/>
  <c r="S39" i="249"/>
  <c r="S16" i="249"/>
  <c r="S21" i="249"/>
  <c r="S13" i="249"/>
  <c r="S24" i="249"/>
  <c r="S29" i="249"/>
  <c r="S32" i="249"/>
  <c r="U45" i="249"/>
  <c r="S38" i="249"/>
  <c r="B27" i="196" l="1"/>
  <c r="B28" i="196" s="1"/>
  <c r="B29" i="196" s="1"/>
  <c r="B30" i="196" s="1"/>
  <c r="B31" i="196" s="1"/>
  <c r="B32" i="196" s="1"/>
  <c r="B33" i="196" s="1"/>
  <c r="B34" i="196" s="1"/>
  <c r="B35" i="196" s="1"/>
  <c r="B36" i="196" s="1"/>
  <c r="CQ23" i="196"/>
  <c r="CQ22" i="196"/>
  <c r="AC5" i="248"/>
  <c r="B6" i="251"/>
  <c r="V7" i="248" s="1"/>
  <c r="DF3" i="196"/>
  <c r="EN3" i="196" s="1"/>
  <c r="M3" i="196"/>
  <c r="M4" i="196" s="1"/>
  <c r="M5" i="196" s="1"/>
  <c r="M6" i="196" s="1"/>
  <c r="M7" i="196" s="1"/>
  <c r="M8" i="196" s="1"/>
  <c r="M9" i="196" s="1"/>
  <c r="M10" i="196" s="1"/>
  <c r="M11" i="196" s="1"/>
  <c r="M12" i="196" s="1"/>
  <c r="M13" i="196" s="1"/>
  <c r="CY4" i="196"/>
  <c r="L3" i="196"/>
  <c r="L4" i="196" s="1"/>
  <c r="DE3" i="196"/>
  <c r="EM3" i="196" s="1"/>
  <c r="N28" i="196"/>
  <c r="DC4" i="196"/>
  <c r="AD31" i="249"/>
  <c r="AD29" i="249"/>
  <c r="AD30" i="249"/>
  <c r="AD33" i="249"/>
  <c r="AD36" i="249"/>
  <c r="AD35" i="249"/>
  <c r="AD34" i="249"/>
  <c r="AD32" i="249"/>
  <c r="U59" i="249"/>
  <c r="U51" i="249"/>
  <c r="U57" i="249"/>
  <c r="U58" i="249"/>
  <c r="U50" i="249"/>
  <c r="U49" i="249"/>
  <c r="U53" i="249"/>
  <c r="U56" i="249"/>
  <c r="U48" i="249"/>
  <c r="U55" i="249"/>
  <c r="U47" i="249"/>
  <c r="U54" i="249"/>
  <c r="U46" i="249"/>
  <c r="U60" i="249"/>
  <c r="U52" i="249"/>
  <c r="CZ4" i="196"/>
  <c r="E3" i="196"/>
  <c r="E4" i="196" s="1"/>
  <c r="E5" i="196" s="1"/>
  <c r="E6" i="196" s="1"/>
  <c r="E7" i="196" s="1"/>
  <c r="E8" i="196" s="1"/>
  <c r="E9" i="196" s="1"/>
  <c r="E10" i="196" s="1"/>
  <c r="E11" i="196" s="1"/>
  <c r="E12" i="196" s="1"/>
  <c r="E13" i="196" s="1"/>
  <c r="E14" i="196" s="1"/>
  <c r="E15" i="196" s="1"/>
  <c r="E16" i="196" s="1"/>
  <c r="E17" i="196" s="1"/>
  <c r="E18" i="196" s="1"/>
  <c r="E19" i="196" s="1"/>
  <c r="E20" i="196" s="1"/>
  <c r="E21" i="196" s="1"/>
  <c r="E22" i="196" s="1"/>
  <c r="E23" i="196" s="1"/>
  <c r="E24" i="196" s="1"/>
  <c r="E25" i="196" s="1"/>
  <c r="E26" i="196" s="1"/>
  <c r="CX3" i="196"/>
  <c r="EF3" i="196" s="1"/>
  <c r="G38" i="196"/>
  <c r="G39" i="196" s="1"/>
  <c r="G40" i="196" s="1"/>
  <c r="G41" i="196" s="1"/>
  <c r="G42" i="196" s="1"/>
  <c r="CW4" i="196"/>
  <c r="T46" i="249"/>
  <c r="T40" i="249"/>
  <c r="T45" i="249"/>
  <c r="T44" i="249"/>
  <c r="T43" i="249"/>
  <c r="T42" i="249"/>
  <c r="T41" i="249"/>
  <c r="BQ39" i="196"/>
  <c r="D20" i="196"/>
  <c r="D21" i="196" s="1"/>
  <c r="D22" i="196" s="1"/>
  <c r="D23" i="196" s="1"/>
  <c r="D24" i="196" s="1"/>
  <c r="D25" i="196" s="1"/>
  <c r="D26" i="196" s="1"/>
  <c r="D27" i="196" s="1"/>
  <c r="D28" i="196" s="1"/>
  <c r="D29" i="196" s="1"/>
  <c r="D30" i="196" s="1"/>
  <c r="D31" i="196" s="1"/>
  <c r="D32" i="196" s="1"/>
  <c r="D33" i="196" s="1"/>
  <c r="D34" i="196" s="1"/>
  <c r="D35" i="196" s="1"/>
  <c r="D36" i="196" s="1"/>
  <c r="D37" i="196" s="1"/>
  <c r="D38" i="196" s="1"/>
  <c r="D39" i="196" s="1"/>
  <c r="DG4" i="196"/>
  <c r="DB4" i="196"/>
  <c r="CJ13" i="196"/>
  <c r="CQ11" i="196"/>
  <c r="CJ23" i="196"/>
  <c r="CJ34" i="196"/>
  <c r="CJ15" i="196"/>
  <c r="V16" i="248"/>
  <c r="B61" i="251"/>
  <c r="BZ14" i="196"/>
  <c r="BY14" i="196"/>
  <c r="CQ4" i="196"/>
  <c r="DD4" i="196"/>
  <c r="CJ29" i="196"/>
  <c r="CJ27" i="196"/>
  <c r="CJ28" i="196"/>
  <c r="CJ11" i="196"/>
  <c r="CJ10" i="196"/>
  <c r="K5" i="196"/>
  <c r="K6" i="196" s="1"/>
  <c r="CU4" i="196"/>
  <c r="CJ20" i="196"/>
  <c r="J5" i="196"/>
  <c r="I5" i="196"/>
  <c r="C3" i="196"/>
  <c r="C4" i="196" s="1"/>
  <c r="C5" i="196" s="1"/>
  <c r="C6" i="196" s="1"/>
  <c r="C7" i="196" s="1"/>
  <c r="C8" i="196" s="1"/>
  <c r="C9" i="196" s="1"/>
  <c r="C10" i="196" s="1"/>
  <c r="C11" i="196" s="1"/>
  <c r="C12" i="196" s="1"/>
  <c r="C13" i="196" s="1"/>
  <c r="C14" i="196" s="1"/>
  <c r="C15" i="196" s="1"/>
  <c r="C16" i="196" s="1"/>
  <c r="C17" i="196" s="1"/>
  <c r="C18" i="196" s="1"/>
  <c r="C19" i="196" s="1"/>
  <c r="C20" i="196" s="1"/>
  <c r="C21" i="196" s="1"/>
  <c r="C22" i="196" s="1"/>
  <c r="C23" i="196" s="1"/>
  <c r="C24" i="196" s="1"/>
  <c r="C25" i="196" s="1"/>
  <c r="C26" i="196" s="1"/>
  <c r="C27" i="196" s="1"/>
  <c r="C28" i="196" s="1"/>
  <c r="C29" i="196" s="1"/>
  <c r="C30" i="196" s="1"/>
  <c r="C31" i="196" s="1"/>
  <c r="C32" i="196" s="1"/>
  <c r="C33" i="196" s="1"/>
  <c r="C34" i="196" s="1"/>
  <c r="C35" i="196" s="1"/>
  <c r="C36" i="196" s="1"/>
  <c r="C37" i="196" s="1"/>
  <c r="C38" i="196" s="1"/>
  <c r="C39" i="196" s="1"/>
  <c r="C40" i="196" s="1"/>
  <c r="C41" i="196" s="1"/>
  <c r="CV3" i="196"/>
  <c r="ED3" i="196" s="1"/>
  <c r="CQ9" i="196"/>
  <c r="CG9" i="196"/>
  <c r="CJ21" i="196"/>
  <c r="CQ13" i="196"/>
  <c r="CQ6" i="196"/>
  <c r="CJ30" i="196"/>
  <c r="CG11" i="196"/>
  <c r="CJ12" i="196"/>
  <c r="CJ17" i="196"/>
  <c r="CJ32" i="196"/>
  <c r="CJ31" i="196"/>
  <c r="CJ33" i="196"/>
  <c r="CG13" i="196"/>
  <c r="CJ14" i="196"/>
  <c r="CJ24" i="196"/>
  <c r="CJ18" i="196"/>
  <c r="CJ7" i="196"/>
  <c r="CQ18" i="196"/>
  <c r="CQ7" i="196"/>
  <c r="CJ9" i="196"/>
  <c r="CJ16" i="196"/>
  <c r="CJ8" i="196"/>
  <c r="CJ19" i="196"/>
  <c r="CQ20" i="196"/>
  <c r="CQ8" i="196"/>
  <c r="CJ6" i="196"/>
  <c r="CG17" i="196"/>
  <c r="CJ25" i="196"/>
  <c r="CJ35" i="196"/>
  <c r="CJ5" i="196"/>
  <c r="CG6" i="196"/>
  <c r="CQ17" i="196"/>
  <c r="CQ15" i="196"/>
  <c r="CG7" i="196"/>
  <c r="CG15" i="196"/>
  <c r="CQ14" i="196"/>
  <c r="CQ19" i="196"/>
  <c r="CQ21" i="196"/>
  <c r="CG12" i="196"/>
  <c r="CG18" i="196"/>
  <c r="CQ25" i="196"/>
  <c r="CQ10" i="196"/>
  <c r="CQ26" i="196"/>
  <c r="CQ12" i="196"/>
  <c r="CQ24" i="196"/>
  <c r="CQ5" i="196"/>
  <c r="CQ16" i="196"/>
  <c r="CQ3" i="196"/>
  <c r="CG10" i="196"/>
  <c r="CG14" i="196"/>
  <c r="BP13" i="196"/>
  <c r="BQ36" i="196"/>
  <c r="BQ37" i="196"/>
  <c r="BP18" i="196"/>
  <c r="BP11" i="196"/>
  <c r="BT39" i="196"/>
  <c r="CJ4" i="196"/>
  <c r="CJ26" i="196"/>
  <c r="BP19" i="196"/>
  <c r="BP33" i="196"/>
  <c r="BQ20" i="196"/>
  <c r="BQ27" i="196"/>
  <c r="BP37" i="196"/>
  <c r="BQ22" i="196"/>
  <c r="BP9" i="196"/>
  <c r="BP4" i="196"/>
  <c r="BP38" i="196"/>
  <c r="BQ25" i="196"/>
  <c r="BQ28" i="196"/>
  <c r="BQ38" i="196"/>
  <c r="BP39" i="196"/>
  <c r="BP5" i="196"/>
  <c r="BP17" i="196"/>
  <c r="BP31" i="196"/>
  <c r="CG3" i="196"/>
  <c r="CJ22" i="196"/>
  <c r="BP27" i="196"/>
  <c r="BP10" i="196"/>
  <c r="CJ3" i="196"/>
  <c r="BP28" i="196"/>
  <c r="BT41" i="196"/>
  <c r="BQ35" i="196"/>
  <c r="BT40" i="196"/>
  <c r="BQ24" i="196"/>
  <c r="BQ34" i="196"/>
  <c r="BP3" i="196"/>
  <c r="BP14" i="196"/>
  <c r="BQ29" i="196"/>
  <c r="BQ33" i="196"/>
  <c r="BP35" i="196"/>
  <c r="BP7" i="196"/>
  <c r="BP12" i="196"/>
  <c r="BP15" i="196"/>
  <c r="BP23" i="196"/>
  <c r="BP8" i="196"/>
  <c r="BP22" i="196"/>
  <c r="BQ30" i="196"/>
  <c r="BP21" i="196"/>
  <c r="BP30" i="196"/>
  <c r="CJ36" i="196"/>
  <c r="BP25" i="196"/>
  <c r="CG8" i="196"/>
  <c r="CG16" i="196"/>
  <c r="BQ31" i="196"/>
  <c r="BP34" i="196"/>
  <c r="BP32" i="196"/>
  <c r="BQ32" i="196"/>
  <c r="BP29" i="196"/>
  <c r="BQ21" i="196"/>
  <c r="BP6" i="196"/>
  <c r="BP41" i="196"/>
  <c r="BP24" i="196"/>
  <c r="BQ23" i="196"/>
  <c r="BQ26" i="196"/>
  <c r="BP16" i="196"/>
  <c r="BP40" i="196"/>
  <c r="W43" i="249"/>
  <c r="BT42" i="196"/>
  <c r="BP26" i="196"/>
  <c r="BT38" i="196"/>
  <c r="BP36" i="196"/>
  <c r="CA28" i="196"/>
  <c r="V44" i="249"/>
  <c r="V45" i="249" s="1"/>
  <c r="BP20" i="196"/>
  <c r="Y6" i="248"/>
  <c r="AB5" i="248"/>
  <c r="AC15" i="248"/>
  <c r="AC6" i="248"/>
  <c r="AB4" i="248"/>
  <c r="AB3" i="248"/>
  <c r="C122" i="250"/>
  <c r="C121" i="250" s="1"/>
  <c r="C120" i="250" s="1"/>
  <c r="C119" i="250" s="1"/>
  <c r="C112" i="250"/>
  <c r="C111" i="250" s="1"/>
  <c r="C110" i="250" s="1"/>
  <c r="C109" i="250" s="1"/>
  <c r="C107" i="250"/>
  <c r="C106" i="250" s="1"/>
  <c r="C105" i="250" s="1"/>
  <c r="C104" i="250" s="1"/>
  <c r="C117" i="250"/>
  <c r="C116" i="250" s="1"/>
  <c r="C115" i="250" s="1"/>
  <c r="C114" i="250" s="1"/>
  <c r="U9" i="248"/>
  <c r="U8" i="248"/>
  <c r="U16" i="248"/>
  <c r="Y17" i="249"/>
  <c r="Y28" i="249"/>
  <c r="Y21" i="249"/>
  <c r="Y16" i="249"/>
  <c r="Y26" i="249"/>
  <c r="Y31" i="249"/>
  <c r="Y19" i="249"/>
  <c r="Y30" i="249"/>
  <c r="Y15" i="249"/>
  <c r="Y23" i="249"/>
  <c r="Y27" i="249"/>
  <c r="Y32" i="249"/>
  <c r="Y20" i="249"/>
  <c r="Y34" i="249"/>
  <c r="Y35" i="249" s="1"/>
  <c r="Y36" i="249" s="1"/>
  <c r="Y18" i="249"/>
  <c r="Y25" i="249"/>
  <c r="Y22" i="249"/>
  <c r="Y33" i="249"/>
  <c r="Y24" i="249"/>
  <c r="B37" i="196" l="1"/>
  <c r="B38" i="196" s="1"/>
  <c r="B39" i="196" s="1"/>
  <c r="B40" i="196" s="1"/>
  <c r="B41" i="196" s="1"/>
  <c r="B17" i="250"/>
  <c r="B57" i="250"/>
  <c r="B16" i="250"/>
  <c r="B7" i="251"/>
  <c r="V8" i="248" s="1"/>
  <c r="B61" i="250"/>
  <c r="U62" i="248" s="1"/>
  <c r="B4" i="251"/>
  <c r="B5" i="251" s="1"/>
  <c r="V6" i="248" s="1"/>
  <c r="CA33" i="196"/>
  <c r="CA32" i="196"/>
  <c r="EC4" i="196"/>
  <c r="DM3" i="196"/>
  <c r="EE4" i="196"/>
  <c r="DO3" i="196"/>
  <c r="CA34" i="196"/>
  <c r="EO4" i="196"/>
  <c r="DY3" i="196"/>
  <c r="CA35" i="196"/>
  <c r="CA36" i="196"/>
  <c r="EL4" i="196"/>
  <c r="DV3" i="196"/>
  <c r="DU3" i="196"/>
  <c r="EK4" i="196"/>
  <c r="EJ4" i="196"/>
  <c r="DT3" i="196"/>
  <c r="EH4" i="196"/>
  <c r="DR3" i="196"/>
  <c r="EG4" i="196"/>
  <c r="DQ3" i="196"/>
  <c r="B18" i="251"/>
  <c r="V19" i="248" s="1"/>
  <c r="E27" i="196"/>
  <c r="E28" i="196" s="1"/>
  <c r="E29" i="196" s="1"/>
  <c r="E30" i="196" s="1"/>
  <c r="E31" i="196" s="1"/>
  <c r="E32" i="196" s="1"/>
  <c r="E33" i="196" s="1"/>
  <c r="E34" i="196" s="1"/>
  <c r="E35" i="196" s="1"/>
  <c r="E36" i="196" s="1"/>
  <c r="B58" i="250"/>
  <c r="U59" i="248" s="1"/>
  <c r="D40" i="196"/>
  <c r="D41" i="196" s="1"/>
  <c r="D42" i="196" s="1"/>
  <c r="D43" i="196" s="1"/>
  <c r="D44" i="196" s="1"/>
  <c r="D45" i="196" s="1"/>
  <c r="D46" i="196" s="1"/>
  <c r="D47" i="196" s="1"/>
  <c r="D48" i="196" s="1"/>
  <c r="D49" i="196" s="1"/>
  <c r="D50" i="196" s="1"/>
  <c r="D51" i="196" s="1"/>
  <c r="D52" i="196" s="1"/>
  <c r="D53" i="196" s="1"/>
  <c r="D54" i="196" s="1"/>
  <c r="D55" i="196" s="1"/>
  <c r="D56" i="196" s="1"/>
  <c r="D57" i="196" s="1"/>
  <c r="D58" i="196" s="1"/>
  <c r="D59" i="196" s="1"/>
  <c r="D60" i="196" s="1"/>
  <c r="D61" i="196" s="1"/>
  <c r="D62" i="196" s="1"/>
  <c r="D63" i="196" s="1"/>
  <c r="D64" i="196" s="1"/>
  <c r="D65" i="196" s="1"/>
  <c r="D66" i="196" s="1"/>
  <c r="D67" i="196" s="1"/>
  <c r="D68" i="196" s="1"/>
  <c r="D69" i="196" s="1"/>
  <c r="D70" i="196" s="1"/>
  <c r="D71" i="196" s="1"/>
  <c r="D72" i="196" s="1"/>
  <c r="D73" i="196" s="1"/>
  <c r="D74" i="196" s="1"/>
  <c r="D75" i="196" s="1"/>
  <c r="D76" i="196" s="1"/>
  <c r="D77" i="196" s="1"/>
  <c r="D78" i="196" s="1"/>
  <c r="D79" i="196" s="1"/>
  <c r="D80" i="196" s="1"/>
  <c r="D81" i="196" s="1"/>
  <c r="D82" i="196" s="1"/>
  <c r="D83" i="196" s="1"/>
  <c r="D84" i="196" s="1"/>
  <c r="D85" i="196" s="1"/>
  <c r="D86" i="196" s="1"/>
  <c r="D87" i="196" s="1"/>
  <c r="D88" i="196" s="1"/>
  <c r="D89" i="196" s="1"/>
  <c r="D90" i="196" s="1"/>
  <c r="D91" i="196" s="1"/>
  <c r="D92" i="196" s="1"/>
  <c r="D93" i="196" s="1"/>
  <c r="D94" i="196" s="1"/>
  <c r="D95" i="196" s="1"/>
  <c r="D96" i="196" s="1"/>
  <c r="D97" i="196" s="1"/>
  <c r="D98" i="196" s="1"/>
  <c r="D99" i="196" s="1"/>
  <c r="D100" i="196" s="1"/>
  <c r="D101" i="196" s="1"/>
  <c r="D102" i="196" s="1"/>
  <c r="D103" i="196" s="1"/>
  <c r="D104" i="196" s="1"/>
  <c r="D105" i="196" s="1"/>
  <c r="D106" i="196" s="1"/>
  <c r="D107" i="196" s="1"/>
  <c r="D108" i="196" s="1"/>
  <c r="D109" i="196" s="1"/>
  <c r="D110" i="196" s="1"/>
  <c r="D111" i="196" s="1"/>
  <c r="D112" i="196" s="1"/>
  <c r="D113" i="196" s="1"/>
  <c r="D114" i="196" s="1"/>
  <c r="D115" i="196" s="1"/>
  <c r="D116" i="196" s="1"/>
  <c r="D117" i="196" s="1"/>
  <c r="D118" i="196" s="1"/>
  <c r="D119" i="196" s="1"/>
  <c r="D120" i="196" s="1"/>
  <c r="D121" i="196" s="1"/>
  <c r="D122" i="196" s="1"/>
  <c r="D123" i="196" s="1"/>
  <c r="CF10" i="196"/>
  <c r="B28" i="250"/>
  <c r="U29" i="248" s="1"/>
  <c r="BQ44" i="196"/>
  <c r="BQ45" i="196"/>
  <c r="BQ46" i="196"/>
  <c r="CG46" i="196" s="1"/>
  <c r="BQ40" i="196"/>
  <c r="CG39" i="196" s="1"/>
  <c r="BQ41" i="196"/>
  <c r="BQ42" i="196"/>
  <c r="BQ43" i="196"/>
  <c r="CA29" i="196"/>
  <c r="CQ28" i="196" s="1"/>
  <c r="CA30" i="196"/>
  <c r="CY5" i="196"/>
  <c r="CZ5" i="196"/>
  <c r="Z24" i="249"/>
  <c r="N29" i="196"/>
  <c r="N30" i="196" s="1"/>
  <c r="N31" i="196" s="1"/>
  <c r="N32" i="196" s="1"/>
  <c r="N33" i="196" s="1"/>
  <c r="N34" i="196" s="1"/>
  <c r="N35" i="196" s="1"/>
  <c r="N36" i="196" s="1"/>
  <c r="DC5" i="196"/>
  <c r="DU4" i="196" s="1"/>
  <c r="Y45" i="249"/>
  <c r="Y40" i="249"/>
  <c r="Y38" i="249"/>
  <c r="Y44" i="249"/>
  <c r="Y39" i="249"/>
  <c r="Y37" i="249"/>
  <c r="Y43" i="249"/>
  <c r="Y46" i="249"/>
  <c r="Y41" i="249"/>
  <c r="Y42" i="249"/>
  <c r="G43" i="196"/>
  <c r="DE4" i="196"/>
  <c r="V56" i="249"/>
  <c r="V47" i="249"/>
  <c r="V46" i="249"/>
  <c r="V52" i="249"/>
  <c r="V60" i="249"/>
  <c r="V57" i="249"/>
  <c r="V49" i="249"/>
  <c r="V54" i="249"/>
  <c r="V50" i="249"/>
  <c r="V48" i="249"/>
  <c r="V51" i="249"/>
  <c r="V58" i="249"/>
  <c r="V53" i="249"/>
  <c r="V59" i="249"/>
  <c r="V55" i="249"/>
  <c r="CX4" i="196"/>
  <c r="DF4" i="196"/>
  <c r="CF12" i="196"/>
  <c r="CW5" i="196"/>
  <c r="DO4" i="196" s="1"/>
  <c r="CG38" i="196"/>
  <c r="DG5" i="196"/>
  <c r="DY4" i="196" s="1"/>
  <c r="DB5" i="196"/>
  <c r="CG32" i="196"/>
  <c r="BZ15" i="196"/>
  <c r="B29" i="250"/>
  <c r="U30" i="248" s="1"/>
  <c r="B60" i="250"/>
  <c r="U61" i="248" s="1"/>
  <c r="B27" i="250"/>
  <c r="U28" i="248" s="1"/>
  <c r="B59" i="250"/>
  <c r="U60" i="248" s="1"/>
  <c r="B20" i="250"/>
  <c r="U21" i="248" s="1"/>
  <c r="B22" i="250"/>
  <c r="U23" i="248" s="1"/>
  <c r="DD5" i="196"/>
  <c r="F44" i="196"/>
  <c r="J6" i="196"/>
  <c r="K7" i="196"/>
  <c r="CV4" i="196"/>
  <c r="CU5" i="196"/>
  <c r="L5" i="196"/>
  <c r="I6" i="196"/>
  <c r="CJ40" i="196"/>
  <c r="CF34" i="196"/>
  <c r="CG26" i="196"/>
  <c r="CF19" i="196"/>
  <c r="CG23" i="196"/>
  <c r="CF24" i="196"/>
  <c r="CF7" i="196"/>
  <c r="CG34" i="196"/>
  <c r="CF29" i="196"/>
  <c r="CF39" i="196"/>
  <c r="CF4" i="196"/>
  <c r="CF20" i="196"/>
  <c r="CF26" i="196"/>
  <c r="CF32" i="196"/>
  <c r="CF23" i="196"/>
  <c r="CF8" i="196"/>
  <c r="CG24" i="196"/>
  <c r="CF31" i="196"/>
  <c r="CG27" i="196"/>
  <c r="CF15" i="196"/>
  <c r="CF36" i="196"/>
  <c r="CF16" i="196"/>
  <c r="CG21" i="196"/>
  <c r="CF21" i="196"/>
  <c r="CG35" i="196"/>
  <c r="CF28" i="196"/>
  <c r="CF30" i="196"/>
  <c r="CF17" i="196"/>
  <c r="CF9" i="196"/>
  <c r="CJ38" i="196"/>
  <c r="CJ37" i="196"/>
  <c r="W44" i="249"/>
  <c r="W45" i="249" s="1"/>
  <c r="BT43" i="196"/>
  <c r="CG31" i="196"/>
  <c r="CF35" i="196"/>
  <c r="CG37" i="196"/>
  <c r="CF40" i="196"/>
  <c r="CF6" i="196"/>
  <c r="CF22" i="196"/>
  <c r="CG28" i="196"/>
  <c r="CG22" i="196"/>
  <c r="CG20" i="196"/>
  <c r="CG19" i="196"/>
  <c r="CG33" i="196"/>
  <c r="CJ41" i="196"/>
  <c r="CJ39" i="196"/>
  <c r="CG36" i="196"/>
  <c r="CA31" i="196"/>
  <c r="CQ27" i="196"/>
  <c r="CG30" i="196"/>
  <c r="CF5" i="196"/>
  <c r="CG25" i="196"/>
  <c r="CF38" i="196"/>
  <c r="CF37" i="196"/>
  <c r="CF33" i="196"/>
  <c r="CF3" i="196"/>
  <c r="CF18" i="196"/>
  <c r="CF25" i="196"/>
  <c r="CG29" i="196"/>
  <c r="CF14" i="196"/>
  <c r="CF27" i="196"/>
  <c r="CF11" i="196"/>
  <c r="CF13" i="196"/>
  <c r="B73" i="251"/>
  <c r="V74" i="248" s="1"/>
  <c r="V62" i="248"/>
  <c r="Y5" i="248"/>
  <c r="AC16" i="248"/>
  <c r="B22" i="251"/>
  <c r="V23" i="248" s="1"/>
  <c r="B26" i="251"/>
  <c r="V27" i="248" s="1"/>
  <c r="B25" i="251"/>
  <c r="V26" i="248" s="1"/>
  <c r="B16" i="251"/>
  <c r="V17" i="248" s="1"/>
  <c r="B21" i="251"/>
  <c r="V22" i="248" s="1"/>
  <c r="B28" i="251"/>
  <c r="V29" i="248" s="1"/>
  <c r="B23" i="251"/>
  <c r="V24" i="248" s="1"/>
  <c r="B17" i="251"/>
  <c r="V18" i="248" s="1"/>
  <c r="B27" i="251"/>
  <c r="V28" i="248" s="1"/>
  <c r="B19" i="251"/>
  <c r="V20" i="248" s="1"/>
  <c r="B24" i="251"/>
  <c r="V25" i="248" s="1"/>
  <c r="B20" i="251"/>
  <c r="V21" i="248" s="1"/>
  <c r="B26" i="250"/>
  <c r="U27" i="248" s="1"/>
  <c r="B21" i="250"/>
  <c r="U22" i="248" s="1"/>
  <c r="B23" i="250"/>
  <c r="U24" i="248" s="1"/>
  <c r="U18" i="248"/>
  <c r="B19" i="250"/>
  <c r="U20" i="248" s="1"/>
  <c r="B25" i="250"/>
  <c r="U26" i="248" s="1"/>
  <c r="B24" i="250"/>
  <c r="U25" i="248" s="1"/>
  <c r="B18" i="250"/>
  <c r="U19" i="248" s="1"/>
  <c r="U58" i="248"/>
  <c r="U17" i="248"/>
  <c r="U7" i="248"/>
  <c r="B56" i="250"/>
  <c r="U57" i="248" s="1"/>
  <c r="V5" i="248" l="1"/>
  <c r="B2" i="251"/>
  <c r="V3" i="248" s="1"/>
  <c r="CQ32" i="196"/>
  <c r="CQ31" i="196"/>
  <c r="CQ33" i="196"/>
  <c r="CQ34" i="196"/>
  <c r="CQ35" i="196"/>
  <c r="EC5" i="196"/>
  <c r="EO5" i="196"/>
  <c r="ED4" i="196"/>
  <c r="DN3" i="196"/>
  <c r="EE5" i="196"/>
  <c r="DM4" i="196"/>
  <c r="EN4" i="196"/>
  <c r="DX3" i="196"/>
  <c r="EM4" i="196"/>
  <c r="DW3" i="196"/>
  <c r="EL5" i="196"/>
  <c r="DV4" i="196"/>
  <c r="EK5" i="196"/>
  <c r="EJ5" i="196"/>
  <c r="DT4" i="196"/>
  <c r="EH5" i="196"/>
  <c r="DR4" i="196"/>
  <c r="EG5" i="196"/>
  <c r="DQ4" i="196"/>
  <c r="EF4" i="196"/>
  <c r="DP3" i="196"/>
  <c r="E37" i="196"/>
  <c r="E38" i="196" s="1"/>
  <c r="E39" i="196" s="1"/>
  <c r="E40" i="196" s="1"/>
  <c r="E41" i="196" s="1"/>
  <c r="E42" i="196" s="1"/>
  <c r="E43" i="196" s="1"/>
  <c r="E44" i="196" s="1"/>
  <c r="E45" i="196" s="1"/>
  <c r="CG44" i="196"/>
  <c r="CQ29" i="196"/>
  <c r="CG43" i="196"/>
  <c r="CG42" i="196"/>
  <c r="CG41" i="196"/>
  <c r="CG40" i="196"/>
  <c r="CG45" i="196"/>
  <c r="CA51" i="196"/>
  <c r="CQ51" i="196" s="1"/>
  <c r="CA47" i="196"/>
  <c r="CA44" i="196"/>
  <c r="CA49" i="196"/>
  <c r="CA41" i="196"/>
  <c r="CA40" i="196"/>
  <c r="CA38" i="196"/>
  <c r="CA48" i="196"/>
  <c r="CA46" i="196"/>
  <c r="CA42" i="196"/>
  <c r="CA37" i="196"/>
  <c r="CA50" i="196"/>
  <c r="CA45" i="196"/>
  <c r="CA43" i="196"/>
  <c r="CA39" i="196"/>
  <c r="W58" i="249"/>
  <c r="BT58" i="196" s="1"/>
  <c r="W50" i="249"/>
  <c r="BT50" i="196" s="1"/>
  <c r="W56" i="249"/>
  <c r="BT56" i="196" s="1"/>
  <c r="W57" i="249"/>
  <c r="BT57" i="196" s="1"/>
  <c r="W49" i="249"/>
  <c r="BT49" i="196" s="1"/>
  <c r="W48" i="249"/>
  <c r="BT48" i="196" s="1"/>
  <c r="W52" i="249"/>
  <c r="BT52" i="196" s="1"/>
  <c r="W55" i="249"/>
  <c r="BT55" i="196" s="1"/>
  <c r="W47" i="249"/>
  <c r="BT47" i="196" s="1"/>
  <c r="W54" i="249"/>
  <c r="BT54" i="196" s="1"/>
  <c r="W46" i="249"/>
  <c r="BT46" i="196" s="1"/>
  <c r="W53" i="249"/>
  <c r="BT53" i="196" s="1"/>
  <c r="W59" i="249"/>
  <c r="BT59" i="196" s="1"/>
  <c r="W51" i="249"/>
  <c r="BT51" i="196" s="1"/>
  <c r="W60" i="249"/>
  <c r="BT60" i="196" s="1"/>
  <c r="CJ60" i="196" s="1"/>
  <c r="BT45" i="196"/>
  <c r="DF5" i="196"/>
  <c r="DX4" i="196" s="1"/>
  <c r="DC6" i="196"/>
  <c r="CX5" i="196"/>
  <c r="N37" i="196"/>
  <c r="N38" i="196" s="1"/>
  <c r="N39" i="196" s="1"/>
  <c r="N40" i="196" s="1"/>
  <c r="N41" i="196" s="1"/>
  <c r="N42" i="196" s="1"/>
  <c r="N43" i="196" s="1"/>
  <c r="N44" i="196" s="1"/>
  <c r="N45" i="196" s="1"/>
  <c r="N46" i="196" s="1"/>
  <c r="N47" i="196" s="1"/>
  <c r="N48" i="196" s="1"/>
  <c r="N49" i="196" s="1"/>
  <c r="N50" i="196" s="1"/>
  <c r="N51" i="196" s="1"/>
  <c r="N52" i="196" s="1"/>
  <c r="N53" i="196" s="1"/>
  <c r="N54" i="196" s="1"/>
  <c r="N55" i="196" s="1"/>
  <c r="N56" i="196" s="1"/>
  <c r="N57" i="196" s="1"/>
  <c r="N58" i="196" s="1"/>
  <c r="N59" i="196" s="1"/>
  <c r="N60" i="196" s="1"/>
  <c r="N61" i="196" s="1"/>
  <c r="N62" i="196" s="1"/>
  <c r="N63" i="196" s="1"/>
  <c r="N64" i="196" s="1"/>
  <c r="N65" i="196" s="1"/>
  <c r="N66" i="196" s="1"/>
  <c r="N67" i="196" s="1"/>
  <c r="N68" i="196" s="1"/>
  <c r="N69" i="196" s="1"/>
  <c r="N70" i="196" s="1"/>
  <c r="N71" i="196" s="1"/>
  <c r="N72" i="196" s="1"/>
  <c r="N73" i="196" s="1"/>
  <c r="N74" i="196" s="1"/>
  <c r="N75" i="196" s="1"/>
  <c r="N76" i="196" s="1"/>
  <c r="N77" i="196" s="1"/>
  <c r="N78" i="196" s="1"/>
  <c r="N79" i="196" s="1"/>
  <c r="N80" i="196" s="1"/>
  <c r="N81" i="196" s="1"/>
  <c r="N82" i="196" s="1"/>
  <c r="N83" i="196" s="1"/>
  <c r="N84" i="196" s="1"/>
  <c r="N85" i="196" s="1"/>
  <c r="N86" i="196" s="1"/>
  <c r="N87" i="196" s="1"/>
  <c r="N88" i="196" s="1"/>
  <c r="N89" i="196" s="1"/>
  <c r="N90" i="196" s="1"/>
  <c r="N91" i="196" s="1"/>
  <c r="N92" i="196" s="1"/>
  <c r="N93" i="196" s="1"/>
  <c r="N94" i="196" s="1"/>
  <c r="N95" i="196" s="1"/>
  <c r="N96" i="196" s="1"/>
  <c r="N97" i="196" s="1"/>
  <c r="N98" i="196" s="1"/>
  <c r="N99" i="196" s="1"/>
  <c r="N100" i="196" s="1"/>
  <c r="N101" i="196" s="1"/>
  <c r="N102" i="196" s="1"/>
  <c r="N103" i="196" s="1"/>
  <c r="N104" i="196" s="1"/>
  <c r="N105" i="196" s="1"/>
  <c r="N106" i="196" s="1"/>
  <c r="N107" i="196" s="1"/>
  <c r="N108" i="196" s="1"/>
  <c r="N109" i="196" s="1"/>
  <c r="N110" i="196" s="1"/>
  <c r="N111" i="196" s="1"/>
  <c r="N112" i="196" s="1"/>
  <c r="N113" i="196" s="1"/>
  <c r="N114" i="196" s="1"/>
  <c r="N115" i="196" s="1"/>
  <c r="N116" i="196" s="1"/>
  <c r="N117" i="196" s="1"/>
  <c r="N118" i="196" s="1"/>
  <c r="N119" i="196" s="1"/>
  <c r="N120" i="196" s="1"/>
  <c r="N121" i="196" s="1"/>
  <c r="N122" i="196" s="1"/>
  <c r="N123" i="196" s="1"/>
  <c r="DE5" i="196"/>
  <c r="CZ6" i="196"/>
  <c r="DR5" i="196" s="1"/>
  <c r="CY6" i="196"/>
  <c r="DQ5" i="196" s="1"/>
  <c r="CW6" i="196"/>
  <c r="DO5" i="196" s="1"/>
  <c r="DG6" i="196"/>
  <c r="DB6" i="196"/>
  <c r="BR61" i="196"/>
  <c r="BS62" i="196"/>
  <c r="BS74" i="196"/>
  <c r="BR62" i="196"/>
  <c r="BZ16" i="196"/>
  <c r="DD6" i="196"/>
  <c r="G44" i="196"/>
  <c r="G45" i="196" s="1"/>
  <c r="Z25" i="249"/>
  <c r="Z26" i="249" s="1"/>
  <c r="CU6" i="196"/>
  <c r="CV5" i="196"/>
  <c r="I7" i="196"/>
  <c r="K8" i="196"/>
  <c r="L6" i="196"/>
  <c r="J7" i="196"/>
  <c r="CQ30" i="196"/>
  <c r="BT44" i="196"/>
  <c r="CJ42" i="196"/>
  <c r="Y3" i="248"/>
  <c r="Y4" i="248"/>
  <c r="B73" i="250"/>
  <c r="AC17" i="248"/>
  <c r="U6" i="248"/>
  <c r="B55" i="250"/>
  <c r="U56" i="248" s="1"/>
  <c r="B3" i="251" l="1"/>
  <c r="V4" i="248" s="1"/>
  <c r="B74" i="250"/>
  <c r="B62" i="250"/>
  <c r="U63" i="248" s="1"/>
  <c r="BR63" i="196" s="1"/>
  <c r="EC6" i="196"/>
  <c r="DM5" i="196"/>
  <c r="ED5" i="196"/>
  <c r="EO6" i="196"/>
  <c r="EE6" i="196"/>
  <c r="DN4" i="196"/>
  <c r="DY5" i="196"/>
  <c r="EN5" i="196"/>
  <c r="EM5" i="196"/>
  <c r="DW4" i="196"/>
  <c r="EL6" i="196"/>
  <c r="DV5" i="196"/>
  <c r="EK6" i="196"/>
  <c r="DU5" i="196"/>
  <c r="EJ6" i="196"/>
  <c r="DT5" i="196"/>
  <c r="EH6" i="196"/>
  <c r="EG6" i="196"/>
  <c r="EF5" i="196"/>
  <c r="DP4" i="196"/>
  <c r="G46" i="196"/>
  <c r="G47" i="196" s="1"/>
  <c r="G48" i="196" s="1"/>
  <c r="G49" i="196" s="1"/>
  <c r="G50" i="196" s="1"/>
  <c r="G51" i="196" s="1"/>
  <c r="G52" i="196" s="1"/>
  <c r="G53" i="196" s="1"/>
  <c r="G54" i="196" s="1"/>
  <c r="G55" i="196" s="1"/>
  <c r="G56" i="196" s="1"/>
  <c r="G57" i="196" s="1"/>
  <c r="G58" i="196" s="1"/>
  <c r="G59" i="196" s="1"/>
  <c r="G60" i="196" s="1"/>
  <c r="B67" i="250"/>
  <c r="U68" i="248" s="1"/>
  <c r="BR68" i="196" s="1"/>
  <c r="CJ44" i="196"/>
  <c r="B69" i="250"/>
  <c r="U70" i="248" s="1"/>
  <c r="BR70" i="196" s="1"/>
  <c r="Z33" i="249"/>
  <c r="Z31" i="249"/>
  <c r="Z30" i="249"/>
  <c r="Z36" i="249"/>
  <c r="Z28" i="249"/>
  <c r="Z29" i="249"/>
  <c r="Z35" i="249"/>
  <c r="Z27" i="249"/>
  <c r="Z32" i="249"/>
  <c r="Z34" i="249"/>
  <c r="CQ50" i="196"/>
  <c r="CJ48" i="196"/>
  <c r="CQ41" i="196"/>
  <c r="CJ49" i="196"/>
  <c r="CJ53" i="196"/>
  <c r="CQ44" i="196"/>
  <c r="CJ57" i="196"/>
  <c r="CJ46" i="196"/>
  <c r="CJ45" i="196"/>
  <c r="CJ55" i="196"/>
  <c r="CJ52" i="196"/>
  <c r="CQ46" i="196"/>
  <c r="CQ49" i="196"/>
  <c r="CQ43" i="196"/>
  <c r="CQ38" i="196"/>
  <c r="CQ39" i="196"/>
  <c r="CQ47" i="196"/>
  <c r="CQ36" i="196"/>
  <c r="CQ37" i="196"/>
  <c r="CQ45" i="196"/>
  <c r="CQ42" i="196"/>
  <c r="CQ48" i="196"/>
  <c r="CQ40" i="196"/>
  <c r="CY7" i="196"/>
  <c r="DQ6" i="196" s="1"/>
  <c r="CJ59" i="196"/>
  <c r="CZ7" i="196"/>
  <c r="DC7" i="196"/>
  <c r="CX6" i="196"/>
  <c r="CJ51" i="196"/>
  <c r="DE6" i="196"/>
  <c r="DW5" i="196" s="1"/>
  <c r="CJ56" i="196"/>
  <c r="DF6" i="196"/>
  <c r="CJ54" i="196"/>
  <c r="CJ50" i="196"/>
  <c r="CJ47" i="196"/>
  <c r="CJ58" i="196"/>
  <c r="CW7" i="196"/>
  <c r="DG7" i="196"/>
  <c r="DY6" i="196" s="1"/>
  <c r="DB7" i="196"/>
  <c r="BZ17" i="196"/>
  <c r="B71" i="250"/>
  <c r="U72" i="248" s="1"/>
  <c r="DD7" i="196"/>
  <c r="DV6" i="196" s="1"/>
  <c r="J8" i="196"/>
  <c r="I8" i="196"/>
  <c r="CV6" i="196"/>
  <c r="L7" i="196"/>
  <c r="CU7" i="196"/>
  <c r="K9" i="196"/>
  <c r="CJ43" i="196"/>
  <c r="B65" i="250"/>
  <c r="U66" i="248" s="1"/>
  <c r="B70" i="250"/>
  <c r="U71" i="248" s="1"/>
  <c r="B64" i="250"/>
  <c r="U65" i="248" s="1"/>
  <c r="U74" i="248"/>
  <c r="B68" i="250"/>
  <c r="U69" i="248" s="1"/>
  <c r="B72" i="250"/>
  <c r="U73" i="248" s="1"/>
  <c r="B63" i="250"/>
  <c r="U64" i="248" s="1"/>
  <c r="B66" i="250"/>
  <c r="U67" i="248" s="1"/>
  <c r="AC18" i="248"/>
  <c r="U5" i="248"/>
  <c r="B74" i="251"/>
  <c r="B54" i="250"/>
  <c r="U55" i="248" s="1"/>
  <c r="U75" i="248"/>
  <c r="B75" i="250"/>
  <c r="EC7" i="196" l="1"/>
  <c r="DM6" i="196"/>
  <c r="ED6" i="196"/>
  <c r="EO7" i="196"/>
  <c r="DN5" i="196"/>
  <c r="EE7" i="196"/>
  <c r="DO6" i="196"/>
  <c r="EN6" i="196"/>
  <c r="DX5" i="196"/>
  <c r="EM6" i="196"/>
  <c r="EL7" i="196"/>
  <c r="EK7" i="196"/>
  <c r="DU6" i="196"/>
  <c r="EJ7" i="196"/>
  <c r="DT6" i="196"/>
  <c r="EH7" i="196"/>
  <c r="DR6" i="196"/>
  <c r="EG7" i="196"/>
  <c r="EF6" i="196"/>
  <c r="DP5" i="196"/>
  <c r="DE7" i="196"/>
  <c r="CX7" i="196"/>
  <c r="CY8" i="196"/>
  <c r="DF7" i="196"/>
  <c r="DC8" i="196"/>
  <c r="CZ8" i="196"/>
  <c r="DR7" i="196" s="1"/>
  <c r="CW8" i="196"/>
  <c r="DO7" i="196" s="1"/>
  <c r="DG8" i="196"/>
  <c r="DY7" i="196" s="1"/>
  <c r="DB8" i="196"/>
  <c r="DT7" i="196" s="1"/>
  <c r="BZ18" i="196"/>
  <c r="BR72" i="196"/>
  <c r="BR75" i="196"/>
  <c r="BR73" i="196"/>
  <c r="BR69" i="196"/>
  <c r="BR74" i="196"/>
  <c r="BR71" i="196"/>
  <c r="BR67" i="196"/>
  <c r="BR64" i="196"/>
  <c r="BR65" i="196"/>
  <c r="BR66" i="196"/>
  <c r="DD8" i="196"/>
  <c r="K10" i="196"/>
  <c r="CU8" i="196"/>
  <c r="DM7" i="196" s="1"/>
  <c r="I9" i="196"/>
  <c r="CV7" i="196"/>
  <c r="DN6" i="196" s="1"/>
  <c r="J9" i="196"/>
  <c r="L8" i="196"/>
  <c r="B75" i="251"/>
  <c r="V75" i="248"/>
  <c r="AC19" i="248"/>
  <c r="U3" i="248"/>
  <c r="U4" i="248"/>
  <c r="B29" i="251"/>
  <c r="V30" i="248" s="1"/>
  <c r="B76" i="250"/>
  <c r="U76" i="248"/>
  <c r="B53" i="250"/>
  <c r="U54" i="248" s="1"/>
  <c r="ED7" i="196" l="1"/>
  <c r="EO8" i="196"/>
  <c r="EC8" i="196"/>
  <c r="EE8" i="196"/>
  <c r="EN7" i="196"/>
  <c r="DX6" i="196"/>
  <c r="EM7" i="196"/>
  <c r="DW6" i="196"/>
  <c r="EL8" i="196"/>
  <c r="DV7" i="196"/>
  <c r="EK8" i="196"/>
  <c r="DU7" i="196"/>
  <c r="EJ8" i="196"/>
  <c r="EH8" i="196"/>
  <c r="EG8" i="196"/>
  <c r="DQ7" i="196"/>
  <c r="EF7" i="196"/>
  <c r="DP6" i="196"/>
  <c r="CX8" i="196"/>
  <c r="DC9" i="196"/>
  <c r="DU8" i="196" s="1"/>
  <c r="CZ9" i="196"/>
  <c r="DF8" i="196"/>
  <c r="DE8" i="196"/>
  <c r="CY9" i="196"/>
  <c r="CW9" i="196"/>
  <c r="DO8" i="196" s="1"/>
  <c r="DG9" i="196"/>
  <c r="DB9" i="196"/>
  <c r="DT8" i="196" s="1"/>
  <c r="BS75" i="196"/>
  <c r="BR76" i="196"/>
  <c r="BZ19" i="196"/>
  <c r="DD9" i="196"/>
  <c r="CV8" i="196"/>
  <c r="DN7" i="196" s="1"/>
  <c r="K11" i="196"/>
  <c r="CU9" i="196"/>
  <c r="DM8" i="196" s="1"/>
  <c r="J10" i="196"/>
  <c r="L9" i="196"/>
  <c r="I10" i="196"/>
  <c r="B76" i="251"/>
  <c r="V76" i="248"/>
  <c r="AC20" i="248"/>
  <c r="B62" i="251"/>
  <c r="V63" i="248" s="1"/>
  <c r="B66" i="251"/>
  <c r="V67" i="248" s="1"/>
  <c r="B57" i="251"/>
  <c r="V58" i="248" s="1"/>
  <c r="B68" i="251"/>
  <c r="V69" i="248" s="1"/>
  <c r="B64" i="251"/>
  <c r="V65" i="248" s="1"/>
  <c r="B56" i="251"/>
  <c r="V57" i="248" s="1"/>
  <c r="B63" i="251"/>
  <c r="V64" i="248" s="1"/>
  <c r="B65" i="251"/>
  <c r="V66" i="248" s="1"/>
  <c r="B72" i="251"/>
  <c r="V73" i="248" s="1"/>
  <c r="B60" i="251"/>
  <c r="V61" i="248" s="1"/>
  <c r="B44" i="251"/>
  <c r="V45" i="248" s="1"/>
  <c r="B30" i="251"/>
  <c r="V31" i="248" s="1"/>
  <c r="B40" i="251"/>
  <c r="V41" i="248" s="1"/>
  <c r="B55" i="251"/>
  <c r="V56" i="248" s="1"/>
  <c r="B49" i="251"/>
  <c r="V50" i="248" s="1"/>
  <c r="B46" i="251"/>
  <c r="V47" i="248" s="1"/>
  <c r="B36" i="251"/>
  <c r="V37" i="248" s="1"/>
  <c r="B41" i="251"/>
  <c r="V42" i="248" s="1"/>
  <c r="B43" i="251"/>
  <c r="V44" i="248" s="1"/>
  <c r="B35" i="251"/>
  <c r="V36" i="248" s="1"/>
  <c r="B52" i="251"/>
  <c r="V53" i="248" s="1"/>
  <c r="B45" i="251"/>
  <c r="V46" i="248" s="1"/>
  <c r="B32" i="251"/>
  <c r="V33" i="248" s="1"/>
  <c r="B50" i="251"/>
  <c r="V51" i="248" s="1"/>
  <c r="B39" i="251"/>
  <c r="V40" i="248" s="1"/>
  <c r="B42" i="251"/>
  <c r="V43" i="248" s="1"/>
  <c r="B53" i="251"/>
  <c r="V54" i="248" s="1"/>
  <c r="B47" i="251"/>
  <c r="V48" i="248" s="1"/>
  <c r="B51" i="251"/>
  <c r="V52" i="248" s="1"/>
  <c r="B54" i="251"/>
  <c r="V55" i="248" s="1"/>
  <c r="B31" i="251"/>
  <c r="V32" i="248" s="1"/>
  <c r="B37" i="251"/>
  <c r="V38" i="248" s="1"/>
  <c r="B48" i="251"/>
  <c r="V49" i="248" s="1"/>
  <c r="B38" i="251"/>
  <c r="V39" i="248" s="1"/>
  <c r="B59" i="251"/>
  <c r="V60" i="248" s="1"/>
  <c r="B34" i="251"/>
  <c r="V35" i="248" s="1"/>
  <c r="B58" i="251"/>
  <c r="V59" i="248" s="1"/>
  <c r="B33" i="251"/>
  <c r="V34" i="248" s="1"/>
  <c r="B67" i="251"/>
  <c r="V68" i="248" s="1"/>
  <c r="B77" i="250"/>
  <c r="U77" i="248"/>
  <c r="B52" i="250"/>
  <c r="U53" i="248" s="1"/>
  <c r="AC22" i="248" l="1"/>
  <c r="EC9" i="196"/>
  <c r="EO9" i="196"/>
  <c r="DY8" i="196"/>
  <c r="EE9" i="196"/>
  <c r="ED8" i="196"/>
  <c r="EN8" i="196"/>
  <c r="DX7" i="196"/>
  <c r="EM8" i="196"/>
  <c r="DW7" i="196"/>
  <c r="EL9" i="196"/>
  <c r="DV8" i="196"/>
  <c r="EK9" i="196"/>
  <c r="EJ9" i="196"/>
  <c r="EH9" i="196"/>
  <c r="DR8" i="196"/>
  <c r="EG9" i="196"/>
  <c r="DQ8" i="196"/>
  <c r="EF8" i="196"/>
  <c r="DP7" i="196"/>
  <c r="CZ10" i="196"/>
  <c r="DE9" i="196"/>
  <c r="DW8" i="196" s="1"/>
  <c r="DC10" i="196"/>
  <c r="DF9" i="196"/>
  <c r="CX9" i="196"/>
  <c r="CY10" i="196"/>
  <c r="CW10" i="196"/>
  <c r="DG10" i="196"/>
  <c r="DY9" i="196" s="1"/>
  <c r="DB10" i="196"/>
  <c r="DT9" i="196" s="1"/>
  <c r="BS73" i="196"/>
  <c r="BS67" i="196"/>
  <c r="BS63" i="196"/>
  <c r="BS61" i="196"/>
  <c r="BS66" i="196"/>
  <c r="BR77" i="196"/>
  <c r="BS64" i="196"/>
  <c r="BZ20" i="196"/>
  <c r="BS76" i="196"/>
  <c r="BS65" i="196"/>
  <c r="BS68" i="196"/>
  <c r="BS69" i="196"/>
  <c r="DD10" i="196"/>
  <c r="CU10" i="196"/>
  <c r="I11" i="196"/>
  <c r="K12" i="196"/>
  <c r="L10" i="196"/>
  <c r="CV9" i="196"/>
  <c r="DN8" i="196" s="1"/>
  <c r="J11" i="196"/>
  <c r="B77" i="251"/>
  <c r="V77" i="248"/>
  <c r="AC21" i="248"/>
  <c r="B71" i="251"/>
  <c r="V72" i="248" s="1"/>
  <c r="B51" i="250"/>
  <c r="U52" i="248" s="1"/>
  <c r="B78" i="250"/>
  <c r="U78" i="248"/>
  <c r="AC23" i="248" l="1"/>
  <c r="ED9" i="196"/>
  <c r="EC10" i="196"/>
  <c r="EE10" i="196"/>
  <c r="DO9" i="196"/>
  <c r="EO10" i="196"/>
  <c r="DM9" i="196"/>
  <c r="EN9" i="196"/>
  <c r="DX8" i="196"/>
  <c r="EM9" i="196"/>
  <c r="EL10" i="196"/>
  <c r="DV9" i="196"/>
  <c r="EK10" i="196"/>
  <c r="DU9" i="196"/>
  <c r="EJ10" i="196"/>
  <c r="EH10" i="196"/>
  <c r="DR9" i="196"/>
  <c r="EG10" i="196"/>
  <c r="DQ9" i="196"/>
  <c r="EF9" i="196"/>
  <c r="DP8" i="196"/>
  <c r="CY11" i="196"/>
  <c r="DC11" i="196"/>
  <c r="CX10" i="196"/>
  <c r="DE10" i="196"/>
  <c r="DW9" i="196" s="1"/>
  <c r="DF10" i="196"/>
  <c r="CZ11" i="196"/>
  <c r="DR10" i="196" s="1"/>
  <c r="CW11" i="196"/>
  <c r="DG11" i="196"/>
  <c r="DY10" i="196" s="1"/>
  <c r="DB11" i="196"/>
  <c r="DT10" i="196" s="1"/>
  <c r="BZ21" i="196"/>
  <c r="BR78" i="196"/>
  <c r="BS77" i="196"/>
  <c r="BS72" i="196"/>
  <c r="DD11" i="196"/>
  <c r="K13" i="196"/>
  <c r="J12" i="196"/>
  <c r="I12" i="196"/>
  <c r="CV10" i="196"/>
  <c r="CU11" i="196"/>
  <c r="DM10" i="196" s="1"/>
  <c r="L11" i="196"/>
  <c r="B78" i="251"/>
  <c r="V78" i="248"/>
  <c r="B69" i="251"/>
  <c r="V70" i="248" s="1"/>
  <c r="B70" i="251"/>
  <c r="V71" i="248" s="1"/>
  <c r="B50" i="250"/>
  <c r="U51" i="248" s="1"/>
  <c r="B79" i="250"/>
  <c r="U79" i="248"/>
  <c r="AC24" i="248" l="1"/>
  <c r="EE11" i="196"/>
  <c r="DO10" i="196"/>
  <c r="EC11" i="196"/>
  <c r="ED10" i="196"/>
  <c r="EO11" i="196"/>
  <c r="DN9" i="196"/>
  <c r="EN10" i="196"/>
  <c r="DX9" i="196"/>
  <c r="EM10" i="196"/>
  <c r="EL11" i="196"/>
  <c r="DV10" i="196"/>
  <c r="EK11" i="196"/>
  <c r="DU10" i="196"/>
  <c r="EJ11" i="196"/>
  <c r="EH11" i="196"/>
  <c r="EG11" i="196"/>
  <c r="DQ10" i="196"/>
  <c r="EF10" i="196"/>
  <c r="DP9" i="196"/>
  <c r="CX11" i="196"/>
  <c r="DF11" i="196"/>
  <c r="DC12" i="196"/>
  <c r="DE11" i="196"/>
  <c r="DW10" i="196" s="1"/>
  <c r="CY12" i="196"/>
  <c r="CZ12" i="196"/>
  <c r="DR11" i="196" s="1"/>
  <c r="Z37" i="249"/>
  <c r="CW12" i="196"/>
  <c r="DO11" i="196" s="1"/>
  <c r="DG12" i="196"/>
  <c r="DB12" i="196"/>
  <c r="DT11" i="196" s="1"/>
  <c r="BS71" i="196"/>
  <c r="BS70" i="196"/>
  <c r="BR79" i="196"/>
  <c r="BS78" i="196"/>
  <c r="DD12" i="196"/>
  <c r="L12" i="196"/>
  <c r="J13" i="196"/>
  <c r="I13" i="196"/>
  <c r="CV11" i="196"/>
  <c r="DN10" i="196" s="1"/>
  <c r="CU12" i="196"/>
  <c r="DM11" i="196" s="1"/>
  <c r="K14" i="196"/>
  <c r="B79" i="251"/>
  <c r="V79" i="248"/>
  <c r="B80" i="250"/>
  <c r="U80" i="248"/>
  <c r="B49" i="250"/>
  <c r="U50" i="248" s="1"/>
  <c r="AC25" i="248" l="1"/>
  <c r="EE12" i="196"/>
  <c r="EC12" i="196"/>
  <c r="EO12" i="196"/>
  <c r="DY11" i="196"/>
  <c r="ED11" i="196"/>
  <c r="EN11" i="196"/>
  <c r="DX10" i="196"/>
  <c r="EM11" i="196"/>
  <c r="EL12" i="196"/>
  <c r="DV11" i="196"/>
  <c r="EK12" i="196"/>
  <c r="DU11" i="196"/>
  <c r="EJ12" i="196"/>
  <c r="EH12" i="196"/>
  <c r="EG12" i="196"/>
  <c r="DQ11" i="196"/>
  <c r="EF11" i="196"/>
  <c r="DP10" i="196"/>
  <c r="DF12" i="196"/>
  <c r="DX11" i="196" s="1"/>
  <c r="CZ13" i="196"/>
  <c r="DR12" i="196" s="1"/>
  <c r="CY13" i="196"/>
  <c r="DC13" i="196"/>
  <c r="DU12" i="196" s="1"/>
  <c r="DE12" i="196"/>
  <c r="CX12" i="196"/>
  <c r="Z38" i="249"/>
  <c r="CW13" i="196"/>
  <c r="DG13" i="196"/>
  <c r="DY12" i="196" s="1"/>
  <c r="DB13" i="196"/>
  <c r="DT12" i="196" s="1"/>
  <c r="BS79" i="196"/>
  <c r="BR80" i="196"/>
  <c r="DD13" i="196"/>
  <c r="DV12" i="196" s="1"/>
  <c r="K15" i="196"/>
  <c r="I14" i="196"/>
  <c r="CU13" i="196"/>
  <c r="DM12" i="196" s="1"/>
  <c r="J14" i="196"/>
  <c r="CV12" i="196"/>
  <c r="L13" i="196"/>
  <c r="B80" i="251"/>
  <c r="V80" i="248"/>
  <c r="B48" i="250"/>
  <c r="U49" i="248" s="1"/>
  <c r="B81" i="250"/>
  <c r="U81" i="248"/>
  <c r="AC26" i="248" l="1"/>
  <c r="ED12" i="196"/>
  <c r="EO13" i="196"/>
  <c r="EC13" i="196"/>
  <c r="EE13" i="196"/>
  <c r="DN11" i="196"/>
  <c r="DO12" i="196"/>
  <c r="EN12" i="196"/>
  <c r="EM12" i="196"/>
  <c r="DW11" i="196"/>
  <c r="EL13" i="196"/>
  <c r="EK13" i="196"/>
  <c r="EJ13" i="196"/>
  <c r="EH13" i="196"/>
  <c r="EG13" i="196"/>
  <c r="DQ12" i="196"/>
  <c r="EF12" i="196"/>
  <c r="DP11" i="196"/>
  <c r="CY14" i="196"/>
  <c r="CX13" i="196"/>
  <c r="CZ14" i="196"/>
  <c r="DR13" i="196" s="1"/>
  <c r="DF13" i="196"/>
  <c r="DX12" i="196" s="1"/>
  <c r="DE13" i="196"/>
  <c r="DC14" i="196"/>
  <c r="Z39" i="249"/>
  <c r="CW14" i="196"/>
  <c r="DG14" i="196"/>
  <c r="DB14" i="196"/>
  <c r="BR81" i="196"/>
  <c r="BS80" i="196"/>
  <c r="DD14" i="196"/>
  <c r="CV13" i="196"/>
  <c r="CU14" i="196"/>
  <c r="DM13" i="196" s="1"/>
  <c r="I15" i="196"/>
  <c r="J15" i="196"/>
  <c r="K16" i="196"/>
  <c r="B81" i="251"/>
  <c r="V81" i="248"/>
  <c r="B82" i="250"/>
  <c r="U82" i="248"/>
  <c r="B47" i="250"/>
  <c r="U48" i="248" s="1"/>
  <c r="AC27" i="248" l="1"/>
  <c r="EO14" i="196"/>
  <c r="DY13" i="196"/>
  <c r="ED13" i="196"/>
  <c r="DN12" i="196"/>
  <c r="EE14" i="196"/>
  <c r="EC14" i="196"/>
  <c r="DO13" i="196"/>
  <c r="EN13" i="196"/>
  <c r="EM13" i="196"/>
  <c r="DW12" i="196"/>
  <c r="EL14" i="196"/>
  <c r="DV13" i="196"/>
  <c r="EK14" i="196"/>
  <c r="DU13" i="196"/>
  <c r="EJ14" i="196"/>
  <c r="DT13" i="196"/>
  <c r="EH14" i="196"/>
  <c r="EG14" i="196"/>
  <c r="DQ13" i="196"/>
  <c r="EF13" i="196"/>
  <c r="DP12" i="196"/>
  <c r="CZ15" i="196"/>
  <c r="DC15" i="196"/>
  <c r="CX14" i="196"/>
  <c r="CY15" i="196"/>
  <c r="DQ14" i="196" s="1"/>
  <c r="Z40" i="249"/>
  <c r="CW15" i="196"/>
  <c r="DO14" i="196" s="1"/>
  <c r="DG15" i="196"/>
  <c r="DB15" i="196"/>
  <c r="BR82" i="196"/>
  <c r="BS81" i="196"/>
  <c r="DD15" i="196"/>
  <c r="K17" i="196"/>
  <c r="I16" i="196"/>
  <c r="J16" i="196"/>
  <c r="CU15" i="196"/>
  <c r="DM14" i="196" s="1"/>
  <c r="CV14" i="196"/>
  <c r="B82" i="251"/>
  <c r="V82" i="248"/>
  <c r="B46" i="250"/>
  <c r="U47" i="248" s="1"/>
  <c r="B83" i="250"/>
  <c r="U83" i="248"/>
  <c r="ED14" i="196" l="1"/>
  <c r="DN13" i="196"/>
  <c r="EO15" i="196"/>
  <c r="EE15" i="196"/>
  <c r="EC15" i="196"/>
  <c r="DY14" i="196"/>
  <c r="EL15" i="196"/>
  <c r="DV14" i="196"/>
  <c r="EK15" i="196"/>
  <c r="DU14" i="196"/>
  <c r="EJ15" i="196"/>
  <c r="DT14" i="196"/>
  <c r="EH15" i="196"/>
  <c r="DR14" i="196"/>
  <c r="EG15" i="196"/>
  <c r="EF14" i="196"/>
  <c r="DP13" i="196"/>
  <c r="CX15" i="196"/>
  <c r="CZ16" i="196"/>
  <c r="DC16" i="196"/>
  <c r="CY16" i="196"/>
  <c r="Z41" i="249"/>
  <c r="CW16" i="196"/>
  <c r="DO15" i="196" s="1"/>
  <c r="DG16" i="196"/>
  <c r="DY15" i="196" s="1"/>
  <c r="DB16" i="196"/>
  <c r="BR83" i="196"/>
  <c r="BS82" i="196"/>
  <c r="DD16" i="196"/>
  <c r="I17" i="196"/>
  <c r="CV15" i="196"/>
  <c r="CU16" i="196"/>
  <c r="K18" i="196"/>
  <c r="J17" i="196"/>
  <c r="B83" i="251"/>
  <c r="V83" i="248"/>
  <c r="B45" i="250"/>
  <c r="U46" i="248" s="1"/>
  <c r="B84" i="250"/>
  <c r="U84" i="248"/>
  <c r="EE16" i="196" l="1"/>
  <c r="ED15" i="196"/>
  <c r="DN14" i="196"/>
  <c r="EO16" i="196"/>
  <c r="EC16" i="196"/>
  <c r="DM15" i="196"/>
  <c r="EL16" i="196"/>
  <c r="DV15" i="196"/>
  <c r="EK16" i="196"/>
  <c r="DU15" i="196"/>
  <c r="EJ16" i="196"/>
  <c r="DT15" i="196"/>
  <c r="EH16" i="196"/>
  <c r="DR15" i="196"/>
  <c r="EG16" i="196"/>
  <c r="DQ15" i="196"/>
  <c r="EF15" i="196"/>
  <c r="DP14" i="196"/>
  <c r="CY17" i="196"/>
  <c r="CZ17" i="196"/>
  <c r="CX16" i="196"/>
  <c r="DC17" i="196"/>
  <c r="Z42" i="249"/>
  <c r="CW17" i="196"/>
  <c r="DG17" i="196"/>
  <c r="DB17" i="196"/>
  <c r="BS83" i="196"/>
  <c r="BR84" i="196"/>
  <c r="DD17" i="196"/>
  <c r="K19" i="196"/>
  <c r="CU17" i="196"/>
  <c r="CV16" i="196"/>
  <c r="J18" i="196"/>
  <c r="I18" i="196"/>
  <c r="B84" i="251"/>
  <c r="V84" i="248"/>
  <c r="U85" i="248"/>
  <c r="B85" i="250"/>
  <c r="B44" i="250"/>
  <c r="U45" i="248" s="1"/>
  <c r="EO17" i="196" l="1"/>
  <c r="ED16" i="196"/>
  <c r="EE17" i="196"/>
  <c r="DY16" i="196"/>
  <c r="EC17" i="196"/>
  <c r="DN15" i="196"/>
  <c r="DM16" i="196"/>
  <c r="DO16" i="196"/>
  <c r="EL17" i="196"/>
  <c r="DV16" i="196"/>
  <c r="EK17" i="196"/>
  <c r="DU16" i="196"/>
  <c r="EJ17" i="196"/>
  <c r="DT16" i="196"/>
  <c r="EH17" i="196"/>
  <c r="DR16" i="196"/>
  <c r="EG17" i="196"/>
  <c r="DQ16" i="196"/>
  <c r="EF16" i="196"/>
  <c r="DP15" i="196"/>
  <c r="CZ18" i="196"/>
  <c r="CY18" i="196"/>
  <c r="DC18" i="196"/>
  <c r="CX17" i="196"/>
  <c r="Z43" i="249"/>
  <c r="CW18" i="196"/>
  <c r="DO17" i="196" s="1"/>
  <c r="DG18" i="196"/>
  <c r="DB18" i="196"/>
  <c r="DT17" i="196" s="1"/>
  <c r="BS84" i="196"/>
  <c r="BR85" i="196"/>
  <c r="E46" i="196"/>
  <c r="DD18" i="196"/>
  <c r="DV17" i="196" s="1"/>
  <c r="CV17" i="196"/>
  <c r="I19" i="196"/>
  <c r="CU18" i="196"/>
  <c r="DM17" i="196" s="1"/>
  <c r="J19" i="196"/>
  <c r="K20" i="196"/>
  <c r="B85" i="251"/>
  <c r="V85" i="248"/>
  <c r="B43" i="250"/>
  <c r="U44" i="248" s="1"/>
  <c r="B86" i="250"/>
  <c r="U86" i="248"/>
  <c r="ED17" i="196" l="1"/>
  <c r="EE18" i="196"/>
  <c r="DN16" i="196"/>
  <c r="EC18" i="196"/>
  <c r="EO18" i="196"/>
  <c r="DY17" i="196"/>
  <c r="EL18" i="196"/>
  <c r="EK18" i="196"/>
  <c r="DU17" i="196"/>
  <c r="EJ18" i="196"/>
  <c r="EH18" i="196"/>
  <c r="DR17" i="196"/>
  <c r="EG18" i="196"/>
  <c r="DQ17" i="196"/>
  <c r="EF17" i="196"/>
  <c r="DP16" i="196"/>
  <c r="DC19" i="196"/>
  <c r="CX18" i="196"/>
  <c r="CY19" i="196"/>
  <c r="CZ19" i="196"/>
  <c r="Z44" i="249"/>
  <c r="E47" i="196"/>
  <c r="E48" i="196" s="1"/>
  <c r="E49" i="196" s="1"/>
  <c r="E50" i="196" s="1"/>
  <c r="E51" i="196" s="1"/>
  <c r="CW19" i="196"/>
  <c r="DG19" i="196"/>
  <c r="DB19" i="196"/>
  <c r="BR86" i="196"/>
  <c r="BS85" i="196"/>
  <c r="DD19" i="196"/>
  <c r="CU19" i="196"/>
  <c r="DM18" i="196" s="1"/>
  <c r="I20" i="196"/>
  <c r="K21" i="196"/>
  <c r="J20" i="196"/>
  <c r="CV18" i="196"/>
  <c r="B86" i="251"/>
  <c r="V86" i="248"/>
  <c r="B87" i="250"/>
  <c r="U87" i="248"/>
  <c r="B42" i="250"/>
  <c r="U43" i="248" s="1"/>
  <c r="EO19" i="196" l="1"/>
  <c r="EE19" i="196"/>
  <c r="DY18" i="196"/>
  <c r="ED18" i="196"/>
  <c r="DO18" i="196"/>
  <c r="EC19" i="196"/>
  <c r="DN17" i="196"/>
  <c r="EL19" i="196"/>
  <c r="DV18" i="196"/>
  <c r="EK19" i="196"/>
  <c r="DU18" i="196"/>
  <c r="EJ19" i="196"/>
  <c r="DT18" i="196"/>
  <c r="EH19" i="196"/>
  <c r="DR18" i="196"/>
  <c r="EG19" i="196"/>
  <c r="DQ18" i="196"/>
  <c r="EF18" i="196"/>
  <c r="DP17" i="196"/>
  <c r="E52" i="196"/>
  <c r="E53" i="196" s="1"/>
  <c r="E54" i="196" s="1"/>
  <c r="E55" i="196" s="1"/>
  <c r="E56" i="196" s="1"/>
  <c r="E57" i="196" s="1"/>
  <c r="E58" i="196" s="1"/>
  <c r="E59" i="196" s="1"/>
  <c r="E60" i="196" s="1"/>
  <c r="CZ20" i="196"/>
  <c r="DR19" i="196" s="1"/>
  <c r="CY20" i="196"/>
  <c r="DC20" i="196"/>
  <c r="CX19" i="196"/>
  <c r="Z45" i="249"/>
  <c r="CW20" i="196"/>
  <c r="DG20" i="196"/>
  <c r="DY19" i="196" s="1"/>
  <c r="DB20" i="196"/>
  <c r="BS86" i="196"/>
  <c r="BR87" i="196"/>
  <c r="DD20" i="196"/>
  <c r="K22" i="196"/>
  <c r="CU20" i="196"/>
  <c r="DM19" i="196" s="1"/>
  <c r="CV19" i="196"/>
  <c r="DN18" i="196" s="1"/>
  <c r="I21" i="196"/>
  <c r="J21" i="196"/>
  <c r="B87" i="251"/>
  <c r="V87" i="248"/>
  <c r="B41" i="250"/>
  <c r="U42" i="248" s="1"/>
  <c r="B88" i="250"/>
  <c r="U88" i="248"/>
  <c r="EO20" i="196" l="1"/>
  <c r="EE20" i="196"/>
  <c r="DO19" i="196"/>
  <c r="ED19" i="196"/>
  <c r="EC20" i="196"/>
  <c r="EL20" i="196"/>
  <c r="DV19" i="196"/>
  <c r="EK20" i="196"/>
  <c r="DU19" i="196"/>
  <c r="EJ20" i="196"/>
  <c r="DT19" i="196"/>
  <c r="EH20" i="196"/>
  <c r="EG20" i="196"/>
  <c r="DQ19" i="196"/>
  <c r="EF19" i="196"/>
  <c r="DP18" i="196"/>
  <c r="DC21" i="196"/>
  <c r="CX20" i="196"/>
  <c r="CZ21" i="196"/>
  <c r="CY21" i="196"/>
  <c r="Z46" i="249"/>
  <c r="CW21" i="196"/>
  <c r="DO20" i="196" s="1"/>
  <c r="DG21" i="196"/>
  <c r="DY20" i="196" s="1"/>
  <c r="DB21" i="196"/>
  <c r="BS87" i="196"/>
  <c r="BR88" i="196"/>
  <c r="DD21" i="196"/>
  <c r="CU21" i="196"/>
  <c r="DM20" i="196" s="1"/>
  <c r="I22" i="196"/>
  <c r="CV20" i="196"/>
  <c r="J22" i="196"/>
  <c r="K23" i="196"/>
  <c r="B88" i="251"/>
  <c r="V88" i="248"/>
  <c r="B89" i="250"/>
  <c r="U89" i="248"/>
  <c r="B40" i="250"/>
  <c r="U41" i="248" s="1"/>
  <c r="EE21" i="196" l="1"/>
  <c r="EO21" i="196"/>
  <c r="ED20" i="196"/>
  <c r="EC21" i="196"/>
  <c r="DN19" i="196"/>
  <c r="EL21" i="196"/>
  <c r="DV20" i="196"/>
  <c r="EK21" i="196"/>
  <c r="DU20" i="196"/>
  <c r="EJ21" i="196"/>
  <c r="DT20" i="196"/>
  <c r="EH21" i="196"/>
  <c r="DR20" i="196"/>
  <c r="EG21" i="196"/>
  <c r="DQ20" i="196"/>
  <c r="EF20" i="196"/>
  <c r="DP19" i="196"/>
  <c r="CY22" i="196"/>
  <c r="CX21" i="196"/>
  <c r="DC22" i="196"/>
  <c r="CZ22" i="196"/>
  <c r="CW22" i="196"/>
  <c r="DG22" i="196"/>
  <c r="DY21" i="196" s="1"/>
  <c r="DB22" i="196"/>
  <c r="BR89" i="196"/>
  <c r="BS88" i="196"/>
  <c r="DD22" i="196"/>
  <c r="CV21" i="196"/>
  <c r="DN20" i="196" s="1"/>
  <c r="I23" i="196"/>
  <c r="CU22" i="196"/>
  <c r="DM21" i="196" s="1"/>
  <c r="K24" i="196"/>
  <c r="J23" i="196"/>
  <c r="G61" i="196"/>
  <c r="B89" i="251"/>
  <c r="V89" i="248"/>
  <c r="B90" i="250"/>
  <c r="U90" i="248"/>
  <c r="EC22" i="196" l="1"/>
  <c r="EE22" i="196"/>
  <c r="EO22" i="196"/>
  <c r="DO21" i="196"/>
  <c r="ED21" i="196"/>
  <c r="EL22" i="196"/>
  <c r="DV21" i="196"/>
  <c r="EK22" i="196"/>
  <c r="DU21" i="196"/>
  <c r="EJ22" i="196"/>
  <c r="DT21" i="196"/>
  <c r="EH22" i="196"/>
  <c r="DR21" i="196"/>
  <c r="EG22" i="196"/>
  <c r="DQ21" i="196"/>
  <c r="EF21" i="196"/>
  <c r="DP20" i="196"/>
  <c r="DC23" i="196"/>
  <c r="CX22" i="196"/>
  <c r="CY23" i="196"/>
  <c r="CZ23" i="196"/>
  <c r="CW23" i="196"/>
  <c r="DO22" i="196" s="1"/>
  <c r="DG23" i="196"/>
  <c r="DY22" i="196" s="1"/>
  <c r="DB23" i="196"/>
  <c r="BS89" i="196"/>
  <c r="BR90" i="196"/>
  <c r="DD23" i="196"/>
  <c r="DV22" i="196" s="1"/>
  <c r="CU23" i="196"/>
  <c r="K25" i="196"/>
  <c r="G62" i="196"/>
  <c r="I24" i="196"/>
  <c r="J24" i="196"/>
  <c r="CV22" i="196"/>
  <c r="B90" i="251"/>
  <c r="V90" i="248"/>
  <c r="B39" i="250"/>
  <c r="U40" i="248" s="1"/>
  <c r="B91" i="250"/>
  <c r="U91" i="248"/>
  <c r="B38" i="250"/>
  <c r="U39" i="248" s="1"/>
  <c r="ED22" i="196" l="1"/>
  <c r="EO23" i="196"/>
  <c r="DN21" i="196"/>
  <c r="EE23" i="196"/>
  <c r="EC23" i="196"/>
  <c r="DM22" i="196"/>
  <c r="EL23" i="196"/>
  <c r="EK23" i="196"/>
  <c r="DU22" i="196"/>
  <c r="EJ23" i="196"/>
  <c r="DT22" i="196"/>
  <c r="EH23" i="196"/>
  <c r="DR22" i="196"/>
  <c r="EG23" i="196"/>
  <c r="DQ22" i="196"/>
  <c r="EF22" i="196"/>
  <c r="DP21" i="196"/>
  <c r="CX23" i="196"/>
  <c r="CZ24" i="196"/>
  <c r="DC24" i="196"/>
  <c r="CY24" i="196"/>
  <c r="DQ23" i="196" s="1"/>
  <c r="CW24" i="196"/>
  <c r="DG24" i="196"/>
  <c r="DY23" i="196" s="1"/>
  <c r="DB24" i="196"/>
  <c r="DT23" i="196" s="1"/>
  <c r="BR91" i="196"/>
  <c r="BS90" i="196"/>
  <c r="DD24" i="196"/>
  <c r="CV23" i="196"/>
  <c r="J25" i="196"/>
  <c r="I25" i="196"/>
  <c r="G63" i="196"/>
  <c r="K26" i="196"/>
  <c r="CU24" i="196"/>
  <c r="B91" i="251"/>
  <c r="V91" i="248"/>
  <c r="B37" i="250"/>
  <c r="U38" i="248" s="1"/>
  <c r="B92" i="250"/>
  <c r="U92" i="248"/>
  <c r="EC24" i="196" l="1"/>
  <c r="EO24" i="196"/>
  <c r="EE24" i="196"/>
  <c r="DM23" i="196"/>
  <c r="ED23" i="196"/>
  <c r="DN22" i="196"/>
  <c r="DO23" i="196"/>
  <c r="EL24" i="196"/>
  <c r="DV23" i="196"/>
  <c r="EK24" i="196"/>
  <c r="DU23" i="196"/>
  <c r="EJ24" i="196"/>
  <c r="EH24" i="196"/>
  <c r="DR23" i="196"/>
  <c r="EG24" i="196"/>
  <c r="EF23" i="196"/>
  <c r="DP22" i="196"/>
  <c r="CY25" i="196"/>
  <c r="CX24" i="196"/>
  <c r="DC25" i="196"/>
  <c r="CZ25" i="196"/>
  <c r="CW25" i="196"/>
  <c r="DO24" i="196" s="1"/>
  <c r="DG25" i="196"/>
  <c r="DY24" i="196" s="1"/>
  <c r="DB25" i="196"/>
  <c r="BR92" i="196"/>
  <c r="BS91" i="196"/>
  <c r="DD25" i="196"/>
  <c r="G64" i="196"/>
  <c r="I26" i="196"/>
  <c r="J26" i="196"/>
  <c r="CU25" i="196"/>
  <c r="K27" i="196"/>
  <c r="CV24" i="196"/>
  <c r="B92" i="251"/>
  <c r="B93" i="251" s="1"/>
  <c r="B94" i="251" s="1"/>
  <c r="B95" i="251" s="1"/>
  <c r="B96" i="251" s="1"/>
  <c r="B97" i="251" s="1"/>
  <c r="B98" i="251" s="1"/>
  <c r="B99" i="251" s="1"/>
  <c r="B100" i="251" s="1"/>
  <c r="B101" i="251" s="1"/>
  <c r="B102" i="251" s="1"/>
  <c r="B103" i="251" s="1"/>
  <c r="B104" i="251" s="1"/>
  <c r="B105" i="251" s="1"/>
  <c r="B106" i="251" s="1"/>
  <c r="B107" i="251" s="1"/>
  <c r="B108" i="251" s="1"/>
  <c r="B109" i="251" s="1"/>
  <c r="B110" i="251" s="1"/>
  <c r="B111" i="251" s="1"/>
  <c r="B112" i="251" s="1"/>
  <c r="B113" i="251" s="1"/>
  <c r="B114" i="251" s="1"/>
  <c r="B115" i="251" s="1"/>
  <c r="B116" i="251" s="1"/>
  <c r="B117" i="251" s="1"/>
  <c r="B118" i="251" s="1"/>
  <c r="B119" i="251" s="1"/>
  <c r="B120" i="251" s="1"/>
  <c r="B121" i="251" s="1"/>
  <c r="B122" i="251" s="1"/>
  <c r="V92" i="248"/>
  <c r="B93" i="250"/>
  <c r="U93" i="248"/>
  <c r="B36" i="250"/>
  <c r="U37" i="248" s="1"/>
  <c r="EC25" i="196" l="1"/>
  <c r="ED24" i="196"/>
  <c r="DM24" i="196"/>
  <c r="EO25" i="196"/>
  <c r="EE25" i="196"/>
  <c r="DN23" i="196"/>
  <c r="EL25" i="196"/>
  <c r="DV24" i="196"/>
  <c r="EK25" i="196"/>
  <c r="DU24" i="196"/>
  <c r="EJ25" i="196"/>
  <c r="DT24" i="196"/>
  <c r="EH25" i="196"/>
  <c r="DR24" i="196"/>
  <c r="EG25" i="196"/>
  <c r="DQ24" i="196"/>
  <c r="EF24" i="196"/>
  <c r="DP23" i="196"/>
  <c r="CZ26" i="196"/>
  <c r="CY26" i="196"/>
  <c r="DC26" i="196"/>
  <c r="CX25" i="196"/>
  <c r="CW26" i="196"/>
  <c r="DG26" i="196"/>
  <c r="DB26" i="196"/>
  <c r="BS92" i="196"/>
  <c r="BR93" i="196"/>
  <c r="DD26" i="196"/>
  <c r="CU26" i="196"/>
  <c r="DM25" i="196" s="1"/>
  <c r="J27" i="196"/>
  <c r="I27" i="196"/>
  <c r="CV25" i="196"/>
  <c r="DN24" i="196" s="1"/>
  <c r="K28" i="196"/>
  <c r="G65" i="196"/>
  <c r="V93" i="248"/>
  <c r="B94" i="250"/>
  <c r="U94" i="248"/>
  <c r="B35" i="250"/>
  <c r="U36" i="248" s="1"/>
  <c r="ED25" i="196" l="1"/>
  <c r="EO26" i="196"/>
  <c r="EE26" i="196"/>
  <c r="EC26" i="196"/>
  <c r="DO25" i="196"/>
  <c r="DY25" i="196"/>
  <c r="EL26" i="196"/>
  <c r="DV25" i="196"/>
  <c r="EK26" i="196"/>
  <c r="DU25" i="196"/>
  <c r="EJ26" i="196"/>
  <c r="DT25" i="196"/>
  <c r="EH26" i="196"/>
  <c r="DR25" i="196"/>
  <c r="EG26" i="196"/>
  <c r="DQ25" i="196"/>
  <c r="EF25" i="196"/>
  <c r="DP24" i="196"/>
  <c r="CX26" i="196"/>
  <c r="DP25" i="196" s="1"/>
  <c r="CY27" i="196"/>
  <c r="CZ27" i="196"/>
  <c r="DC27" i="196"/>
  <c r="CW27" i="196"/>
  <c r="DO26" i="196" s="1"/>
  <c r="DG27" i="196"/>
  <c r="DB27" i="196"/>
  <c r="BR94" i="196"/>
  <c r="BS93" i="196"/>
  <c r="DD27" i="196"/>
  <c r="CV26" i="196"/>
  <c r="I28" i="196"/>
  <c r="G66" i="196"/>
  <c r="J28" i="196"/>
  <c r="K29" i="196"/>
  <c r="CU27" i="196"/>
  <c r="V94" i="248"/>
  <c r="B34" i="250"/>
  <c r="U35" i="248" s="1"/>
  <c r="B32" i="250"/>
  <c r="U33" i="248" s="1"/>
  <c r="B30" i="250"/>
  <c r="B31" i="250"/>
  <c r="U32" i="248" s="1"/>
  <c r="B95" i="250"/>
  <c r="U95" i="248"/>
  <c r="EC27" i="196" l="1"/>
  <c r="EO27" i="196"/>
  <c r="DY26" i="196"/>
  <c r="ED26" i="196"/>
  <c r="EE27" i="196"/>
  <c r="DM26" i="196"/>
  <c r="DN25" i="196"/>
  <c r="EL27" i="196"/>
  <c r="DV26" i="196"/>
  <c r="EK27" i="196"/>
  <c r="DU26" i="196"/>
  <c r="EJ27" i="196"/>
  <c r="DT26" i="196"/>
  <c r="EH27" i="196"/>
  <c r="DR26" i="196"/>
  <c r="EG27" i="196"/>
  <c r="DQ26" i="196"/>
  <c r="EF26" i="196"/>
  <c r="DC28" i="196"/>
  <c r="CZ28" i="196"/>
  <c r="CY28" i="196"/>
  <c r="CX27" i="196"/>
  <c r="CW28" i="196"/>
  <c r="DO27" i="196" s="1"/>
  <c r="DG28" i="196"/>
  <c r="DB28" i="196"/>
  <c r="BR95" i="196"/>
  <c r="BS94" i="196"/>
  <c r="B33" i="250"/>
  <c r="U34" i="248" s="1"/>
  <c r="DD28" i="196"/>
  <c r="J29" i="196"/>
  <c r="G67" i="196"/>
  <c r="I29" i="196"/>
  <c r="CU28" i="196"/>
  <c r="K30" i="196"/>
  <c r="CV27" i="196"/>
  <c r="V95" i="248"/>
  <c r="U31" i="248"/>
  <c r="B96" i="250"/>
  <c r="U96" i="248"/>
  <c r="EC28" i="196" l="1"/>
  <c r="EO28" i="196"/>
  <c r="DY27" i="196"/>
  <c r="DM27" i="196"/>
  <c r="EE28" i="196"/>
  <c r="ED27" i="196"/>
  <c r="DN26" i="196"/>
  <c r="EL28" i="196"/>
  <c r="DV27" i="196"/>
  <c r="EK28" i="196"/>
  <c r="DU27" i="196"/>
  <c r="EJ28" i="196"/>
  <c r="DT27" i="196"/>
  <c r="EH28" i="196"/>
  <c r="DR27" i="196"/>
  <c r="EG28" i="196"/>
  <c r="DQ27" i="196"/>
  <c r="EF27" i="196"/>
  <c r="DP26" i="196"/>
  <c r="CX28" i="196"/>
  <c r="CZ29" i="196"/>
  <c r="CY29" i="196"/>
  <c r="DC29" i="196"/>
  <c r="CW29" i="196"/>
  <c r="DG29" i="196"/>
  <c r="DB29" i="196"/>
  <c r="BR96" i="196"/>
  <c r="BS95" i="196"/>
  <c r="DD29" i="196"/>
  <c r="I30" i="196"/>
  <c r="CV28" i="196"/>
  <c r="CU29" i="196"/>
  <c r="G68" i="196"/>
  <c r="J30" i="196"/>
  <c r="V96" i="248"/>
  <c r="B97" i="250"/>
  <c r="U97" i="248"/>
  <c r="EC29" i="196" l="1"/>
  <c r="EO29" i="196"/>
  <c r="EE29" i="196"/>
  <c r="DY28" i="196"/>
  <c r="ED28" i="196"/>
  <c r="DN27" i="196"/>
  <c r="DO28" i="196"/>
  <c r="DM28" i="196"/>
  <c r="EL29" i="196"/>
  <c r="DV28" i="196"/>
  <c r="EK29" i="196"/>
  <c r="DU28" i="196"/>
  <c r="EJ29" i="196"/>
  <c r="DT28" i="196"/>
  <c r="EH29" i="196"/>
  <c r="DR28" i="196"/>
  <c r="EG29" i="196"/>
  <c r="DQ28" i="196"/>
  <c r="EF28" i="196"/>
  <c r="DP27" i="196"/>
  <c r="CZ30" i="196"/>
  <c r="DC30" i="196"/>
  <c r="CY30" i="196"/>
  <c r="CX29" i="196"/>
  <c r="CW30" i="196"/>
  <c r="DG30" i="196"/>
  <c r="DB30" i="196"/>
  <c r="BR97" i="196"/>
  <c r="BS96" i="196"/>
  <c r="DD30" i="196"/>
  <c r="G69" i="196"/>
  <c r="CU30" i="196"/>
  <c r="DM29" i="196" s="1"/>
  <c r="CV29" i="196"/>
  <c r="J31" i="196"/>
  <c r="J32" i="196" s="1"/>
  <c r="J33" i="196" s="1"/>
  <c r="J34" i="196" s="1"/>
  <c r="J35" i="196" s="1"/>
  <c r="J36" i="196" s="1"/>
  <c r="J37" i="196" s="1"/>
  <c r="J38" i="196" s="1"/>
  <c r="J39" i="196" s="1"/>
  <c r="J40" i="196" s="1"/>
  <c r="J41" i="196" s="1"/>
  <c r="J42" i="196" s="1"/>
  <c r="J43" i="196" s="1"/>
  <c r="J44" i="196" s="1"/>
  <c r="I31" i="196"/>
  <c r="V97" i="248"/>
  <c r="B98" i="250"/>
  <c r="U98" i="248"/>
  <c r="EE30" i="196" l="1"/>
  <c r="EC30" i="196"/>
  <c r="EO30" i="196"/>
  <c r="ED29" i="196"/>
  <c r="DO29" i="196"/>
  <c r="DY29" i="196"/>
  <c r="DN28" i="196"/>
  <c r="EL30" i="196"/>
  <c r="DV29" i="196"/>
  <c r="EK30" i="196"/>
  <c r="DU29" i="196"/>
  <c r="EJ30" i="196"/>
  <c r="DT29" i="196"/>
  <c r="EH30" i="196"/>
  <c r="DR29" i="196"/>
  <c r="EG30" i="196"/>
  <c r="DQ29" i="196"/>
  <c r="EF29" i="196"/>
  <c r="DP28" i="196"/>
  <c r="CY31" i="196"/>
  <c r="CZ31" i="196"/>
  <c r="DR30" i="196" s="1"/>
  <c r="CX30" i="196"/>
  <c r="DP29" i="196" s="1"/>
  <c r="CW31" i="196"/>
  <c r="DG31" i="196"/>
  <c r="DY30" i="196" s="1"/>
  <c r="DB31" i="196"/>
  <c r="BS97" i="196"/>
  <c r="BR98" i="196"/>
  <c r="CU31" i="196"/>
  <c r="DM30" i="196" s="1"/>
  <c r="CV30" i="196"/>
  <c r="I32" i="196"/>
  <c r="G70" i="196"/>
  <c r="V98" i="248"/>
  <c r="B99" i="250"/>
  <c r="U99" i="248"/>
  <c r="EO31" i="196" l="1"/>
  <c r="EE31" i="196"/>
  <c r="ED30" i="196"/>
  <c r="EC31" i="196"/>
  <c r="DN29" i="196"/>
  <c r="DO30" i="196"/>
  <c r="EJ31" i="196"/>
  <c r="DT30" i="196"/>
  <c r="EH31" i="196"/>
  <c r="EG31" i="196"/>
  <c r="DQ30" i="196"/>
  <c r="EF30" i="196"/>
  <c r="CX31" i="196"/>
  <c r="CZ32" i="196"/>
  <c r="CY32" i="196"/>
  <c r="CW32" i="196"/>
  <c r="DG32" i="196"/>
  <c r="DB32" i="196"/>
  <c r="BR99" i="196"/>
  <c r="BS98" i="196"/>
  <c r="I33" i="196"/>
  <c r="CV31" i="196"/>
  <c r="DN30" i="196" s="1"/>
  <c r="G71" i="196"/>
  <c r="CU32" i="196"/>
  <c r="V99" i="248"/>
  <c r="B100" i="250"/>
  <c r="U100" i="248"/>
  <c r="EC32" i="196" l="1"/>
  <c r="ED31" i="196"/>
  <c r="EO32" i="196"/>
  <c r="EE32" i="196"/>
  <c r="DO31" i="196"/>
  <c r="DM31" i="196"/>
  <c r="DY31" i="196"/>
  <c r="EJ32" i="196"/>
  <c r="DT31" i="196"/>
  <c r="EH32" i="196"/>
  <c r="DR31" i="196"/>
  <c r="EG32" i="196"/>
  <c r="DQ31" i="196"/>
  <c r="EF31" i="196"/>
  <c r="DP30" i="196"/>
  <c r="CY33" i="196"/>
  <c r="CZ33" i="196"/>
  <c r="CX32" i="196"/>
  <c r="CW33" i="196"/>
  <c r="DG33" i="196"/>
  <c r="DB33" i="196"/>
  <c r="BS99" i="196"/>
  <c r="BR100" i="196"/>
  <c r="G72" i="196"/>
  <c r="CV32" i="196"/>
  <c r="CU33" i="196"/>
  <c r="DM32" i="196" s="1"/>
  <c r="I34" i="196"/>
  <c r="V100" i="248"/>
  <c r="B101" i="250"/>
  <c r="U101" i="248"/>
  <c r="EO33" i="196" l="1"/>
  <c r="EE33" i="196"/>
  <c r="ED32" i="196"/>
  <c r="EC33" i="196"/>
  <c r="DY32" i="196"/>
  <c r="DO32" i="196"/>
  <c r="DN31" i="196"/>
  <c r="EJ33" i="196"/>
  <c r="DT32" i="196"/>
  <c r="EH33" i="196"/>
  <c r="DR32" i="196"/>
  <c r="EG33" i="196"/>
  <c r="DQ32" i="196"/>
  <c r="EF32" i="196"/>
  <c r="DP31" i="196"/>
  <c r="CX33" i="196"/>
  <c r="CZ34" i="196"/>
  <c r="CY34" i="196"/>
  <c r="CW34" i="196"/>
  <c r="DG34" i="196"/>
  <c r="DB34" i="196"/>
  <c r="BR101" i="196"/>
  <c r="BS100" i="196"/>
  <c r="CU34" i="196"/>
  <c r="DM33" i="196" s="1"/>
  <c r="I35" i="196"/>
  <c r="CV33" i="196"/>
  <c r="DN32" i="196" s="1"/>
  <c r="G73" i="196"/>
  <c r="V101" i="248"/>
  <c r="B102" i="250"/>
  <c r="U102" i="248"/>
  <c r="EE34" i="196" l="1"/>
  <c r="EC34" i="196"/>
  <c r="ED33" i="196"/>
  <c r="DO33" i="196"/>
  <c r="EO34" i="196"/>
  <c r="DY33" i="196"/>
  <c r="EJ34" i="196"/>
  <c r="DT33" i="196"/>
  <c r="EH34" i="196"/>
  <c r="DR33" i="196"/>
  <c r="EG34" i="196"/>
  <c r="DQ33" i="196"/>
  <c r="EF33" i="196"/>
  <c r="DP32" i="196"/>
  <c r="CY35" i="196"/>
  <c r="CX34" i="196"/>
  <c r="CZ35" i="196"/>
  <c r="DR34" i="196" s="1"/>
  <c r="CW35" i="196"/>
  <c r="DG35" i="196"/>
  <c r="DY34" i="196" s="1"/>
  <c r="DB35" i="196"/>
  <c r="BR102" i="196"/>
  <c r="BS101" i="196"/>
  <c r="CV34" i="196"/>
  <c r="DN33" i="196" s="1"/>
  <c r="G74" i="196"/>
  <c r="CU35" i="196"/>
  <c r="V102" i="248"/>
  <c r="B103" i="250"/>
  <c r="U103" i="248"/>
  <c r="ED34" i="196" l="1"/>
  <c r="EC35" i="196"/>
  <c r="DM34" i="196"/>
  <c r="EE35" i="196"/>
  <c r="DO34" i="196"/>
  <c r="EO35" i="196"/>
  <c r="EJ35" i="196"/>
  <c r="DT34" i="196"/>
  <c r="EH35" i="196"/>
  <c r="EG35" i="196"/>
  <c r="DQ34" i="196"/>
  <c r="EF34" i="196"/>
  <c r="DP33" i="196"/>
  <c r="CZ36" i="196"/>
  <c r="CX35" i="196"/>
  <c r="CY36" i="196"/>
  <c r="CW36" i="196"/>
  <c r="DO35" i="196" s="1"/>
  <c r="DG36" i="196"/>
  <c r="EO36" i="196" s="1"/>
  <c r="BS102" i="196"/>
  <c r="BR103" i="196"/>
  <c r="CU36" i="196"/>
  <c r="DM35" i="196" s="1"/>
  <c r="G75" i="196"/>
  <c r="CV35" i="196"/>
  <c r="V103" i="248"/>
  <c r="B104" i="250"/>
  <c r="U104" i="248"/>
  <c r="EE36" i="196" l="1"/>
  <c r="ED35" i="196"/>
  <c r="DY35" i="196"/>
  <c r="DN34" i="196"/>
  <c r="EC36" i="196"/>
  <c r="EH36" i="196"/>
  <c r="DR35" i="196"/>
  <c r="EG36" i="196"/>
  <c r="DQ35" i="196"/>
  <c r="EF35" i="196"/>
  <c r="DP34" i="196"/>
  <c r="CY37" i="196"/>
  <c r="CX36" i="196"/>
  <c r="CZ37" i="196"/>
  <c r="CW37" i="196"/>
  <c r="DG37" i="196"/>
  <c r="BS103" i="196"/>
  <c r="BR104" i="196"/>
  <c r="CV36" i="196"/>
  <c r="G76" i="196"/>
  <c r="CU37" i="196"/>
  <c r="V104" i="248"/>
  <c r="B105" i="250"/>
  <c r="U105" i="248"/>
  <c r="EC37" i="196" l="1"/>
  <c r="DM36" i="196"/>
  <c r="ED36" i="196"/>
  <c r="DN35" i="196"/>
  <c r="EE37" i="196"/>
  <c r="DO36" i="196"/>
  <c r="EH37" i="196"/>
  <c r="DR36" i="196"/>
  <c r="EG37" i="196"/>
  <c r="DQ36" i="196"/>
  <c r="EF36" i="196"/>
  <c r="DP35" i="196"/>
  <c r="CX37" i="196"/>
  <c r="CZ38" i="196"/>
  <c r="DR37" i="196" s="1"/>
  <c r="CY38" i="196"/>
  <c r="CW38" i="196"/>
  <c r="DG38" i="196"/>
  <c r="BS104" i="196"/>
  <c r="BR105" i="196"/>
  <c r="CU38" i="196"/>
  <c r="G77" i="196"/>
  <c r="CV37" i="196"/>
  <c r="DN36" i="196" s="1"/>
  <c r="V105" i="248"/>
  <c r="B106" i="250"/>
  <c r="U106" i="248"/>
  <c r="EE38" i="196" l="1"/>
  <c r="ED37" i="196"/>
  <c r="EC38" i="196"/>
  <c r="DO37" i="196"/>
  <c r="DM37" i="196"/>
  <c r="EH38" i="196"/>
  <c r="EG38" i="196"/>
  <c r="DQ37" i="196"/>
  <c r="EF37" i="196"/>
  <c r="DP36" i="196"/>
  <c r="CZ39" i="196"/>
  <c r="CX38" i="196"/>
  <c r="CY39" i="196"/>
  <c r="CW39" i="196"/>
  <c r="DO38" i="196" s="1"/>
  <c r="DG39" i="196"/>
  <c r="BS105" i="196"/>
  <c r="BR106" i="196"/>
  <c r="CV38" i="196"/>
  <c r="G78" i="196"/>
  <c r="CU39" i="196"/>
  <c r="V106" i="248"/>
  <c r="B107" i="250"/>
  <c r="U107" i="248"/>
  <c r="ED38" i="196" l="1"/>
  <c r="DN37" i="196"/>
  <c r="EC39" i="196"/>
  <c r="EE39" i="196"/>
  <c r="DM38" i="196"/>
  <c r="EH39" i="196"/>
  <c r="DR38" i="196"/>
  <c r="EG39" i="196"/>
  <c r="DQ38" i="196"/>
  <c r="EF38" i="196"/>
  <c r="DP37" i="196"/>
  <c r="CX39" i="196"/>
  <c r="CY40" i="196"/>
  <c r="CZ40" i="196"/>
  <c r="CW40" i="196"/>
  <c r="DO39" i="196" s="1"/>
  <c r="DG40" i="196"/>
  <c r="BS106" i="196"/>
  <c r="BR107" i="196"/>
  <c r="CU40" i="196"/>
  <c r="G79" i="196"/>
  <c r="CV39" i="196"/>
  <c r="DN38" i="196" s="1"/>
  <c r="V107" i="248"/>
  <c r="B108" i="250"/>
  <c r="U108" i="248"/>
  <c r="EC40" i="196" l="1"/>
  <c r="ED39" i="196"/>
  <c r="DM39" i="196"/>
  <c r="EE40" i="196"/>
  <c r="EH40" i="196"/>
  <c r="DR39" i="196"/>
  <c r="EG40" i="196"/>
  <c r="DQ39" i="196"/>
  <c r="EF39" i="196"/>
  <c r="DP38" i="196"/>
  <c r="CZ41" i="196"/>
  <c r="CY41" i="196"/>
  <c r="CX40" i="196"/>
  <c r="CW41" i="196"/>
  <c r="DO40" i="196" s="1"/>
  <c r="DG41" i="196"/>
  <c r="BS107" i="196"/>
  <c r="BR108" i="196"/>
  <c r="CV40" i="196"/>
  <c r="G80" i="196"/>
  <c r="CU41" i="196"/>
  <c r="V108" i="248"/>
  <c r="B109" i="250"/>
  <c r="U109" i="248"/>
  <c r="EC41" i="196" l="1"/>
  <c r="EE41" i="196"/>
  <c r="ED40" i="196"/>
  <c r="DN39" i="196"/>
  <c r="DM40" i="196"/>
  <c r="EH41" i="196"/>
  <c r="DR40" i="196"/>
  <c r="EG41" i="196"/>
  <c r="DQ40" i="196"/>
  <c r="EF40" i="196"/>
  <c r="DP39" i="196"/>
  <c r="CY42" i="196"/>
  <c r="CX41" i="196"/>
  <c r="CZ42" i="196"/>
  <c r="CW42" i="196"/>
  <c r="DG42" i="196"/>
  <c r="BR109" i="196"/>
  <c r="BS108" i="196"/>
  <c r="G81" i="196"/>
  <c r="CV41" i="196"/>
  <c r="V109" i="248"/>
  <c r="B110" i="250"/>
  <c r="U110" i="248"/>
  <c r="ED41" i="196" l="1"/>
  <c r="DN40" i="196"/>
  <c r="EE42" i="196"/>
  <c r="DO41" i="196"/>
  <c r="EH42" i="196"/>
  <c r="DR41" i="196"/>
  <c r="EG42" i="196"/>
  <c r="DQ41" i="196"/>
  <c r="EF41" i="196"/>
  <c r="DP40" i="196"/>
  <c r="CZ43" i="196"/>
  <c r="CX42" i="196"/>
  <c r="CY43" i="196"/>
  <c r="CW43" i="196"/>
  <c r="DO42" i="196" s="1"/>
  <c r="DG43" i="196"/>
  <c r="BR110" i="196"/>
  <c r="BS109" i="196"/>
  <c r="G82" i="196"/>
  <c r="V110" i="248"/>
  <c r="B111" i="250"/>
  <c r="U111" i="248"/>
  <c r="EE43" i="196" l="1"/>
  <c r="EH43" i="196"/>
  <c r="DR42" i="196"/>
  <c r="EG43" i="196"/>
  <c r="DQ42" i="196"/>
  <c r="EF42" i="196"/>
  <c r="DP41" i="196"/>
  <c r="CY44" i="196"/>
  <c r="CX43" i="196"/>
  <c r="CZ44" i="196"/>
  <c r="CW44" i="196"/>
  <c r="DO43" i="196" s="1"/>
  <c r="DG44" i="196"/>
  <c r="BS110" i="196"/>
  <c r="BR111" i="196"/>
  <c r="G83" i="196"/>
  <c r="V111" i="248"/>
  <c r="B112" i="250"/>
  <c r="B113" i="250" s="1"/>
  <c r="U112" i="248"/>
  <c r="EE44" i="196" l="1"/>
  <c r="EH44" i="196"/>
  <c r="DR43" i="196"/>
  <c r="EG44" i="196"/>
  <c r="DQ43" i="196"/>
  <c r="EF43" i="196"/>
  <c r="DP42" i="196"/>
  <c r="CZ45" i="196"/>
  <c r="CX44" i="196"/>
  <c r="CW45" i="196"/>
  <c r="DG45" i="196"/>
  <c r="BS111" i="196"/>
  <c r="BR112" i="196"/>
  <c r="G84" i="196"/>
  <c r="V112" i="248"/>
  <c r="U113" i="248"/>
  <c r="EE45" i="196" l="1"/>
  <c r="DO44" i="196"/>
  <c r="EH45" i="196"/>
  <c r="DR44" i="196"/>
  <c r="EF44" i="196"/>
  <c r="DP43" i="196"/>
  <c r="CX45" i="196"/>
  <c r="CZ46" i="196"/>
  <c r="CW46" i="196"/>
  <c r="EE46" i="196" s="1"/>
  <c r="DG46" i="196"/>
  <c r="BR113" i="196"/>
  <c r="BS112" i="196"/>
  <c r="G85" i="196"/>
  <c r="V113" i="248"/>
  <c r="B114" i="250"/>
  <c r="U114" i="248"/>
  <c r="DO45" i="196" l="1"/>
  <c r="EH46" i="196"/>
  <c r="DR45" i="196"/>
  <c r="EF45" i="196"/>
  <c r="DP44" i="196"/>
  <c r="CZ47" i="196"/>
  <c r="CW47" i="196"/>
  <c r="DG47" i="196"/>
  <c r="BR114" i="196"/>
  <c r="BS113" i="196"/>
  <c r="G86" i="196"/>
  <c r="V114" i="248"/>
  <c r="B115" i="250"/>
  <c r="U115" i="248"/>
  <c r="CW48" i="196" l="1"/>
  <c r="EH47" i="196"/>
  <c r="DR46" i="196"/>
  <c r="CZ48" i="196"/>
  <c r="DG48" i="196"/>
  <c r="BR115" i="196"/>
  <c r="BS114" i="196"/>
  <c r="G87" i="196"/>
  <c r="V115" i="248"/>
  <c r="B116" i="250"/>
  <c r="U116" i="248"/>
  <c r="CW49" i="196" l="1"/>
  <c r="EH48" i="196"/>
  <c r="DR47" i="196"/>
  <c r="CZ49" i="196"/>
  <c r="DG49" i="196"/>
  <c r="BR116" i="196"/>
  <c r="BS115" i="196"/>
  <c r="G88" i="196"/>
  <c r="V116" i="248"/>
  <c r="B117" i="250"/>
  <c r="U117" i="248"/>
  <c r="CW50" i="196" l="1"/>
  <c r="EH49" i="196"/>
  <c r="DR48" i="196"/>
  <c r="CZ50" i="196"/>
  <c r="DG50" i="196"/>
  <c r="BR117" i="196"/>
  <c r="BS116" i="196"/>
  <c r="G89" i="196"/>
  <c r="V117" i="248"/>
  <c r="B118" i="250"/>
  <c r="U118" i="248"/>
  <c r="CW51" i="196" l="1"/>
  <c r="EH50" i="196"/>
  <c r="DR49" i="196"/>
  <c r="CZ51" i="196"/>
  <c r="DG51" i="196"/>
  <c r="BR118" i="196"/>
  <c r="BS117" i="196"/>
  <c r="G90" i="196"/>
  <c r="V118" i="248"/>
  <c r="B119" i="250"/>
  <c r="U119" i="248"/>
  <c r="CW52" i="196" l="1"/>
  <c r="EH51" i="196"/>
  <c r="DR50" i="196"/>
  <c r="CZ52" i="196"/>
  <c r="DG52" i="196"/>
  <c r="BR119" i="196"/>
  <c r="BS118" i="196"/>
  <c r="G91" i="196"/>
  <c r="V119" i="248"/>
  <c r="B120" i="250"/>
  <c r="U120" i="248"/>
  <c r="DG53" i="196" l="1"/>
  <c r="CW53" i="196"/>
  <c r="EH52" i="196"/>
  <c r="DR51" i="196"/>
  <c r="CZ53" i="196"/>
  <c r="BS119" i="196"/>
  <c r="BR120" i="196"/>
  <c r="G92" i="196"/>
  <c r="V120" i="248"/>
  <c r="B121" i="250"/>
  <c r="U121" i="248"/>
  <c r="CW54" i="196" l="1"/>
  <c r="DG54" i="196"/>
  <c r="EH53" i="196"/>
  <c r="DR52" i="196"/>
  <c r="CZ54" i="196"/>
  <c r="BS120" i="196"/>
  <c r="BR121" i="196"/>
  <c r="G93" i="196"/>
  <c r="V121" i="248"/>
  <c r="B122" i="250"/>
  <c r="U123" i="248" s="1"/>
  <c r="U122" i="248"/>
  <c r="DG55" i="196" l="1"/>
  <c r="CW55" i="196"/>
  <c r="EH54" i="196"/>
  <c r="DR53" i="196"/>
  <c r="CZ55" i="196"/>
  <c r="BR122" i="196"/>
  <c r="BS121" i="196"/>
  <c r="BR123" i="196"/>
  <c r="G94" i="196"/>
  <c r="V123" i="248"/>
  <c r="V122" i="248"/>
  <c r="CW56" i="196" l="1"/>
  <c r="DG56" i="196"/>
  <c r="EH55" i="196"/>
  <c r="DR54" i="196"/>
  <c r="CZ56" i="196"/>
  <c r="BS122" i="196"/>
  <c r="BS123" i="196"/>
  <c r="G95" i="196"/>
  <c r="CW57" i="196" l="1"/>
  <c r="DG57" i="196"/>
  <c r="EH56" i="196"/>
  <c r="DR55" i="196"/>
  <c r="CZ57" i="196"/>
  <c r="G96" i="196"/>
  <c r="CW58" i="196" l="1"/>
  <c r="DG58" i="196"/>
  <c r="EH57" i="196"/>
  <c r="DR56" i="196"/>
  <c r="CZ58" i="196"/>
  <c r="G97" i="196"/>
  <c r="DG59" i="196" l="1"/>
  <c r="CW59" i="196"/>
  <c r="EH58" i="196"/>
  <c r="DR57" i="196"/>
  <c r="CZ59" i="196"/>
  <c r="G98" i="196"/>
  <c r="DG60" i="196" l="1"/>
  <c r="CW60" i="196"/>
  <c r="EH59" i="196"/>
  <c r="DR58" i="196"/>
  <c r="CZ60" i="196"/>
  <c r="EH60" i="196" s="1"/>
  <c r="G99" i="196"/>
  <c r="DG61" i="196" l="1"/>
  <c r="CW61" i="196"/>
  <c r="DR59" i="196"/>
  <c r="CZ61" i="196"/>
  <c r="G100" i="196"/>
  <c r="CW62" i="196" l="1"/>
  <c r="DG62" i="196"/>
  <c r="CZ62" i="196"/>
  <c r="G101" i="196"/>
  <c r="DG63" i="196" l="1"/>
  <c r="CW63" i="196"/>
  <c r="CZ63" i="196"/>
  <c r="G102" i="196"/>
  <c r="CW64" i="196" l="1"/>
  <c r="DG64" i="196"/>
  <c r="CZ64" i="196"/>
  <c r="G103" i="196"/>
  <c r="DG65" i="196" l="1"/>
  <c r="CW65" i="196"/>
  <c r="CZ65" i="196"/>
  <c r="G104" i="196"/>
  <c r="CW66" i="196" l="1"/>
  <c r="DG66" i="196"/>
  <c r="CZ66" i="196"/>
  <c r="G105" i="196"/>
  <c r="CW67" i="196" l="1"/>
  <c r="DG67" i="196"/>
  <c r="CZ67" i="196"/>
  <c r="G106" i="196"/>
  <c r="R11" i="248"/>
  <c r="AN77" i="196"/>
  <c r="AN78" i="196" s="1"/>
  <c r="AN79" i="196" s="1"/>
  <c r="AN80" i="196" s="1"/>
  <c r="AN81" i="196" s="1"/>
  <c r="AN82" i="196" s="1"/>
  <c r="AN83" i="196" s="1"/>
  <c r="AN84" i="196" s="1"/>
  <c r="AN85" i="196" s="1"/>
  <c r="AN86" i="196" s="1"/>
  <c r="AN87" i="196" s="1"/>
  <c r="AN88" i="196" s="1"/>
  <c r="AN89" i="196" s="1"/>
  <c r="AN90" i="196" s="1"/>
  <c r="AN91" i="196" s="1"/>
  <c r="AN92" i="196" s="1"/>
  <c r="AN93" i="196" s="1"/>
  <c r="AN94" i="196" s="1"/>
  <c r="AX77" i="196"/>
  <c r="AX78" i="196" s="1"/>
  <c r="AX79" i="196" s="1"/>
  <c r="AX80" i="196" s="1"/>
  <c r="AX81" i="196" s="1"/>
  <c r="AX82" i="196" s="1"/>
  <c r="AX83" i="196" s="1"/>
  <c r="AX84" i="196" s="1"/>
  <c r="AX85" i="196" s="1"/>
  <c r="AX86" i="196" s="1"/>
  <c r="AX87" i="196" s="1"/>
  <c r="AX88" i="196" s="1"/>
  <c r="AX89" i="196" s="1"/>
  <c r="AX90" i="196" s="1"/>
  <c r="AX91" i="196" s="1"/>
  <c r="AX92" i="196" s="1"/>
  <c r="AX93" i="196" s="1"/>
  <c r="AX94" i="196" s="1"/>
  <c r="AX95" i="196" s="1"/>
  <c r="AX96" i="196" s="1"/>
  <c r="AX97" i="196" s="1"/>
  <c r="AX98" i="196" s="1"/>
  <c r="AX99" i="196" s="1"/>
  <c r="AX100" i="196" s="1"/>
  <c r="AX101" i="196" s="1"/>
  <c r="AX102" i="196" s="1"/>
  <c r="AX103" i="196" s="1"/>
  <c r="AX104" i="196" s="1"/>
  <c r="AX105" i="196" s="1"/>
  <c r="AX106" i="196" s="1"/>
  <c r="AX107" i="196" s="1"/>
  <c r="AX108" i="196" s="1"/>
  <c r="AX109" i="196" s="1"/>
  <c r="AX110" i="196" s="1"/>
  <c r="AX111" i="196" s="1"/>
  <c r="AX112" i="196" s="1"/>
  <c r="AX113" i="196" s="1"/>
  <c r="AX114" i="196" s="1"/>
  <c r="AX115" i="196" s="1"/>
  <c r="AX116" i="196" s="1"/>
  <c r="AX117" i="196" s="1"/>
  <c r="AX118" i="196" s="1"/>
  <c r="AX119" i="196" s="1"/>
  <c r="AX120" i="196" s="1"/>
  <c r="AX121" i="196" s="1"/>
  <c r="AX122" i="196" s="1"/>
  <c r="AX123" i="196" s="1"/>
  <c r="BB64" i="196"/>
  <c r="BB65" i="196" s="1"/>
  <c r="BB66" i="196" s="1"/>
  <c r="BB67" i="196" s="1"/>
  <c r="BB68" i="196" s="1"/>
  <c r="BB69" i="196" s="1"/>
  <c r="BB70" i="196" s="1"/>
  <c r="BB71" i="196" s="1"/>
  <c r="BB72" i="196" s="1"/>
  <c r="BB73" i="196" s="1"/>
  <c r="BB74" i="196" s="1"/>
  <c r="BB75" i="196" s="1"/>
  <c r="BB76" i="196" s="1"/>
  <c r="BB77" i="196" s="1"/>
  <c r="BB78" i="196" s="1"/>
  <c r="BB79" i="196" s="1"/>
  <c r="BB80" i="196" s="1"/>
  <c r="BB81" i="196" s="1"/>
  <c r="BB82" i="196" s="1"/>
  <c r="BB83" i="196" s="1"/>
  <c r="BB84" i="196" s="1"/>
  <c r="BB85" i="196" s="1"/>
  <c r="BB86" i="196" s="1"/>
  <c r="BB87" i="196" s="1"/>
  <c r="BB88" i="196" s="1"/>
  <c r="BB89" i="196" s="1"/>
  <c r="BB90" i="196" s="1"/>
  <c r="BB91" i="196" s="1"/>
  <c r="BB92" i="196" s="1"/>
  <c r="BB93" i="196" s="1"/>
  <c r="BB94" i="196" s="1"/>
  <c r="BB95" i="196" s="1"/>
  <c r="BB96" i="196" s="1"/>
  <c r="BB97" i="196" s="1"/>
  <c r="BB98" i="196" s="1"/>
  <c r="BB99" i="196" s="1"/>
  <c r="BB100" i="196" s="1"/>
  <c r="BB101" i="196" s="1"/>
  <c r="BB102" i="196" s="1"/>
  <c r="BB103" i="196" s="1"/>
  <c r="BB104" i="196" s="1"/>
  <c r="BB105" i="196" s="1"/>
  <c r="BB106" i="196" s="1"/>
  <c r="BB107" i="196" s="1"/>
  <c r="BB108" i="196" s="1"/>
  <c r="BB109" i="196" s="1"/>
  <c r="BB110" i="196" s="1"/>
  <c r="BB111" i="196" s="1"/>
  <c r="BB112" i="196" s="1"/>
  <c r="BB113" i="196" s="1"/>
  <c r="BB114" i="196" s="1"/>
  <c r="BB115" i="196" s="1"/>
  <c r="BB116" i="196" s="1"/>
  <c r="BB117" i="196" s="1"/>
  <c r="BB118" i="196" s="1"/>
  <c r="BB119" i="196" s="1"/>
  <c r="BB120" i="196" s="1"/>
  <c r="BB121" i="196" s="1"/>
  <c r="BB122" i="196" s="1"/>
  <c r="BB123" i="196" s="1"/>
  <c r="BB63" i="196"/>
  <c r="BB62" i="196"/>
  <c r="BB61" i="196"/>
  <c r="BB60" i="196"/>
  <c r="BB59" i="196"/>
  <c r="BB58" i="196"/>
  <c r="BB57" i="196"/>
  <c r="BB56" i="196"/>
  <c r="BB55" i="196"/>
  <c r="BB54" i="196"/>
  <c r="BB53" i="196"/>
  <c r="BB52" i="196"/>
  <c r="BB51" i="196"/>
  <c r="BB50" i="196"/>
  <c r="BB49" i="196"/>
  <c r="BB48" i="196"/>
  <c r="BB47" i="196"/>
  <c r="BB46" i="196"/>
  <c r="BB45" i="196"/>
  <c r="BB44" i="196"/>
  <c r="BB43" i="196"/>
  <c r="BB42" i="196"/>
  <c r="BB41" i="196"/>
  <c r="BB40" i="196"/>
  <c r="BB39" i="196"/>
  <c r="DG68" i="196" l="1"/>
  <c r="CW68" i="196"/>
  <c r="CZ68" i="196"/>
  <c r="G107" i="196"/>
  <c r="R4" i="248"/>
  <c r="R15" i="248"/>
  <c r="R19" i="248"/>
  <c r="R5" i="248"/>
  <c r="R7" i="248"/>
  <c r="R21" i="248"/>
  <c r="R18" i="248"/>
  <c r="R13" i="248"/>
  <c r="R10" i="248"/>
  <c r="R14" i="248"/>
  <c r="R20" i="248"/>
  <c r="R17" i="248"/>
  <c r="R6" i="248"/>
  <c r="R22" i="248"/>
  <c r="R16" i="248"/>
  <c r="R3" i="248"/>
  <c r="R8" i="248"/>
  <c r="R12" i="248"/>
  <c r="R9" i="248"/>
  <c r="BG12" i="196"/>
  <c r="BL12" i="196" s="1"/>
  <c r="BG10" i="196"/>
  <c r="BL10" i="196" s="1"/>
  <c r="CW69" i="196" l="1"/>
  <c r="DG69" i="196"/>
  <c r="CZ69" i="196"/>
  <c r="G108" i="196"/>
  <c r="BG9" i="196"/>
  <c r="BL9" i="196" s="1"/>
  <c r="BG13" i="196"/>
  <c r="BL13" i="196" s="1"/>
  <c r="DG70" i="196" l="1"/>
  <c r="CW70" i="196"/>
  <c r="CZ70" i="196"/>
  <c r="G109" i="196"/>
  <c r="BM10" i="196"/>
  <c r="BM11" i="196"/>
  <c r="BG8" i="196"/>
  <c r="BL8" i="196" s="1"/>
  <c r="BG14" i="196"/>
  <c r="CW71" i="196" l="1"/>
  <c r="DG71" i="196"/>
  <c r="CZ71" i="196"/>
  <c r="G110" i="196"/>
  <c r="BM9" i="196"/>
  <c r="BM12" i="196"/>
  <c r="BG15" i="196"/>
  <c r="BG7" i="196"/>
  <c r="BL7" i="196" s="1"/>
  <c r="DG72" i="196" l="1"/>
  <c r="CW72" i="196"/>
  <c r="CZ72" i="196"/>
  <c r="G111" i="196"/>
  <c r="BM8" i="196"/>
  <c r="R33" i="248"/>
  <c r="R32" i="248"/>
  <c r="BG6" i="196"/>
  <c r="BL6" i="196" s="1"/>
  <c r="BG16" i="196"/>
  <c r="CW73" i="196" l="1"/>
  <c r="DG73" i="196"/>
  <c r="CZ73" i="196"/>
  <c r="G112" i="196"/>
  <c r="BM7" i="196"/>
  <c r="R34" i="248"/>
  <c r="R31" i="248"/>
  <c r="BG5" i="196"/>
  <c r="BL5" i="196" s="1"/>
  <c r="BG17" i="196"/>
  <c r="DG74" i="196" l="1"/>
  <c r="CW74" i="196"/>
  <c r="CZ74" i="196"/>
  <c r="G113" i="196"/>
  <c r="BM6" i="196"/>
  <c r="R30" i="248"/>
  <c r="R35" i="248"/>
  <c r="BG4" i="196"/>
  <c r="BG3" i="196" s="1"/>
  <c r="BL3" i="196" s="1"/>
  <c r="BG18" i="196"/>
  <c r="CW75" i="196" l="1"/>
  <c r="DG75" i="196"/>
  <c r="CZ75" i="196"/>
  <c r="BL4" i="196"/>
  <c r="G114" i="196"/>
  <c r="BM5" i="196"/>
  <c r="R36" i="248"/>
  <c r="R29" i="248"/>
  <c r="BG19" i="196"/>
  <c r="DG76" i="196" l="1"/>
  <c r="CW76" i="196"/>
  <c r="CZ76" i="196"/>
  <c r="BM4" i="196"/>
  <c r="G115" i="196"/>
  <c r="BM3" i="196"/>
  <c r="R28" i="248"/>
  <c r="BG20" i="196"/>
  <c r="CW77" i="196" l="1"/>
  <c r="DG77" i="196"/>
  <c r="CZ77" i="196"/>
  <c r="G116" i="196"/>
  <c r="R27" i="248"/>
  <c r="BG21" i="196"/>
  <c r="DG78" i="196" l="1"/>
  <c r="CW78" i="196"/>
  <c r="CZ78" i="196"/>
  <c r="G117" i="196"/>
  <c r="R26" i="248"/>
  <c r="BG22" i="196"/>
  <c r="DG79" i="196" l="1"/>
  <c r="CW79" i="196"/>
  <c r="CZ79" i="196"/>
  <c r="G118" i="196"/>
  <c r="R24" i="248"/>
  <c r="R25" i="248"/>
  <c r="R23" i="248"/>
  <c r="BG23" i="196"/>
  <c r="DG80" i="196" l="1"/>
  <c r="CW80" i="196"/>
  <c r="CZ80" i="196"/>
  <c r="G119" i="196"/>
  <c r="BG24" i="196"/>
  <c r="CW81" i="196" l="1"/>
  <c r="DG81" i="196"/>
  <c r="CZ81" i="196"/>
  <c r="G120" i="196"/>
  <c r="BG25" i="196"/>
  <c r="CW82" i="196" l="1"/>
  <c r="DG82" i="196"/>
  <c r="CZ82" i="196"/>
  <c r="G121" i="196"/>
  <c r="BG26" i="196"/>
  <c r="CW83" i="196" l="1"/>
  <c r="DG83" i="196"/>
  <c r="CZ83" i="196"/>
  <c r="G122" i="196"/>
  <c r="BG27" i="196"/>
  <c r="DG84" i="196" l="1"/>
  <c r="CW84" i="196"/>
  <c r="CZ84" i="196"/>
  <c r="G123" i="196"/>
  <c r="BG28" i="196"/>
  <c r="CW85" i="196" l="1"/>
  <c r="DG85" i="196"/>
  <c r="CZ85" i="196"/>
  <c r="BG29" i="196"/>
  <c r="DG86" i="196" l="1"/>
  <c r="CW86" i="196"/>
  <c r="CZ86" i="196"/>
  <c r="BG30" i="196"/>
  <c r="CW87" i="196" l="1"/>
  <c r="DG87" i="196"/>
  <c r="CZ87" i="196"/>
  <c r="BG31" i="196"/>
  <c r="DG88" i="196" l="1"/>
  <c r="CW88" i="196"/>
  <c r="CZ88" i="196"/>
  <c r="BG32" i="196"/>
  <c r="DG89" i="196" l="1"/>
  <c r="CW89" i="196"/>
  <c r="CZ89" i="196"/>
  <c r="BG33" i="196"/>
  <c r="CW90" i="196" l="1"/>
  <c r="DG90" i="196"/>
  <c r="CZ90" i="196"/>
  <c r="BG34" i="196"/>
  <c r="DG91" i="196" l="1"/>
  <c r="CW91" i="196"/>
  <c r="CZ91" i="196"/>
  <c r="BG35" i="196"/>
  <c r="CW92" i="196" l="1"/>
  <c r="DG92" i="196"/>
  <c r="CZ92" i="196"/>
  <c r="BG36" i="196"/>
  <c r="CW93" i="196" l="1"/>
  <c r="DG93" i="196"/>
  <c r="CZ93" i="196"/>
  <c r="BG37" i="196"/>
  <c r="DG94" i="196" l="1"/>
  <c r="CW94" i="196"/>
  <c r="CZ94" i="196"/>
  <c r="BG38" i="196"/>
  <c r="DG95" i="196" l="1"/>
  <c r="CW95" i="196"/>
  <c r="CZ95" i="196"/>
  <c r="BG39" i="196"/>
  <c r="CW96" i="196" l="1"/>
  <c r="DG96" i="196"/>
  <c r="CZ96" i="196"/>
  <c r="BG40" i="196"/>
  <c r="DG97" i="196" l="1"/>
  <c r="CW97" i="196"/>
  <c r="CZ97" i="196"/>
  <c r="BG41" i="196"/>
  <c r="CW98" i="196" l="1"/>
  <c r="DG98" i="196"/>
  <c r="CZ98" i="196"/>
  <c r="BG42" i="196"/>
  <c r="DG99" i="196" l="1"/>
  <c r="CW99" i="196"/>
  <c r="CZ99" i="196"/>
  <c r="BG43" i="196"/>
  <c r="CW100" i="196" l="1"/>
  <c r="DG100" i="196"/>
  <c r="CZ100" i="196"/>
  <c r="BG44" i="196"/>
  <c r="DG101" i="196" l="1"/>
  <c r="CW101" i="196"/>
  <c r="CZ101" i="196"/>
  <c r="BG45" i="196"/>
  <c r="CW102" i="196" l="1"/>
  <c r="DG102" i="196"/>
  <c r="CZ102" i="196"/>
  <c r="BG46" i="196"/>
  <c r="DG103" i="196" l="1"/>
  <c r="CW103" i="196"/>
  <c r="CZ103" i="196"/>
  <c r="BG47" i="196"/>
  <c r="CW104" i="196" l="1"/>
  <c r="DG104" i="196"/>
  <c r="CZ104" i="196"/>
  <c r="BG48" i="196"/>
  <c r="DG105" i="196" l="1"/>
  <c r="CW105" i="196"/>
  <c r="CZ105" i="196"/>
  <c r="BG49" i="196"/>
  <c r="DG106" i="196" l="1"/>
  <c r="CW106" i="196"/>
  <c r="CZ106" i="196"/>
  <c r="BG50" i="196"/>
  <c r="DG107" i="196" l="1"/>
  <c r="CW107" i="196"/>
  <c r="CZ107" i="196"/>
  <c r="BG51" i="196"/>
  <c r="DG108" i="196" l="1"/>
  <c r="CW108" i="196"/>
  <c r="CZ108" i="196"/>
  <c r="BG52" i="196"/>
  <c r="CW109" i="196" l="1"/>
  <c r="DG109" i="196"/>
  <c r="CZ109" i="196"/>
  <c r="BG53" i="196"/>
  <c r="CW110" i="196" l="1"/>
  <c r="DG110" i="196"/>
  <c r="CZ110" i="196"/>
  <c r="BG54" i="196"/>
  <c r="CW111" i="196" l="1"/>
  <c r="DG111" i="196"/>
  <c r="CZ111" i="196"/>
  <c r="BG55" i="196"/>
  <c r="CW112" i="196" l="1"/>
  <c r="DG112" i="196"/>
  <c r="CZ112" i="196"/>
  <c r="BG56" i="196"/>
  <c r="CW113" i="196" l="1"/>
  <c r="DG113" i="196"/>
  <c r="CZ113" i="196"/>
  <c r="BG57" i="196"/>
  <c r="DG114" i="196" l="1"/>
  <c r="CW114" i="196"/>
  <c r="CZ114" i="196"/>
  <c r="BG58" i="196"/>
  <c r="DG115" i="196" l="1"/>
  <c r="CW115" i="196"/>
  <c r="CZ115" i="196"/>
  <c r="BG59" i="196"/>
  <c r="CW116" i="196" l="1"/>
  <c r="DG116" i="196"/>
  <c r="CZ116" i="196"/>
  <c r="BG60" i="196"/>
  <c r="CW117" i="196" l="1"/>
  <c r="DG117" i="196"/>
  <c r="CZ117" i="196"/>
  <c r="BG61" i="196"/>
  <c r="DG118" i="196" l="1"/>
  <c r="CW118" i="196"/>
  <c r="CZ118" i="196"/>
  <c r="BG62" i="196"/>
  <c r="DG119" i="196" l="1"/>
  <c r="CW119" i="196"/>
  <c r="CZ119" i="196"/>
  <c r="BG63" i="196"/>
  <c r="CW120" i="196" l="1"/>
  <c r="DG120" i="196"/>
  <c r="CZ120" i="196"/>
  <c r="BG64" i="196"/>
  <c r="CW121" i="196" l="1"/>
  <c r="DG121" i="196"/>
  <c r="CZ121" i="196"/>
  <c r="BG65" i="196"/>
  <c r="DG122" i="196" l="1"/>
  <c r="CW122" i="196"/>
  <c r="CZ122" i="196"/>
  <c r="BG66" i="196"/>
  <c r="DG123" i="196" l="1"/>
  <c r="CW123" i="196"/>
  <c r="CZ123" i="196"/>
  <c r="BG67" i="196"/>
  <c r="BG68" i="196" l="1"/>
  <c r="BG69" i="196" l="1"/>
  <c r="BG70" i="196" l="1"/>
  <c r="BG71" i="196" l="1"/>
  <c r="BG72" i="196" l="1"/>
  <c r="BG73" i="196" l="1"/>
  <c r="BG74" i="196" l="1"/>
  <c r="BG75" i="196" l="1"/>
  <c r="BG76" i="196" l="1"/>
  <c r="BG77" i="196" l="1"/>
  <c r="BG78" i="196" l="1"/>
  <c r="BG79" i="196" l="1"/>
  <c r="BG80" i="196" l="1"/>
  <c r="BG81" i="196" l="1"/>
  <c r="BG82" i="196" l="1"/>
  <c r="BG83" i="196" l="1"/>
  <c r="BG84" i="196" l="1"/>
  <c r="BG85" i="196" l="1"/>
  <c r="BG86" i="196" l="1"/>
  <c r="BG87" i="196" l="1"/>
  <c r="BG88" i="196" l="1"/>
  <c r="BG89" i="196" l="1"/>
  <c r="BG90" i="196" l="1"/>
  <c r="BG91" i="196" l="1"/>
  <c r="BG92" i="196" s="1"/>
  <c r="BG93" i="196" l="1"/>
  <c r="BG94" i="196" l="1"/>
  <c r="DK95" i="196" l="1"/>
  <c r="BI94" i="196"/>
  <c r="BI93" i="196"/>
  <c r="BL93" i="196" s="1"/>
  <c r="BI92" i="196"/>
  <c r="BL92" i="196" s="1"/>
  <c r="BI91" i="196"/>
  <c r="BL91" i="196" s="1"/>
  <c r="BI90" i="196"/>
  <c r="BL90" i="196" s="1"/>
  <c r="BI89" i="196"/>
  <c r="BL89" i="196" s="1"/>
  <c r="BI88" i="196"/>
  <c r="BL88" i="196" s="1"/>
  <c r="BI87" i="196"/>
  <c r="BL87" i="196" s="1"/>
  <c r="BI86" i="196"/>
  <c r="BL86" i="196" s="1"/>
  <c r="BI85" i="196"/>
  <c r="BL85" i="196" s="1"/>
  <c r="BI84" i="196"/>
  <c r="BL84" i="196" s="1"/>
  <c r="BI83" i="196"/>
  <c r="BL83" i="196" s="1"/>
  <c r="BI82" i="196"/>
  <c r="BL82" i="196" s="1"/>
  <c r="BI81" i="196"/>
  <c r="BL81" i="196" s="1"/>
  <c r="BI80" i="196"/>
  <c r="BL80" i="196" s="1"/>
  <c r="BI79" i="196"/>
  <c r="BL79" i="196" s="1"/>
  <c r="BI78" i="196"/>
  <c r="BL78" i="196" s="1"/>
  <c r="BI77" i="196"/>
  <c r="BL77" i="196" s="1"/>
  <c r="BI76" i="196"/>
  <c r="BL76" i="196" s="1"/>
  <c r="BI75" i="196"/>
  <c r="BL75" i="196" s="1"/>
  <c r="BI74" i="196"/>
  <c r="BL74" i="196" s="1"/>
  <c r="BI73" i="196"/>
  <c r="BL73" i="196" s="1"/>
  <c r="BI72" i="196"/>
  <c r="BL72" i="196" s="1"/>
  <c r="BI71" i="196"/>
  <c r="BL71" i="196" s="1"/>
  <c r="BI70" i="196"/>
  <c r="BL70" i="196" s="1"/>
  <c r="BI69" i="196"/>
  <c r="BL69" i="196" s="1"/>
  <c r="BI68" i="196"/>
  <c r="BL68" i="196" s="1"/>
  <c r="BI67" i="196"/>
  <c r="BL67" i="196" s="1"/>
  <c r="BI66" i="196"/>
  <c r="BL66" i="196" s="1"/>
  <c r="BI65" i="196"/>
  <c r="BL65" i="196" s="1"/>
  <c r="BI64" i="196"/>
  <c r="BL64" i="196" s="1"/>
  <c r="BI63" i="196"/>
  <c r="BL63" i="196" s="1"/>
  <c r="BI62" i="196"/>
  <c r="BL62" i="196" s="1"/>
  <c r="BI61" i="196"/>
  <c r="BL61" i="196" s="1"/>
  <c r="BI60" i="196"/>
  <c r="BL60" i="196" s="1"/>
  <c r="BI59" i="196"/>
  <c r="BL59" i="196" s="1"/>
  <c r="BI58" i="196"/>
  <c r="BL58" i="196" s="1"/>
  <c r="BI57" i="196"/>
  <c r="BL57" i="196" s="1"/>
  <c r="BI56" i="196"/>
  <c r="BL56" i="196" s="1"/>
  <c r="BI55" i="196"/>
  <c r="BL55" i="196" s="1"/>
  <c r="BI54" i="196"/>
  <c r="BL54" i="196" s="1"/>
  <c r="BI53" i="196"/>
  <c r="BL53" i="196" s="1"/>
  <c r="BI52" i="196"/>
  <c r="BL52" i="196" s="1"/>
  <c r="BI51" i="196"/>
  <c r="BL51" i="196" s="1"/>
  <c r="BI50" i="196"/>
  <c r="BL50" i="196" s="1"/>
  <c r="BI49" i="196"/>
  <c r="BL49" i="196" s="1"/>
  <c r="BI48" i="196"/>
  <c r="BL48" i="196" s="1"/>
  <c r="BI47" i="196"/>
  <c r="BL47" i="196" s="1"/>
  <c r="BI46" i="196"/>
  <c r="BL46" i="196" s="1"/>
  <c r="BI45" i="196"/>
  <c r="BL45" i="196" s="1"/>
  <c r="BI44" i="196"/>
  <c r="BL44" i="196" s="1"/>
  <c r="BI43" i="196"/>
  <c r="BL43" i="196" s="1"/>
  <c r="BI42" i="196"/>
  <c r="BL42" i="196" s="1"/>
  <c r="BI41" i="196"/>
  <c r="BL41" i="196" s="1"/>
  <c r="BI40" i="196"/>
  <c r="BL40" i="196" s="1"/>
  <c r="BI39" i="196"/>
  <c r="BL39" i="196" s="1"/>
  <c r="BI38" i="196"/>
  <c r="BL38" i="196" s="1"/>
  <c r="BI37" i="196"/>
  <c r="BL37" i="196" s="1"/>
  <c r="BI36" i="196"/>
  <c r="BL36" i="196" s="1"/>
  <c r="BI35" i="196"/>
  <c r="BL35" i="196" s="1"/>
  <c r="BI34" i="196"/>
  <c r="BL34" i="196" s="1"/>
  <c r="BI33" i="196"/>
  <c r="BL33" i="196" s="1"/>
  <c r="BI32" i="196"/>
  <c r="BL32" i="196" s="1"/>
  <c r="BI31" i="196"/>
  <c r="BL31" i="196" s="1"/>
  <c r="BI30" i="196"/>
  <c r="BL30" i="196" s="1"/>
  <c r="BI29" i="196"/>
  <c r="BL29" i="196" s="1"/>
  <c r="BI28" i="196"/>
  <c r="BL28" i="196" s="1"/>
  <c r="BI27" i="196"/>
  <c r="BL27" i="196" s="1"/>
  <c r="BI26" i="196"/>
  <c r="BL26" i="196" s="1"/>
  <c r="BI25" i="196"/>
  <c r="BL25" i="196" s="1"/>
  <c r="BI24" i="196"/>
  <c r="BL24" i="196" s="1"/>
  <c r="BI23" i="196"/>
  <c r="BL23" i="196" s="1"/>
  <c r="BI22" i="196"/>
  <c r="BL22" i="196" s="1"/>
  <c r="BI21" i="196"/>
  <c r="BL21" i="196" s="1"/>
  <c r="BI20" i="196"/>
  <c r="BL20" i="196" s="1"/>
  <c r="BI19" i="196"/>
  <c r="BL19" i="196" s="1"/>
  <c r="BI18" i="196"/>
  <c r="BL18" i="196" s="1"/>
  <c r="BI17" i="196"/>
  <c r="BL17" i="196" s="1"/>
  <c r="BI16" i="196"/>
  <c r="BL16" i="196" s="1"/>
  <c r="BI15" i="196"/>
  <c r="BL15" i="196" s="1"/>
  <c r="BI14" i="196"/>
  <c r="BL14" i="196" s="1"/>
  <c r="BL94" i="196" l="1"/>
  <c r="AJ95" i="196"/>
  <c r="AJ96" i="196" s="1"/>
  <c r="AJ97" i="196" s="1"/>
  <c r="AJ98" i="196" s="1"/>
  <c r="AJ99" i="196" s="1"/>
  <c r="AJ100" i="196" s="1"/>
  <c r="AJ101" i="196" s="1"/>
  <c r="AJ102" i="196" s="1"/>
  <c r="AJ103" i="196" s="1"/>
  <c r="AJ104" i="196" s="1"/>
  <c r="AJ105" i="196" s="1"/>
  <c r="AJ106" i="196" s="1"/>
  <c r="AJ107" i="196" s="1"/>
  <c r="AJ108" i="196" s="1"/>
  <c r="AJ109" i="196" s="1"/>
  <c r="AJ110" i="196" s="1"/>
  <c r="AJ111" i="196" s="1"/>
  <c r="AJ112" i="196" s="1"/>
  <c r="AJ113" i="196" s="1"/>
  <c r="AJ114" i="196" s="1"/>
  <c r="AJ115" i="196" s="1"/>
  <c r="AJ116" i="196" s="1"/>
  <c r="AJ117" i="196" s="1"/>
  <c r="AJ118" i="196" s="1"/>
  <c r="AJ119" i="196" s="1"/>
  <c r="AJ120" i="196" s="1"/>
  <c r="AJ121" i="196" s="1"/>
  <c r="AJ122" i="196" s="1"/>
  <c r="AJ123" i="196" s="1"/>
  <c r="DK96" i="196"/>
  <c r="AK95" i="196" l="1"/>
  <c r="DK97" i="196"/>
  <c r="AN95" i="196"/>
  <c r="AO123" i="196"/>
  <c r="AM95" i="196"/>
  <c r="AL95" i="196"/>
  <c r="BG95" i="196" s="1"/>
  <c r="BM34" i="196"/>
  <c r="BM39" i="196"/>
  <c r="BM75" i="196"/>
  <c r="BM41" i="196"/>
  <c r="BM56" i="196"/>
  <c r="BM72" i="196"/>
  <c r="BM54" i="196"/>
  <c r="BM20" i="196"/>
  <c r="BM64" i="196"/>
  <c r="BM46" i="196"/>
  <c r="BM77" i="196"/>
  <c r="BM81" i="196"/>
  <c r="BM86" i="196"/>
  <c r="BM76" i="196"/>
  <c r="BM15" i="196"/>
  <c r="BM28" i="196"/>
  <c r="BM69" i="196"/>
  <c r="BM26" i="196"/>
  <c r="BM31" i="196"/>
  <c r="BM83" i="196"/>
  <c r="BM18" i="196"/>
  <c r="BM38" i="196"/>
  <c r="BM59" i="196"/>
  <c r="BM88" i="196"/>
  <c r="BM78" i="196"/>
  <c r="BM68" i="196"/>
  <c r="BM40" i="196"/>
  <c r="BM93" i="196"/>
  <c r="BM37" i="196"/>
  <c r="BM32" i="196"/>
  <c r="BM85" i="196"/>
  <c r="BM14" i="196"/>
  <c r="BM13" i="196"/>
  <c r="BM29" i="196"/>
  <c r="BM52" i="196"/>
  <c r="BM35" i="196"/>
  <c r="BM25" i="196"/>
  <c r="BM45" i="196"/>
  <c r="BM66" i="196"/>
  <c r="BM80" i="196"/>
  <c r="BM71" i="196"/>
  <c r="BM60" i="196"/>
  <c r="BM73" i="196"/>
  <c r="BM50" i="196"/>
  <c r="BM87" i="196"/>
  <c r="BM24" i="196"/>
  <c r="BM70" i="196"/>
  <c r="BM21" i="196"/>
  <c r="BM90" i="196"/>
  <c r="BM27" i="196"/>
  <c r="BM49" i="196"/>
  <c r="BM91" i="196"/>
  <c r="BM89" i="196"/>
  <c r="BM61" i="196"/>
  <c r="BM67" i="196"/>
  <c r="BM33" i="196"/>
  <c r="BM23" i="196"/>
  <c r="BM53" i="196"/>
  <c r="BM74" i="196"/>
  <c r="BM48" i="196"/>
  <c r="BM30" i="196"/>
  <c r="BM51" i="196"/>
  <c r="BM17" i="196"/>
  <c r="BM22" i="196"/>
  <c r="BM43" i="196"/>
  <c r="BM58" i="196"/>
  <c r="BM36" i="196"/>
  <c r="BM63" i="196"/>
  <c r="BM65" i="196"/>
  <c r="BM55" i="196"/>
  <c r="BM92" i="196"/>
  <c r="BM42" i="196"/>
  <c r="BM57" i="196"/>
  <c r="BM79" i="196"/>
  <c r="BM16" i="196"/>
  <c r="BM47" i="196"/>
  <c r="BM62" i="196"/>
  <c r="BM84" i="196"/>
  <c r="BM44" i="196"/>
  <c r="BM82" i="196"/>
  <c r="BM19" i="196"/>
  <c r="EA36" i="196" l="1"/>
  <c r="EQ37" i="196" s="1"/>
  <c r="DY36" i="196"/>
  <c r="EO37" i="196" s="1"/>
  <c r="EA73" i="196"/>
  <c r="DZ73" i="196"/>
  <c r="DY73" i="196"/>
  <c r="DO73" i="196"/>
  <c r="DR73" i="196"/>
  <c r="EA77" i="196"/>
  <c r="DZ77" i="196"/>
  <c r="DY77" i="196"/>
  <c r="DO77" i="196"/>
  <c r="DR77" i="196"/>
  <c r="EA79" i="196"/>
  <c r="DZ79" i="196"/>
  <c r="DY79" i="196"/>
  <c r="DO79" i="196"/>
  <c r="DR79" i="196"/>
  <c r="EA60" i="196"/>
  <c r="DZ60" i="196"/>
  <c r="DY60" i="196"/>
  <c r="DO60" i="196"/>
  <c r="DR60" i="196"/>
  <c r="EH61" i="196" s="1"/>
  <c r="EA68" i="196"/>
  <c r="DZ68" i="196"/>
  <c r="DY68" i="196"/>
  <c r="DO68" i="196"/>
  <c r="DR68" i="196"/>
  <c r="EA90" i="196"/>
  <c r="DZ90" i="196"/>
  <c r="DY90" i="196"/>
  <c r="DO90" i="196"/>
  <c r="DR90" i="196"/>
  <c r="EA80" i="196"/>
  <c r="DZ80" i="196"/>
  <c r="DY80" i="196"/>
  <c r="DO80" i="196"/>
  <c r="DR80" i="196"/>
  <c r="EA53" i="196"/>
  <c r="DZ53" i="196"/>
  <c r="DY53" i="196"/>
  <c r="DO53" i="196"/>
  <c r="EA78" i="196"/>
  <c r="DZ78" i="196"/>
  <c r="DY78" i="196"/>
  <c r="DO78" i="196"/>
  <c r="DR78" i="196"/>
  <c r="EA70" i="196"/>
  <c r="DZ70" i="196"/>
  <c r="DY70" i="196"/>
  <c r="DO70" i="196"/>
  <c r="DR70" i="196"/>
  <c r="EA74" i="196"/>
  <c r="DZ74" i="196"/>
  <c r="DY74" i="196"/>
  <c r="DO74" i="196"/>
  <c r="DR74" i="196"/>
  <c r="EA52" i="196"/>
  <c r="DZ52" i="196"/>
  <c r="DY52" i="196"/>
  <c r="DO52" i="196"/>
  <c r="EA40" i="196"/>
  <c r="DY40" i="196"/>
  <c r="EA39" i="196"/>
  <c r="DY39" i="196"/>
  <c r="EA43" i="196"/>
  <c r="DY43" i="196"/>
  <c r="EA82" i="196"/>
  <c r="DZ82" i="196"/>
  <c r="DY82" i="196"/>
  <c r="DO82" i="196"/>
  <c r="DR82" i="196"/>
  <c r="EA44" i="196"/>
  <c r="DY44" i="196"/>
  <c r="EA92" i="196"/>
  <c r="DZ92" i="196"/>
  <c r="DY92" i="196"/>
  <c r="DO92" i="196"/>
  <c r="DR92" i="196"/>
  <c r="EA66" i="196"/>
  <c r="DZ66" i="196"/>
  <c r="DY66" i="196"/>
  <c r="DO66" i="196"/>
  <c r="DR66" i="196"/>
  <c r="EA85" i="196"/>
  <c r="DZ85" i="196"/>
  <c r="DY85" i="196"/>
  <c r="DO85" i="196"/>
  <c r="DR85" i="196"/>
  <c r="EA59" i="196"/>
  <c r="DZ59" i="196"/>
  <c r="DY59" i="196"/>
  <c r="DO59" i="196"/>
  <c r="EA84" i="196"/>
  <c r="DZ84" i="196"/>
  <c r="DY84" i="196"/>
  <c r="DO84" i="196"/>
  <c r="DR84" i="196"/>
  <c r="EA55" i="196"/>
  <c r="DZ55" i="196"/>
  <c r="DY55" i="196"/>
  <c r="DO55" i="196"/>
  <c r="EA61" i="196"/>
  <c r="DZ61" i="196"/>
  <c r="DY61" i="196"/>
  <c r="DO61" i="196"/>
  <c r="DR61" i="196"/>
  <c r="EA45" i="196"/>
  <c r="DY45" i="196"/>
  <c r="EA76" i="196"/>
  <c r="DZ76" i="196"/>
  <c r="DY76" i="196"/>
  <c r="DO76" i="196"/>
  <c r="DR76" i="196"/>
  <c r="EA65" i="196"/>
  <c r="DZ65" i="196"/>
  <c r="DY65" i="196"/>
  <c r="DO65" i="196"/>
  <c r="DR65" i="196"/>
  <c r="EA87" i="196"/>
  <c r="DZ87" i="196"/>
  <c r="DY87" i="196"/>
  <c r="DO87" i="196"/>
  <c r="DR87" i="196"/>
  <c r="EA37" i="196"/>
  <c r="DY37" i="196"/>
  <c r="EA86" i="196"/>
  <c r="DZ86" i="196"/>
  <c r="DY86" i="196"/>
  <c r="DO86" i="196"/>
  <c r="DR86" i="196"/>
  <c r="EA56" i="196"/>
  <c r="DZ56" i="196"/>
  <c r="DY56" i="196"/>
  <c r="DO56" i="196"/>
  <c r="EA49" i="196"/>
  <c r="DZ49" i="196"/>
  <c r="DY49" i="196"/>
  <c r="DO49" i="196"/>
  <c r="EA75" i="196"/>
  <c r="DZ75" i="196"/>
  <c r="DY75" i="196"/>
  <c r="DO75" i="196"/>
  <c r="DR75" i="196"/>
  <c r="EA58" i="196"/>
  <c r="DZ58" i="196"/>
  <c r="DY58" i="196"/>
  <c r="DO58" i="196"/>
  <c r="EA46" i="196"/>
  <c r="DZ46" i="196"/>
  <c r="EP47" i="196" s="1"/>
  <c r="DY46" i="196"/>
  <c r="DO46" i="196"/>
  <c r="EE47" i="196" s="1"/>
  <c r="EA57" i="196"/>
  <c r="DZ57" i="196"/>
  <c r="DY57" i="196"/>
  <c r="DO57" i="196"/>
  <c r="EA71" i="196"/>
  <c r="DZ71" i="196"/>
  <c r="DY71" i="196"/>
  <c r="DO71" i="196"/>
  <c r="DR71" i="196"/>
  <c r="EA69" i="196"/>
  <c r="DZ69" i="196"/>
  <c r="DY69" i="196"/>
  <c r="DO69" i="196"/>
  <c r="DR69" i="196"/>
  <c r="EA64" i="196"/>
  <c r="DZ64" i="196"/>
  <c r="DY64" i="196"/>
  <c r="DO64" i="196"/>
  <c r="DR64" i="196"/>
  <c r="EA42" i="196"/>
  <c r="DY42" i="196"/>
  <c r="EA88" i="196"/>
  <c r="DZ88" i="196"/>
  <c r="DY88" i="196"/>
  <c r="DO88" i="196"/>
  <c r="DR88" i="196"/>
  <c r="EA67" i="196"/>
  <c r="DZ67" i="196"/>
  <c r="DY67" i="196"/>
  <c r="DO67" i="196"/>
  <c r="DR67" i="196"/>
  <c r="EA54" i="196"/>
  <c r="DZ54" i="196"/>
  <c r="DY54" i="196"/>
  <c r="DO54" i="196"/>
  <c r="EA51" i="196"/>
  <c r="DZ51" i="196"/>
  <c r="DY51" i="196"/>
  <c r="DO51" i="196"/>
  <c r="EA38" i="196"/>
  <c r="DY38" i="196"/>
  <c r="EA72" i="196"/>
  <c r="DZ72" i="196"/>
  <c r="DY72" i="196"/>
  <c r="DO72" i="196"/>
  <c r="DR72" i="196"/>
  <c r="EA62" i="196"/>
  <c r="DZ62" i="196"/>
  <c r="DY62" i="196"/>
  <c r="DO62" i="196"/>
  <c r="DR62" i="196"/>
  <c r="EA89" i="196"/>
  <c r="DZ89" i="196"/>
  <c r="DY89" i="196"/>
  <c r="DO89" i="196"/>
  <c r="DR89" i="196"/>
  <c r="EA47" i="196"/>
  <c r="DZ47" i="196"/>
  <c r="DY47" i="196"/>
  <c r="DO47" i="196"/>
  <c r="EA63" i="196"/>
  <c r="DZ63" i="196"/>
  <c r="DY63" i="196"/>
  <c r="DO63" i="196"/>
  <c r="DR63" i="196"/>
  <c r="EA48" i="196"/>
  <c r="DZ48" i="196"/>
  <c r="DY48" i="196"/>
  <c r="DO48" i="196"/>
  <c r="EA91" i="196"/>
  <c r="DZ91" i="196"/>
  <c r="DY91" i="196"/>
  <c r="DO91" i="196"/>
  <c r="DR91" i="196"/>
  <c r="EA50" i="196"/>
  <c r="DZ50" i="196"/>
  <c r="DY50" i="196"/>
  <c r="DO50" i="196"/>
  <c r="EA93" i="196"/>
  <c r="DZ93" i="196"/>
  <c r="DY93" i="196"/>
  <c r="DO93" i="196"/>
  <c r="DR93" i="196"/>
  <c r="EA83" i="196"/>
  <c r="DZ83" i="196"/>
  <c r="DY83" i="196"/>
  <c r="DO83" i="196"/>
  <c r="DR83" i="196"/>
  <c r="EA81" i="196"/>
  <c r="DZ81" i="196"/>
  <c r="DY81" i="196"/>
  <c r="DO81" i="196"/>
  <c r="DR81" i="196"/>
  <c r="EA41" i="196"/>
  <c r="DY41" i="196"/>
  <c r="AN96" i="196"/>
  <c r="AN97" i="196" s="1"/>
  <c r="AN98" i="196" s="1"/>
  <c r="AN99" i="196" s="1"/>
  <c r="AN100" i="196" s="1"/>
  <c r="AN101" i="196" s="1"/>
  <c r="AN102" i="196" s="1"/>
  <c r="AN103" i="196" s="1"/>
  <c r="AN104" i="196" s="1"/>
  <c r="AN105" i="196" s="1"/>
  <c r="AN106" i="196" s="1"/>
  <c r="AN107" i="196" s="1"/>
  <c r="AN108" i="196" s="1"/>
  <c r="AN109" i="196" s="1"/>
  <c r="AN110" i="196" s="1"/>
  <c r="AN111" i="196" s="1"/>
  <c r="AN112" i="196" s="1"/>
  <c r="AN113" i="196" s="1"/>
  <c r="AN114" i="196" s="1"/>
  <c r="AN115" i="196" s="1"/>
  <c r="AN116" i="196" s="1"/>
  <c r="AN117" i="196" s="1"/>
  <c r="AN118" i="196" s="1"/>
  <c r="AN119" i="196" s="1"/>
  <c r="AN120" i="196" s="1"/>
  <c r="AN121" i="196" s="1"/>
  <c r="AN122" i="196" s="1"/>
  <c r="AN123" i="196" s="1"/>
  <c r="DK98" i="196"/>
  <c r="AM96" i="196"/>
  <c r="AM97" i="196" s="1"/>
  <c r="AM98" i="196" s="1"/>
  <c r="AM99" i="196" s="1"/>
  <c r="AM100" i="196" s="1"/>
  <c r="AM101" i="196" s="1"/>
  <c r="AM102" i="196" s="1"/>
  <c r="AM103" i="196" s="1"/>
  <c r="AM104" i="196" s="1"/>
  <c r="AM105" i="196" s="1"/>
  <c r="AM106" i="196" s="1"/>
  <c r="AM107" i="196" s="1"/>
  <c r="AM108" i="196" s="1"/>
  <c r="AM109" i="196" s="1"/>
  <c r="AM110" i="196" s="1"/>
  <c r="AM111" i="196" s="1"/>
  <c r="AM112" i="196" s="1"/>
  <c r="AM113" i="196" s="1"/>
  <c r="AM114" i="196" s="1"/>
  <c r="AM115" i="196" s="1"/>
  <c r="AM116" i="196" s="1"/>
  <c r="AM117" i="196" s="1"/>
  <c r="AM118" i="196" s="1"/>
  <c r="AM119" i="196" s="1"/>
  <c r="AM120" i="196" s="1"/>
  <c r="AM121" i="196" s="1"/>
  <c r="AM122" i="196" s="1"/>
  <c r="AM123" i="196" s="1"/>
  <c r="BL95" i="196"/>
  <c r="AP123" i="196"/>
  <c r="AS123" i="196"/>
  <c r="AQ123" i="196"/>
  <c r="AR123" i="196"/>
  <c r="AK96" i="196"/>
  <c r="AK97" i="196" s="1"/>
  <c r="AK98" i="196" s="1"/>
  <c r="AK99" i="196" s="1"/>
  <c r="AK100" i="196" s="1"/>
  <c r="AK101" i="196" s="1"/>
  <c r="AK102" i="196" s="1"/>
  <c r="AK103" i="196" s="1"/>
  <c r="AK104" i="196" s="1"/>
  <c r="AK105" i="196" s="1"/>
  <c r="AK106" i="196" s="1"/>
  <c r="AK107" i="196" s="1"/>
  <c r="AK108" i="196" s="1"/>
  <c r="AK109" i="196" s="1"/>
  <c r="AK110" i="196" s="1"/>
  <c r="AK111" i="196" s="1"/>
  <c r="AK112" i="196" s="1"/>
  <c r="AK113" i="196" s="1"/>
  <c r="AK114" i="196" s="1"/>
  <c r="AK115" i="196" s="1"/>
  <c r="AK116" i="196" s="1"/>
  <c r="AK117" i="196" s="1"/>
  <c r="AK118" i="196" s="1"/>
  <c r="AK119" i="196" s="1"/>
  <c r="AK120" i="196" s="1"/>
  <c r="AK121" i="196" s="1"/>
  <c r="AK122" i="196" s="1"/>
  <c r="AK123" i="196" s="1"/>
  <c r="AL96" i="196"/>
  <c r="AL97" i="196" s="1"/>
  <c r="AL98" i="196" s="1"/>
  <c r="AL99" i="196" s="1"/>
  <c r="AL100" i="196" s="1"/>
  <c r="AL101" i="196" s="1"/>
  <c r="AL102" i="196" s="1"/>
  <c r="AL103" i="196" s="1"/>
  <c r="AL104" i="196" s="1"/>
  <c r="AL105" i="196" s="1"/>
  <c r="AL106" i="196" s="1"/>
  <c r="AL107" i="196" s="1"/>
  <c r="AL108" i="196" s="1"/>
  <c r="AL109" i="196" s="1"/>
  <c r="AL110" i="196" s="1"/>
  <c r="AL111" i="196" s="1"/>
  <c r="AL112" i="196" s="1"/>
  <c r="AL113" i="196" s="1"/>
  <c r="AL114" i="196" s="1"/>
  <c r="AL115" i="196" s="1"/>
  <c r="AL116" i="196" s="1"/>
  <c r="AL117" i="196" s="1"/>
  <c r="AL118" i="196" s="1"/>
  <c r="AL119" i="196" s="1"/>
  <c r="AL120" i="196" s="1"/>
  <c r="AL121" i="196" s="1"/>
  <c r="AL122" i="196" s="1"/>
  <c r="AL123" i="196" s="1"/>
  <c r="DC31" i="196"/>
  <c r="CX46" i="196"/>
  <c r="EP48" i="196" l="1"/>
  <c r="EP49" i="196" s="1"/>
  <c r="EP50" i="196" s="1"/>
  <c r="EP51" i="196" s="1"/>
  <c r="EP52" i="196" s="1"/>
  <c r="EP53" i="196" s="1"/>
  <c r="EP54" i="196" s="1"/>
  <c r="EP55" i="196" s="1"/>
  <c r="EP56" i="196" s="1"/>
  <c r="EP57" i="196" s="1"/>
  <c r="EP58" i="196" s="1"/>
  <c r="EP59" i="196" s="1"/>
  <c r="EP60" i="196" s="1"/>
  <c r="EP61" i="196" s="1"/>
  <c r="EP62" i="196" s="1"/>
  <c r="EP63" i="196" s="1"/>
  <c r="EP64" i="196" s="1"/>
  <c r="EP65" i="196" s="1"/>
  <c r="EP66" i="196" s="1"/>
  <c r="EP67" i="196" s="1"/>
  <c r="EP68" i="196" s="1"/>
  <c r="EP69" i="196" s="1"/>
  <c r="EP70" i="196" s="1"/>
  <c r="EP71" i="196" s="1"/>
  <c r="EP72" i="196" s="1"/>
  <c r="EP73" i="196" s="1"/>
  <c r="EP74" i="196" s="1"/>
  <c r="EP75" i="196" s="1"/>
  <c r="EP76" i="196" s="1"/>
  <c r="EP77" i="196" s="1"/>
  <c r="EP78" i="196" s="1"/>
  <c r="EP79" i="196" s="1"/>
  <c r="EP80" i="196" s="1"/>
  <c r="EP81" i="196" s="1"/>
  <c r="EP82" i="196" s="1"/>
  <c r="EP83" i="196" s="1"/>
  <c r="EP84" i="196" s="1"/>
  <c r="EP85" i="196" s="1"/>
  <c r="EP86" i="196" s="1"/>
  <c r="EP87" i="196" s="1"/>
  <c r="EP88" i="196" s="1"/>
  <c r="EP89" i="196" s="1"/>
  <c r="EP90" i="196" s="1"/>
  <c r="EP91" i="196" s="1"/>
  <c r="EP92" i="196" s="1"/>
  <c r="EP93" i="196" s="1"/>
  <c r="EP94" i="196" s="1"/>
  <c r="EE48" i="196"/>
  <c r="EE49" i="196" s="1"/>
  <c r="EE50" i="196" s="1"/>
  <c r="EE51" i="196" s="1"/>
  <c r="EE52" i="196" s="1"/>
  <c r="EE53" i="196" s="1"/>
  <c r="EE54" i="196" s="1"/>
  <c r="EE55" i="196" s="1"/>
  <c r="EE56" i="196" s="1"/>
  <c r="EE57" i="196" s="1"/>
  <c r="EE58" i="196" s="1"/>
  <c r="EE59" i="196" s="1"/>
  <c r="EE60" i="196" s="1"/>
  <c r="EE61" i="196" s="1"/>
  <c r="EE62" i="196" s="1"/>
  <c r="EE63" i="196" s="1"/>
  <c r="EE64" i="196" s="1"/>
  <c r="EE65" i="196" s="1"/>
  <c r="EE66" i="196" s="1"/>
  <c r="EE67" i="196" s="1"/>
  <c r="EE68" i="196" s="1"/>
  <c r="EE69" i="196" s="1"/>
  <c r="EE70" i="196" s="1"/>
  <c r="EE71" i="196" s="1"/>
  <c r="EE72" i="196" s="1"/>
  <c r="EE73" i="196" s="1"/>
  <c r="EE74" i="196" s="1"/>
  <c r="EE75" i="196" s="1"/>
  <c r="EE76" i="196" s="1"/>
  <c r="EE77" i="196" s="1"/>
  <c r="EE78" i="196" s="1"/>
  <c r="EE79" i="196" s="1"/>
  <c r="EE80" i="196" s="1"/>
  <c r="EE81" i="196" s="1"/>
  <c r="EE82" i="196" s="1"/>
  <c r="EE83" i="196" s="1"/>
  <c r="EE84" i="196" s="1"/>
  <c r="EE85" i="196" s="1"/>
  <c r="EE86" i="196" s="1"/>
  <c r="EE87" i="196" s="1"/>
  <c r="EE88" i="196" s="1"/>
  <c r="EE89" i="196" s="1"/>
  <c r="EE90" i="196" s="1"/>
  <c r="EE91" i="196" s="1"/>
  <c r="EE92" i="196" s="1"/>
  <c r="EE93" i="196" s="1"/>
  <c r="EE94" i="196" s="1"/>
  <c r="EH62" i="196"/>
  <c r="EH63" i="196" s="1"/>
  <c r="EH64" i="196" s="1"/>
  <c r="EH65" i="196" s="1"/>
  <c r="EH66" i="196" s="1"/>
  <c r="EH67" i="196" s="1"/>
  <c r="EH68" i="196" s="1"/>
  <c r="EH69" i="196" s="1"/>
  <c r="EH70" i="196" s="1"/>
  <c r="EH71" i="196" s="1"/>
  <c r="EH72" i="196" s="1"/>
  <c r="EH73" i="196" s="1"/>
  <c r="EH74" i="196" s="1"/>
  <c r="EH75" i="196" s="1"/>
  <c r="EH76" i="196" s="1"/>
  <c r="EH77" i="196" s="1"/>
  <c r="EH78" i="196" s="1"/>
  <c r="EH79" i="196" s="1"/>
  <c r="EH80" i="196" s="1"/>
  <c r="EH81" i="196" s="1"/>
  <c r="EH82" i="196" s="1"/>
  <c r="EH83" i="196" s="1"/>
  <c r="EH84" i="196" s="1"/>
  <c r="EH85" i="196" s="1"/>
  <c r="EH86" i="196" s="1"/>
  <c r="EH87" i="196" s="1"/>
  <c r="EH88" i="196" s="1"/>
  <c r="EH89" i="196" s="1"/>
  <c r="EH90" i="196" s="1"/>
  <c r="EH91" i="196" s="1"/>
  <c r="EH92" i="196" s="1"/>
  <c r="EH93" i="196" s="1"/>
  <c r="EH94" i="196" s="1"/>
  <c r="EO38" i="196"/>
  <c r="EO39" i="196" s="1"/>
  <c r="EO40" i="196" s="1"/>
  <c r="EO41" i="196" s="1"/>
  <c r="EO42" i="196" s="1"/>
  <c r="EO43" i="196" s="1"/>
  <c r="EO44" i="196" s="1"/>
  <c r="EO45" i="196" s="1"/>
  <c r="EO46" i="196" s="1"/>
  <c r="EO47" i="196" s="1"/>
  <c r="EO48" i="196" s="1"/>
  <c r="EO49" i="196" s="1"/>
  <c r="EO50" i="196" s="1"/>
  <c r="EO51" i="196" s="1"/>
  <c r="EO52" i="196" s="1"/>
  <c r="EO53" i="196" s="1"/>
  <c r="EO54" i="196" s="1"/>
  <c r="EO55" i="196" s="1"/>
  <c r="EO56" i="196" s="1"/>
  <c r="EO57" i="196" s="1"/>
  <c r="EO58" i="196" s="1"/>
  <c r="EO59" i="196" s="1"/>
  <c r="EO60" i="196" s="1"/>
  <c r="EO61" i="196" s="1"/>
  <c r="EO62" i="196" s="1"/>
  <c r="EO63" i="196" s="1"/>
  <c r="EO64" i="196" s="1"/>
  <c r="EO65" i="196" s="1"/>
  <c r="EO66" i="196" s="1"/>
  <c r="EO67" i="196" s="1"/>
  <c r="EO68" i="196" s="1"/>
  <c r="EO69" i="196" s="1"/>
  <c r="EO70" i="196" s="1"/>
  <c r="EO71" i="196" s="1"/>
  <c r="EO72" i="196" s="1"/>
  <c r="EO73" i="196" s="1"/>
  <c r="EO74" i="196" s="1"/>
  <c r="EO75" i="196" s="1"/>
  <c r="EO76" i="196" s="1"/>
  <c r="EO77" i="196" s="1"/>
  <c r="EO78" i="196" s="1"/>
  <c r="EO79" i="196" s="1"/>
  <c r="EO80" i="196" s="1"/>
  <c r="EO81" i="196" s="1"/>
  <c r="EO82" i="196" s="1"/>
  <c r="EO83" i="196" s="1"/>
  <c r="EO84" i="196" s="1"/>
  <c r="EO85" i="196" s="1"/>
  <c r="EO86" i="196" s="1"/>
  <c r="EO87" i="196" s="1"/>
  <c r="EO88" i="196" s="1"/>
  <c r="EO89" i="196" s="1"/>
  <c r="EO90" i="196" s="1"/>
  <c r="EO91" i="196" s="1"/>
  <c r="EO92" i="196" s="1"/>
  <c r="EO93" i="196" s="1"/>
  <c r="EO94" i="196" s="1"/>
  <c r="EQ38" i="196"/>
  <c r="EQ39" i="196" s="1"/>
  <c r="EQ40" i="196" s="1"/>
  <c r="EQ41" i="196" s="1"/>
  <c r="EQ42" i="196" s="1"/>
  <c r="EQ43" i="196" s="1"/>
  <c r="EQ44" i="196" s="1"/>
  <c r="EQ45" i="196" s="1"/>
  <c r="EQ46" i="196" s="1"/>
  <c r="EQ47" i="196" s="1"/>
  <c r="EQ48" i="196" s="1"/>
  <c r="EQ49" i="196" s="1"/>
  <c r="EQ50" i="196" s="1"/>
  <c r="EQ51" i="196" s="1"/>
  <c r="EQ52" i="196" s="1"/>
  <c r="EQ53" i="196" s="1"/>
  <c r="EQ54" i="196" s="1"/>
  <c r="EQ55" i="196" s="1"/>
  <c r="EQ56" i="196" s="1"/>
  <c r="EQ57" i="196" s="1"/>
  <c r="EQ58" i="196" s="1"/>
  <c r="EQ59" i="196" s="1"/>
  <c r="EQ60" i="196" s="1"/>
  <c r="EQ61" i="196" s="1"/>
  <c r="EQ62" i="196" s="1"/>
  <c r="EQ63" i="196" s="1"/>
  <c r="EQ64" i="196" s="1"/>
  <c r="EQ65" i="196" s="1"/>
  <c r="EQ66" i="196" s="1"/>
  <c r="EQ67" i="196" s="1"/>
  <c r="EQ68" i="196" s="1"/>
  <c r="EQ69" i="196" s="1"/>
  <c r="EQ70" i="196" s="1"/>
  <c r="EQ71" i="196" s="1"/>
  <c r="EQ72" i="196" s="1"/>
  <c r="EQ73" i="196" s="1"/>
  <c r="EQ74" i="196" s="1"/>
  <c r="EQ75" i="196" s="1"/>
  <c r="EQ76" i="196" s="1"/>
  <c r="EQ77" i="196" s="1"/>
  <c r="EQ78" i="196" s="1"/>
  <c r="EQ79" i="196" s="1"/>
  <c r="EQ80" i="196" s="1"/>
  <c r="EQ81" i="196" s="1"/>
  <c r="EQ82" i="196" s="1"/>
  <c r="EQ83" i="196" s="1"/>
  <c r="EQ84" i="196" s="1"/>
  <c r="EQ85" i="196" s="1"/>
  <c r="EQ86" i="196" s="1"/>
  <c r="EQ87" i="196" s="1"/>
  <c r="EQ88" i="196" s="1"/>
  <c r="EQ89" i="196" s="1"/>
  <c r="EQ90" i="196" s="1"/>
  <c r="EQ91" i="196" s="1"/>
  <c r="EQ92" i="196" s="1"/>
  <c r="EQ93" i="196" s="1"/>
  <c r="EQ94" i="196" s="1"/>
  <c r="EK31" i="196"/>
  <c r="DU30" i="196"/>
  <c r="EF46" i="196"/>
  <c r="DP45" i="196"/>
  <c r="BM94" i="196"/>
  <c r="DK99" i="196"/>
  <c r="BG96" i="196"/>
  <c r="BL96" i="196" s="1"/>
  <c r="DC32" i="196"/>
  <c r="DU31" i="196" s="1"/>
  <c r="CX47" i="196"/>
  <c r="EA94" i="196" l="1"/>
  <c r="EQ95" i="196" s="1"/>
  <c r="DZ94" i="196"/>
  <c r="EP95" i="196" s="1"/>
  <c r="DY94" i="196"/>
  <c r="EO95" i="196" s="1"/>
  <c r="DO94" i="196"/>
  <c r="EE95" i="196" s="1"/>
  <c r="DR94" i="196"/>
  <c r="EH95" i="196" s="1"/>
  <c r="EK32" i="196"/>
  <c r="EF47" i="196"/>
  <c r="DP46" i="196"/>
  <c r="BM95" i="196"/>
  <c r="BG97" i="196"/>
  <c r="BL97" i="196" s="1"/>
  <c r="DK100" i="196"/>
  <c r="DC33" i="196"/>
  <c r="CX48" i="196"/>
  <c r="EA95" i="196" l="1"/>
  <c r="EQ96" i="196" s="1"/>
  <c r="DZ95" i="196"/>
  <c r="EP96" i="196" s="1"/>
  <c r="DY95" i="196"/>
  <c r="EO96" i="196" s="1"/>
  <c r="DO95" i="196"/>
  <c r="EE96" i="196" s="1"/>
  <c r="DR95" i="196"/>
  <c r="EH96" i="196" s="1"/>
  <c r="EK33" i="196"/>
  <c r="DU32" i="196"/>
  <c r="EF48" i="196"/>
  <c r="DP47" i="196"/>
  <c r="BM96" i="196"/>
  <c r="BG98" i="196"/>
  <c r="BL98" i="196" s="1"/>
  <c r="DK101" i="196"/>
  <c r="DC34" i="196"/>
  <c r="CX49" i="196"/>
  <c r="EA96" i="196" l="1"/>
  <c r="EQ97" i="196" s="1"/>
  <c r="DZ96" i="196"/>
  <c r="EP97" i="196" s="1"/>
  <c r="DY96" i="196"/>
  <c r="EO97" i="196" s="1"/>
  <c r="DO96" i="196"/>
  <c r="EE97" i="196" s="1"/>
  <c r="DR96" i="196"/>
  <c r="EH97" i="196" s="1"/>
  <c r="EK34" i="196"/>
  <c r="DU33" i="196"/>
  <c r="EF49" i="196"/>
  <c r="DP48" i="196"/>
  <c r="BM97" i="196"/>
  <c r="BG99" i="196"/>
  <c r="BL99" i="196" s="1"/>
  <c r="DK102" i="196"/>
  <c r="CX50" i="196"/>
  <c r="EA97" i="196" l="1"/>
  <c r="EQ98" i="196" s="1"/>
  <c r="DZ97" i="196"/>
  <c r="EP98" i="196" s="1"/>
  <c r="DY97" i="196"/>
  <c r="EO98" i="196" s="1"/>
  <c r="DO97" i="196"/>
  <c r="EE98" i="196" s="1"/>
  <c r="DR97" i="196"/>
  <c r="EH98" i="196" s="1"/>
  <c r="EF50" i="196"/>
  <c r="DP49" i="196"/>
  <c r="BM98" i="196"/>
  <c r="BG100" i="196"/>
  <c r="BL100" i="196" s="1"/>
  <c r="DK103" i="196"/>
  <c r="CX51" i="196"/>
  <c r="EA98" i="196" l="1"/>
  <c r="EQ99" i="196" s="1"/>
  <c r="DZ98" i="196"/>
  <c r="EP99" i="196" s="1"/>
  <c r="DY98" i="196"/>
  <c r="EO99" i="196" s="1"/>
  <c r="DO98" i="196"/>
  <c r="EE99" i="196" s="1"/>
  <c r="DR98" i="196"/>
  <c r="EH99" i="196" s="1"/>
  <c r="EF51" i="196"/>
  <c r="DP50" i="196"/>
  <c r="BM99" i="196"/>
  <c r="BG101" i="196"/>
  <c r="BL101" i="196" s="1"/>
  <c r="DK104" i="196"/>
  <c r="CX52" i="196"/>
  <c r="EA99" i="196" l="1"/>
  <c r="EQ100" i="196" s="1"/>
  <c r="DZ99" i="196"/>
  <c r="EP100" i="196" s="1"/>
  <c r="DY99" i="196"/>
  <c r="EO100" i="196" s="1"/>
  <c r="DO99" i="196"/>
  <c r="EE100" i="196" s="1"/>
  <c r="DR99" i="196"/>
  <c r="EH100" i="196" s="1"/>
  <c r="EF52" i="196"/>
  <c r="DP51" i="196"/>
  <c r="BM100" i="196"/>
  <c r="BG102" i="196"/>
  <c r="BL102" i="196" s="1"/>
  <c r="DK105" i="196"/>
  <c r="CX53" i="196"/>
  <c r="EA100" i="196" l="1"/>
  <c r="EQ101" i="196" s="1"/>
  <c r="DZ100" i="196"/>
  <c r="EP101" i="196" s="1"/>
  <c r="DY100" i="196"/>
  <c r="EO101" i="196" s="1"/>
  <c r="DO100" i="196"/>
  <c r="EE101" i="196" s="1"/>
  <c r="DR100" i="196"/>
  <c r="EH101" i="196" s="1"/>
  <c r="EF53" i="196"/>
  <c r="DP52" i="196"/>
  <c r="BM101" i="196"/>
  <c r="BG103" i="196"/>
  <c r="BL103" i="196" s="1"/>
  <c r="DK106" i="196"/>
  <c r="CX54" i="196"/>
  <c r="EA101" i="196" l="1"/>
  <c r="EQ102" i="196" s="1"/>
  <c r="DZ101" i="196"/>
  <c r="EP102" i="196" s="1"/>
  <c r="DY101" i="196"/>
  <c r="EO102" i="196" s="1"/>
  <c r="DO101" i="196"/>
  <c r="EE102" i="196" s="1"/>
  <c r="DR101" i="196"/>
  <c r="EH102" i="196" s="1"/>
  <c r="EF54" i="196"/>
  <c r="DP53" i="196"/>
  <c r="BM102" i="196"/>
  <c r="BG104" i="196"/>
  <c r="BL104" i="196" s="1"/>
  <c r="DK107" i="196"/>
  <c r="CX55" i="196"/>
  <c r="EA102" i="196" l="1"/>
  <c r="EQ103" i="196" s="1"/>
  <c r="DZ102" i="196"/>
  <c r="EP103" i="196" s="1"/>
  <c r="DY102" i="196"/>
  <c r="EO103" i="196" s="1"/>
  <c r="DO102" i="196"/>
  <c r="EE103" i="196" s="1"/>
  <c r="DR102" i="196"/>
  <c r="EH103" i="196" s="1"/>
  <c r="EF55" i="196"/>
  <c r="DP54" i="196"/>
  <c r="BM103" i="196"/>
  <c r="BG105" i="196"/>
  <c r="BL105" i="196" s="1"/>
  <c r="DK108" i="196"/>
  <c r="CX56" i="196"/>
  <c r="EA103" i="196" l="1"/>
  <c r="EQ104" i="196" s="1"/>
  <c r="DZ103" i="196"/>
  <c r="EP104" i="196" s="1"/>
  <c r="DY103" i="196"/>
  <c r="EO104" i="196" s="1"/>
  <c r="DO103" i="196"/>
  <c r="EE104" i="196" s="1"/>
  <c r="DR103" i="196"/>
  <c r="EH104" i="196" s="1"/>
  <c r="EF56" i="196"/>
  <c r="DP55" i="196"/>
  <c r="BG106" i="196"/>
  <c r="BL106" i="196" s="1"/>
  <c r="BM105" i="196" s="1"/>
  <c r="BM104" i="196"/>
  <c r="DK109" i="196"/>
  <c r="CX57" i="196"/>
  <c r="EA105" i="196" l="1"/>
  <c r="DZ105" i="196"/>
  <c r="DY105" i="196"/>
  <c r="DO105" i="196"/>
  <c r="DR105" i="196"/>
  <c r="EA104" i="196"/>
  <c r="EQ105" i="196" s="1"/>
  <c r="DZ104" i="196"/>
  <c r="EP105" i="196" s="1"/>
  <c r="DY104" i="196"/>
  <c r="EO105" i="196" s="1"/>
  <c r="DO104" i="196"/>
  <c r="EE105" i="196" s="1"/>
  <c r="DR104" i="196"/>
  <c r="EH105" i="196" s="1"/>
  <c r="EF57" i="196"/>
  <c r="DP56" i="196"/>
  <c r="BG107" i="196"/>
  <c r="BL107" i="196" s="1"/>
  <c r="DK110" i="196"/>
  <c r="CX58" i="196"/>
  <c r="EP106" i="196" l="1"/>
  <c r="EQ106" i="196"/>
  <c r="EE106" i="196"/>
  <c r="EO106" i="196"/>
  <c r="EH106" i="196"/>
  <c r="EF58" i="196"/>
  <c r="DP57" i="196"/>
  <c r="BG108" i="196"/>
  <c r="BL108" i="196" s="1"/>
  <c r="BM107" i="196" s="1"/>
  <c r="BM106" i="196"/>
  <c r="DK111" i="196"/>
  <c r="CX59" i="196"/>
  <c r="EA106" i="196" l="1"/>
  <c r="EQ107" i="196" s="1"/>
  <c r="DZ106" i="196"/>
  <c r="EP107" i="196" s="1"/>
  <c r="DY106" i="196"/>
  <c r="EO107" i="196" s="1"/>
  <c r="DO106" i="196"/>
  <c r="EE107" i="196" s="1"/>
  <c r="DR106" i="196"/>
  <c r="EH107" i="196" s="1"/>
  <c r="EA107" i="196"/>
  <c r="DZ107" i="196"/>
  <c r="DY107" i="196"/>
  <c r="DO107" i="196"/>
  <c r="DR107" i="196"/>
  <c r="EF59" i="196"/>
  <c r="DP58" i="196"/>
  <c r="BG109" i="196"/>
  <c r="BL109" i="196" s="1"/>
  <c r="BM108" i="196" s="1"/>
  <c r="DK112" i="196"/>
  <c r="CX60" i="196"/>
  <c r="EH108" i="196" l="1"/>
  <c r="EE108" i="196"/>
  <c r="EO108" i="196"/>
  <c r="EA108" i="196"/>
  <c r="DZ108" i="196"/>
  <c r="DY108" i="196"/>
  <c r="DO108" i="196"/>
  <c r="DR108" i="196"/>
  <c r="EH109" i="196" s="1"/>
  <c r="EP108" i="196"/>
  <c r="EQ108" i="196"/>
  <c r="EF60" i="196"/>
  <c r="DP59" i="196"/>
  <c r="BG110" i="196"/>
  <c r="BL110" i="196" s="1"/>
  <c r="BM109" i="196" s="1"/>
  <c r="DK113" i="196"/>
  <c r="EE109" i="196" l="1"/>
  <c r="EA109" i="196"/>
  <c r="DZ109" i="196"/>
  <c r="DY109" i="196"/>
  <c r="DO109" i="196"/>
  <c r="DR109" i="196"/>
  <c r="EH110" i="196" s="1"/>
  <c r="EP109" i="196"/>
  <c r="EO109" i="196"/>
  <c r="EQ109" i="196"/>
  <c r="BG111" i="196"/>
  <c r="BL111" i="196" s="1"/>
  <c r="BM110" i="196" s="1"/>
  <c r="DK114" i="196"/>
  <c r="EE110" i="196" l="1"/>
  <c r="EA110" i="196"/>
  <c r="DZ110" i="196"/>
  <c r="DY110" i="196"/>
  <c r="DO110" i="196"/>
  <c r="DR110" i="196"/>
  <c r="EH111" i="196" s="1"/>
  <c r="EQ110" i="196"/>
  <c r="EO110" i="196"/>
  <c r="EP110" i="196"/>
  <c r="BG112" i="196"/>
  <c r="BL112" i="196" s="1"/>
  <c r="BM111" i="196" s="1"/>
  <c r="DK115" i="196"/>
  <c r="EE111" i="196" l="1"/>
  <c r="EA111" i="196"/>
  <c r="DZ111" i="196"/>
  <c r="DY111" i="196"/>
  <c r="DO111" i="196"/>
  <c r="DR111" i="196"/>
  <c r="EH112" i="196" s="1"/>
  <c r="EP111" i="196"/>
  <c r="EO111" i="196"/>
  <c r="EQ111" i="196"/>
  <c r="BG113" i="196"/>
  <c r="BL113" i="196" s="1"/>
  <c r="BM112" i="196" s="1"/>
  <c r="DK116" i="196"/>
  <c r="EE112" i="196" l="1"/>
  <c r="EA112" i="196"/>
  <c r="DZ112" i="196"/>
  <c r="DY112" i="196"/>
  <c r="DO112" i="196"/>
  <c r="DR112" i="196"/>
  <c r="EH113" i="196" s="1"/>
  <c r="EQ112" i="196"/>
  <c r="EO112" i="196"/>
  <c r="EP112" i="196"/>
  <c r="BG114" i="196"/>
  <c r="BL114" i="196" s="1"/>
  <c r="BM113" i="196" s="1"/>
  <c r="DK117" i="196"/>
  <c r="EE113" i="196" l="1"/>
  <c r="EA113" i="196"/>
  <c r="DZ113" i="196"/>
  <c r="DY113" i="196"/>
  <c r="DO113" i="196"/>
  <c r="DR113" i="196"/>
  <c r="EH114" i="196" s="1"/>
  <c r="EP113" i="196"/>
  <c r="EO113" i="196"/>
  <c r="EQ113" i="196"/>
  <c r="BG115" i="196"/>
  <c r="BL115" i="196" s="1"/>
  <c r="BM114" i="196" s="1"/>
  <c r="DK118" i="196"/>
  <c r="EE114" i="196" l="1"/>
  <c r="EA114" i="196"/>
  <c r="DZ114" i="196"/>
  <c r="DY114" i="196"/>
  <c r="DO114" i="196"/>
  <c r="DR114" i="196"/>
  <c r="EH115" i="196" s="1"/>
  <c r="EQ114" i="196"/>
  <c r="EO114" i="196"/>
  <c r="EP114" i="196"/>
  <c r="BG116" i="196"/>
  <c r="BL116" i="196" s="1"/>
  <c r="BM115" i="196" s="1"/>
  <c r="DK119" i="196"/>
  <c r="EE115" i="196" l="1"/>
  <c r="EA115" i="196"/>
  <c r="DZ115" i="196"/>
  <c r="DY115" i="196"/>
  <c r="DO115" i="196"/>
  <c r="DR115" i="196"/>
  <c r="EH116" i="196" s="1"/>
  <c r="EP115" i="196"/>
  <c r="EO115" i="196"/>
  <c r="EQ115" i="196"/>
  <c r="BG117" i="196"/>
  <c r="BL117" i="196" s="1"/>
  <c r="BM116" i="196" s="1"/>
  <c r="DK120" i="196"/>
  <c r="EE116" i="196" l="1"/>
  <c r="EA116" i="196"/>
  <c r="DZ116" i="196"/>
  <c r="DY116" i="196"/>
  <c r="DO116" i="196"/>
  <c r="DR116" i="196"/>
  <c r="EH117" i="196" s="1"/>
  <c r="EP116" i="196"/>
  <c r="EQ116" i="196"/>
  <c r="EO116" i="196"/>
  <c r="BG118" i="196"/>
  <c r="BL118" i="196" s="1"/>
  <c r="BM117" i="196" s="1"/>
  <c r="DK121" i="196"/>
  <c r="EE117" i="196" l="1"/>
  <c r="EQ117" i="196"/>
  <c r="EP117" i="196"/>
  <c r="EA117" i="196"/>
  <c r="DZ117" i="196"/>
  <c r="DY117" i="196"/>
  <c r="DO117" i="196"/>
  <c r="DR117" i="196"/>
  <c r="EH118" i="196" s="1"/>
  <c r="EO117" i="196"/>
  <c r="BG119" i="196"/>
  <c r="BL119" i="196" s="1"/>
  <c r="BM118" i="196" s="1"/>
  <c r="DK122" i="196"/>
  <c r="EE118" i="196" l="1"/>
  <c r="EO118" i="196"/>
  <c r="EP118" i="196"/>
  <c r="EA118" i="196"/>
  <c r="DZ118" i="196"/>
  <c r="DY118" i="196"/>
  <c r="DO118" i="196"/>
  <c r="DR118" i="196"/>
  <c r="EH119" i="196" s="1"/>
  <c r="EQ118" i="196"/>
  <c r="BG120" i="196"/>
  <c r="BL120" i="196" s="1"/>
  <c r="BM119" i="196" s="1"/>
  <c r="DK123" i="196"/>
  <c r="EE119" i="196" l="1"/>
  <c r="EO119" i="196"/>
  <c r="EA119" i="196"/>
  <c r="DZ119" i="196"/>
  <c r="DY119" i="196"/>
  <c r="DO119" i="196"/>
  <c r="DR119" i="196"/>
  <c r="EH120" i="196" s="1"/>
  <c r="EP119" i="196"/>
  <c r="EQ119" i="196"/>
  <c r="BG121" i="196"/>
  <c r="BL121" i="196" s="1"/>
  <c r="BM120" i="196" s="1"/>
  <c r="EE120" i="196" l="1"/>
  <c r="EO120" i="196"/>
  <c r="EA120" i="196"/>
  <c r="DZ120" i="196"/>
  <c r="DY120" i="196"/>
  <c r="DO120" i="196"/>
  <c r="DR120" i="196"/>
  <c r="EH121" i="196" s="1"/>
  <c r="EQ120" i="196"/>
  <c r="EP120" i="196"/>
  <c r="BG122" i="196"/>
  <c r="BL122" i="196" s="1"/>
  <c r="BM121" i="196" s="1"/>
  <c r="EO121" i="196" l="1"/>
  <c r="EE121" i="196"/>
  <c r="EA121" i="196"/>
  <c r="DZ121" i="196"/>
  <c r="DY121" i="196"/>
  <c r="DO121" i="196"/>
  <c r="DR121" i="196"/>
  <c r="EH122" i="196" s="1"/>
  <c r="EP121" i="196"/>
  <c r="EQ121" i="196"/>
  <c r="BG123" i="196"/>
  <c r="BL123" i="196" s="1"/>
  <c r="BM123" i="196" s="1"/>
  <c r="EO122" i="196" l="1"/>
  <c r="EE122" i="196"/>
  <c r="EP122" i="196"/>
  <c r="EQ122" i="196"/>
  <c r="BM122" i="196"/>
  <c r="R37" i="248"/>
  <c r="EA122" i="196" l="1"/>
  <c r="EQ123" i="196" s="1"/>
  <c r="DZ122" i="196"/>
  <c r="EP123" i="196" s="1"/>
  <c r="DY122" i="196"/>
  <c r="EO123" i="196" s="1"/>
  <c r="DO122" i="196"/>
  <c r="EE123" i="196" s="1"/>
  <c r="DR122" i="196"/>
  <c r="EH123" i="196" s="1"/>
  <c r="R38" i="248"/>
  <c r="R39" i="248" l="1"/>
  <c r="R40" i="248" l="1"/>
  <c r="R41" i="248" l="1"/>
  <c r="R42" i="248" l="1"/>
  <c r="R43" i="248" l="1"/>
  <c r="R44" i="248" l="1"/>
  <c r="R45" i="248" l="1"/>
  <c r="R46" i="248" l="1"/>
  <c r="R47" i="248" l="1"/>
  <c r="R48" i="248" l="1"/>
  <c r="R49" i="248" l="1"/>
  <c r="R50" i="248" l="1"/>
  <c r="R51" i="248" l="1"/>
  <c r="R52" i="248" l="1"/>
  <c r="R53" i="248" l="1"/>
  <c r="R54" i="248" l="1"/>
  <c r="R55" i="248" l="1"/>
  <c r="R56" i="248" l="1"/>
  <c r="R57" i="248" l="1"/>
  <c r="R58" i="248" l="1"/>
  <c r="R59" i="248" l="1"/>
  <c r="R60" i="248" l="1"/>
  <c r="R61" i="248" l="1"/>
  <c r="BO61" i="196" l="1"/>
  <c r="R62" i="248"/>
  <c r="BO62" i="196" l="1"/>
  <c r="R63" i="248"/>
  <c r="BO63" i="196" l="1"/>
  <c r="R64" i="248"/>
  <c r="BO64" i="196" l="1"/>
  <c r="R65" i="248"/>
  <c r="BO65" i="196" l="1"/>
  <c r="R66" i="248"/>
  <c r="BO66" i="196" l="1"/>
  <c r="R67" i="248"/>
  <c r="BO67" i="196" l="1"/>
  <c r="R68" i="248"/>
  <c r="BO68" i="196" l="1"/>
  <c r="R69" i="248"/>
  <c r="BO69" i="196" l="1"/>
  <c r="R70" i="248"/>
  <c r="BO70" i="196" l="1"/>
  <c r="R71" i="248"/>
  <c r="BO71" i="196" l="1"/>
  <c r="R72" i="248"/>
  <c r="BO72" i="196" l="1"/>
  <c r="R73" i="248"/>
  <c r="BO73" i="196" l="1"/>
  <c r="R74" i="248"/>
  <c r="BO74" i="196" l="1"/>
  <c r="R75" i="248"/>
  <c r="BO75" i="196" l="1"/>
  <c r="R76" i="248"/>
  <c r="BO76" i="196" l="1"/>
  <c r="R77" i="248"/>
  <c r="BO77" i="196" l="1"/>
  <c r="R78" i="248"/>
  <c r="BO78" i="196" l="1"/>
  <c r="R79" i="248"/>
  <c r="BO79" i="196" l="1"/>
  <c r="R80" i="248"/>
  <c r="BO80" i="196" l="1"/>
  <c r="R81" i="248"/>
  <c r="BO81" i="196" l="1"/>
  <c r="R82" i="248"/>
  <c r="BO82" i="196" l="1"/>
  <c r="R83" i="248"/>
  <c r="BO83" i="196" l="1"/>
  <c r="R84" i="248"/>
  <c r="BO84" i="196" l="1"/>
  <c r="R85" i="248"/>
  <c r="BO85" i="196" l="1"/>
  <c r="R86" i="248"/>
  <c r="BO86" i="196" l="1"/>
  <c r="R87" i="248"/>
  <c r="BO87" i="196" l="1"/>
  <c r="R88" i="248"/>
  <c r="BO88" i="196" l="1"/>
  <c r="R89" i="248"/>
  <c r="BO89" i="196" l="1"/>
  <c r="R90" i="248"/>
  <c r="BO90" i="196" l="1"/>
  <c r="R91" i="248"/>
  <c r="BO91" i="196" l="1"/>
  <c r="R92" i="248"/>
  <c r="BO92" i="196" l="1"/>
  <c r="R93" i="248"/>
  <c r="BO93" i="196" l="1"/>
  <c r="R94" i="248"/>
  <c r="BO94" i="196" l="1"/>
  <c r="R95" i="248"/>
  <c r="BO95" i="196" l="1"/>
  <c r="R96" i="248"/>
  <c r="BO96" i="196" l="1"/>
  <c r="R97" i="248"/>
  <c r="BO97" i="196" l="1"/>
  <c r="R98" i="248"/>
  <c r="BO98" i="196" l="1"/>
  <c r="R99" i="248"/>
  <c r="BO99" i="196" l="1"/>
  <c r="R100" i="248"/>
  <c r="BO100" i="196" l="1"/>
  <c r="R101" i="248"/>
  <c r="BO101" i="196" l="1"/>
  <c r="R102" i="248"/>
  <c r="BO102" i="196" l="1"/>
  <c r="R103" i="248"/>
  <c r="BO103" i="196" l="1"/>
  <c r="R104" i="248"/>
  <c r="BO104" i="196" l="1"/>
  <c r="R105" i="248"/>
  <c r="BO105" i="196" l="1"/>
  <c r="R106" i="248"/>
  <c r="BO106" i="196" l="1"/>
  <c r="R107" i="248"/>
  <c r="BO107" i="196" l="1"/>
  <c r="R108" i="248"/>
  <c r="BO108" i="196" l="1"/>
  <c r="R109" i="248"/>
  <c r="BO109" i="196" l="1"/>
  <c r="R110" i="248"/>
  <c r="BO110" i="196" l="1"/>
  <c r="R111" i="248"/>
  <c r="BO111" i="196" l="1"/>
  <c r="R112" i="248"/>
  <c r="BO112" i="196" l="1"/>
  <c r="R113" i="248"/>
  <c r="BO113" i="196" l="1"/>
  <c r="R114" i="248"/>
  <c r="BO114" i="196" l="1"/>
  <c r="R115" i="248"/>
  <c r="BO115" i="196" l="1"/>
  <c r="R116" i="248"/>
  <c r="BO116" i="196" l="1"/>
  <c r="R117" i="248"/>
  <c r="BO117" i="196" l="1"/>
  <c r="R118" i="248"/>
  <c r="BO118" i="196" l="1"/>
  <c r="R119" i="248"/>
  <c r="BO119" i="196" l="1"/>
  <c r="R120" i="248"/>
  <c r="BO120" i="196" l="1"/>
  <c r="R121" i="248"/>
  <c r="BO121" i="196" l="1"/>
  <c r="R123" i="248"/>
  <c r="BO123" i="196" s="1"/>
  <c r="R122" i="248"/>
  <c r="BO122" i="196" l="1"/>
  <c r="F45" i="196" l="1"/>
  <c r="F46" i="196" l="1"/>
  <c r="CY45" i="196"/>
  <c r="EG45" i="196" l="1"/>
  <c r="DQ44" i="196"/>
  <c r="F47" i="196"/>
  <c r="CY46" i="196"/>
  <c r="EG46" i="196" l="1"/>
  <c r="DQ45" i="196"/>
  <c r="F48" i="196"/>
  <c r="CY47" i="196"/>
  <c r="EG47" i="196" l="1"/>
  <c r="DQ46" i="196"/>
  <c r="F49" i="196"/>
  <c r="CY48" i="196"/>
  <c r="EG48" i="196" l="1"/>
  <c r="DQ47" i="196"/>
  <c r="F50" i="196"/>
  <c r="CY49" i="196"/>
  <c r="EG49" i="196" l="1"/>
  <c r="DQ48" i="196"/>
  <c r="F51" i="196"/>
  <c r="CY50" i="196"/>
  <c r="EG50" i="196" l="1"/>
  <c r="DQ49" i="196"/>
  <c r="F52" i="196"/>
  <c r="CY51" i="196"/>
  <c r="EG51" i="196" l="1"/>
  <c r="DQ50" i="196"/>
  <c r="F53" i="196"/>
  <c r="CY52" i="196"/>
  <c r="EG52" i="196" l="1"/>
  <c r="DQ51" i="196"/>
  <c r="F54" i="196"/>
  <c r="CY53" i="196"/>
  <c r="EG53" i="196" l="1"/>
  <c r="DQ52" i="196"/>
  <c r="F55" i="196"/>
  <c r="CY54" i="196"/>
  <c r="EG54" i="196" l="1"/>
  <c r="DQ53" i="196"/>
  <c r="F56" i="196"/>
  <c r="CY55" i="196"/>
  <c r="EG55" i="196" l="1"/>
  <c r="DQ54" i="196"/>
  <c r="F57" i="196"/>
  <c r="CY56" i="196"/>
  <c r="EG56" i="196" l="1"/>
  <c r="DQ55" i="196"/>
  <c r="F58" i="196"/>
  <c r="CY57" i="196"/>
  <c r="EG57" i="196" l="1"/>
  <c r="DQ56" i="196"/>
  <c r="F59" i="196"/>
  <c r="CY58" i="196"/>
  <c r="EG58" i="196" l="1"/>
  <c r="DQ57" i="196"/>
  <c r="F60" i="196"/>
  <c r="CY59" i="196"/>
  <c r="EG59" i="196" l="1"/>
  <c r="DQ58" i="196"/>
  <c r="CY60" i="196"/>
  <c r="EG60" i="196" l="1"/>
  <c r="DQ59" i="196"/>
  <c r="S42" i="249"/>
  <c r="CU42" i="196"/>
  <c r="B42" i="196"/>
  <c r="EC42" i="196" l="1"/>
  <c r="DM41" i="196"/>
  <c r="S43" i="249"/>
  <c r="B43" i="196"/>
  <c r="CU43" i="196"/>
  <c r="BP42" i="196"/>
  <c r="C42" i="196"/>
  <c r="CV42" i="196"/>
  <c r="C43" i="196" l="1"/>
  <c r="EC43" i="196"/>
  <c r="DM42" i="196"/>
  <c r="ED42" i="196"/>
  <c r="DN41" i="196"/>
  <c r="BP43" i="196"/>
  <c r="CF42" i="196" s="1"/>
  <c r="CV43" i="196"/>
  <c r="DN42" i="196" s="1"/>
  <c r="S44" i="249"/>
  <c r="CU44" i="196"/>
  <c r="CF41" i="196"/>
  <c r="B44" i="196"/>
  <c r="C44" i="196" l="1"/>
  <c r="EC44" i="196"/>
  <c r="DM43" i="196"/>
  <c r="ED43" i="196"/>
  <c r="BP44" i="196"/>
  <c r="CF43" i="196" s="1"/>
  <c r="CV44" i="196"/>
  <c r="ED44" i="196" l="1"/>
  <c r="DN43" i="196"/>
  <c r="R53" i="249"/>
  <c r="R60" i="249"/>
  <c r="R52" i="249"/>
  <c r="R59" i="249"/>
  <c r="R51" i="249"/>
  <c r="R58" i="249"/>
  <c r="R50" i="249"/>
  <c r="R57" i="249"/>
  <c r="R49" i="249"/>
  <c r="R56" i="249"/>
  <c r="R48" i="249"/>
  <c r="R55" i="249"/>
  <c r="R47" i="249"/>
  <c r="R54" i="249"/>
  <c r="R46" i="249"/>
  <c r="S45" i="249"/>
  <c r="B45" i="196"/>
  <c r="CU45" i="196"/>
  <c r="EC45" i="196" l="1"/>
  <c r="DM44" i="196"/>
  <c r="B46" i="196"/>
  <c r="S58" i="249"/>
  <c r="S47" i="249"/>
  <c r="S52" i="249"/>
  <c r="S56" i="249"/>
  <c r="S60" i="249"/>
  <c r="S54" i="249"/>
  <c r="S55" i="249"/>
  <c r="S49" i="249"/>
  <c r="S53" i="249"/>
  <c r="S59" i="249"/>
  <c r="BP45" i="196"/>
  <c r="CV45" i="196"/>
  <c r="C45" i="196"/>
  <c r="S57" i="249"/>
  <c r="S51" i="249"/>
  <c r="S48" i="249"/>
  <c r="CU46" i="196"/>
  <c r="DM45" i="196" s="1"/>
  <c r="S46" i="249"/>
  <c r="S50" i="249"/>
  <c r="B47" i="196" l="1"/>
  <c r="B48" i="196" s="1"/>
  <c r="ED45" i="196"/>
  <c r="DN44" i="196"/>
  <c r="EC46" i="196"/>
  <c r="BP54" i="196"/>
  <c r="BP52" i="196"/>
  <c r="BP55" i="196"/>
  <c r="BP51" i="196"/>
  <c r="BP60" i="196"/>
  <c r="CF60" i="196" s="1"/>
  <c r="BP56" i="196"/>
  <c r="BP53" i="196"/>
  <c r="BP47" i="196"/>
  <c r="BP48" i="196"/>
  <c r="BP59" i="196"/>
  <c r="BP57" i="196"/>
  <c r="BP50" i="196"/>
  <c r="BP49" i="196"/>
  <c r="BP58" i="196"/>
  <c r="BP46" i="196"/>
  <c r="CV46" i="196"/>
  <c r="CF44" i="196"/>
  <c r="CU47" i="196"/>
  <c r="DM46" i="196" s="1"/>
  <c r="C46" i="196"/>
  <c r="C47" i="196" s="1"/>
  <c r="C48" i="196" s="1"/>
  <c r="C49" i="196" s="1"/>
  <c r="C50" i="196" s="1"/>
  <c r="C51" i="196" s="1"/>
  <c r="C52" i="196" s="1"/>
  <c r="C53" i="196" s="1"/>
  <c r="C54" i="196" s="1"/>
  <c r="C55" i="196" s="1"/>
  <c r="C56" i="196" s="1"/>
  <c r="C57" i="196" s="1"/>
  <c r="C58" i="196" s="1"/>
  <c r="C59" i="196" s="1"/>
  <c r="C60" i="196" s="1"/>
  <c r="EC47" i="196" l="1"/>
  <c r="ED46" i="196"/>
  <c r="CF56" i="196"/>
  <c r="CF58" i="196"/>
  <c r="DN45" i="196"/>
  <c r="CF51" i="196"/>
  <c r="CF53" i="196"/>
  <c r="CF48" i="196"/>
  <c r="CF54" i="196"/>
  <c r="CF55" i="196"/>
  <c r="CF47" i="196"/>
  <c r="CF49" i="196"/>
  <c r="CF59" i="196"/>
  <c r="CF57" i="196"/>
  <c r="CF50" i="196"/>
  <c r="CF52" i="196"/>
  <c r="CF46" i="196"/>
  <c r="CF45" i="196"/>
  <c r="CV47" i="196"/>
  <c r="C61" i="196"/>
  <c r="C62" i="196" s="1"/>
  <c r="C63" i="196" s="1"/>
  <c r="C64" i="196" s="1"/>
  <c r="C65" i="196" s="1"/>
  <c r="C66" i="196" s="1"/>
  <c r="C67" i="196" s="1"/>
  <c r="C68" i="196" s="1"/>
  <c r="C69" i="196" s="1"/>
  <c r="C70" i="196" s="1"/>
  <c r="C71" i="196" s="1"/>
  <c r="C72" i="196" s="1"/>
  <c r="C73" i="196" s="1"/>
  <c r="C74" i="196" s="1"/>
  <c r="C75" i="196" s="1"/>
  <c r="C76" i="196" s="1"/>
  <c r="C77" i="196" s="1"/>
  <c r="C78" i="196" s="1"/>
  <c r="C79" i="196" s="1"/>
  <c r="C80" i="196" s="1"/>
  <c r="C81" i="196" s="1"/>
  <c r="C82" i="196" s="1"/>
  <c r="C83" i="196" s="1"/>
  <c r="C84" i="196" s="1"/>
  <c r="C85" i="196" s="1"/>
  <c r="C86" i="196" s="1"/>
  <c r="C87" i="196" s="1"/>
  <c r="C88" i="196" s="1"/>
  <c r="C89" i="196" s="1"/>
  <c r="C90" i="196" s="1"/>
  <c r="C91" i="196" s="1"/>
  <c r="C92" i="196" s="1"/>
  <c r="C93" i="196" s="1"/>
  <c r="C94" i="196" s="1"/>
  <c r="C95" i="196" s="1"/>
  <c r="C96" i="196" s="1"/>
  <c r="C97" i="196" s="1"/>
  <c r="C98" i="196" s="1"/>
  <c r="C99" i="196" s="1"/>
  <c r="C100" i="196" s="1"/>
  <c r="C101" i="196" s="1"/>
  <c r="C102" i="196" s="1"/>
  <c r="C103" i="196" s="1"/>
  <c r="C104" i="196" s="1"/>
  <c r="C105" i="196" s="1"/>
  <c r="C106" i="196" s="1"/>
  <c r="C107" i="196" s="1"/>
  <c r="C108" i="196" s="1"/>
  <c r="C109" i="196" s="1"/>
  <c r="C110" i="196" s="1"/>
  <c r="C111" i="196" s="1"/>
  <c r="C112" i="196" s="1"/>
  <c r="C113" i="196" s="1"/>
  <c r="C114" i="196" s="1"/>
  <c r="C115" i="196" s="1"/>
  <c r="C116" i="196" s="1"/>
  <c r="C117" i="196" s="1"/>
  <c r="C118" i="196" s="1"/>
  <c r="C119" i="196" s="1"/>
  <c r="C120" i="196" s="1"/>
  <c r="C121" i="196" s="1"/>
  <c r="C122" i="196" s="1"/>
  <c r="C123" i="196" s="1"/>
  <c r="B49" i="196"/>
  <c r="CU48" i="196"/>
  <c r="EC48" i="196" l="1"/>
  <c r="DM47" i="196"/>
  <c r="ED47" i="196"/>
  <c r="DN46" i="196"/>
  <c r="CV48" i="196"/>
  <c r="CU49" i="196"/>
  <c r="B50" i="196"/>
  <c r="EC49" i="196" l="1"/>
  <c r="ED48" i="196"/>
  <c r="DN47" i="196"/>
  <c r="DM48" i="196"/>
  <c r="CV49" i="196"/>
  <c r="CU50" i="196"/>
  <c r="DM49" i="196" s="1"/>
  <c r="B51" i="196"/>
  <c r="ED49" i="196" l="1"/>
  <c r="EC50" i="196"/>
  <c r="DN48" i="196"/>
  <c r="CV50" i="196"/>
  <c r="B52" i="196"/>
  <c r="CU51" i="196"/>
  <c r="EC51" i="196" l="1"/>
  <c r="ED50" i="196"/>
  <c r="DM50" i="196"/>
  <c r="DN49" i="196"/>
  <c r="CV51" i="196"/>
  <c r="B53" i="196"/>
  <c r="CU52" i="196"/>
  <c r="DM51" i="196" s="1"/>
  <c r="ED51" i="196" l="1"/>
  <c r="DN50" i="196"/>
  <c r="EC52" i="196"/>
  <c r="CV52" i="196"/>
  <c r="B54" i="196"/>
  <c r="CU53" i="196"/>
  <c r="EC53" i="196" l="1"/>
  <c r="ED52" i="196"/>
  <c r="DM52" i="196"/>
  <c r="DN51" i="196"/>
  <c r="CV53" i="196"/>
  <c r="B55" i="196"/>
  <c r="CU54" i="196"/>
  <c r="DM53" i="196" s="1"/>
  <c r="ED53" i="196" l="1"/>
  <c r="DN52" i="196"/>
  <c r="EC54" i="196"/>
  <c r="CV54" i="196"/>
  <c r="CU55" i="196"/>
  <c r="B56" i="196"/>
  <c r="ED54" i="196" l="1"/>
  <c r="EC55" i="196"/>
  <c r="DM54" i="196"/>
  <c r="DN53" i="196"/>
  <c r="CV55" i="196"/>
  <c r="B57" i="196"/>
  <c r="CU56" i="196"/>
  <c r="DM55" i="196" s="1"/>
  <c r="ED55" i="196" l="1"/>
  <c r="DN54" i="196"/>
  <c r="EC56" i="196"/>
  <c r="CV56" i="196"/>
  <c r="CU57" i="196"/>
  <c r="B58" i="196"/>
  <c r="EC57" i="196" l="1"/>
  <c r="ED56" i="196"/>
  <c r="DM56" i="196"/>
  <c r="DN55" i="196"/>
  <c r="CV57" i="196"/>
  <c r="CU58" i="196"/>
  <c r="DM57" i="196" s="1"/>
  <c r="B59" i="196"/>
  <c r="EC58" i="196" l="1"/>
  <c r="ED57" i="196"/>
  <c r="DN56" i="196"/>
  <c r="CV58" i="196"/>
  <c r="B60" i="196"/>
  <c r="CU59" i="196"/>
  <c r="EC59" i="196" l="1"/>
  <c r="ED58" i="196"/>
  <c r="DN57" i="196"/>
  <c r="DM58" i="196"/>
  <c r="CV59" i="196"/>
  <c r="CU60" i="196"/>
  <c r="EC60" i="196" s="1"/>
  <c r="ED59" i="196" l="1"/>
  <c r="DN58" i="196"/>
  <c r="DM59" i="196"/>
  <c r="CV60" i="196"/>
  <c r="ED60" i="196" s="1"/>
  <c r="DN59" i="196" l="1"/>
  <c r="CV61" i="196"/>
  <c r="CV62" i="196" l="1"/>
  <c r="DN92" i="196"/>
  <c r="DN68" i="196"/>
  <c r="DN99" i="196"/>
  <c r="DN122" i="196"/>
  <c r="DN62" i="196"/>
  <c r="DN93" i="196"/>
  <c r="DN115" i="196"/>
  <c r="DN78" i="196"/>
  <c r="DN90" i="196"/>
  <c r="DN104" i="196"/>
  <c r="DN120" i="196"/>
  <c r="DN116" i="196"/>
  <c r="DN63" i="196"/>
  <c r="DN100" i="196"/>
  <c r="DN83" i="196"/>
  <c r="DN66" i="196"/>
  <c r="DN74" i="196"/>
  <c r="DN75" i="196"/>
  <c r="DN84" i="196"/>
  <c r="DN89" i="196"/>
  <c r="DN118" i="196"/>
  <c r="DN88" i="196"/>
  <c r="DN73" i="196"/>
  <c r="DN71" i="196"/>
  <c r="DN95" i="196"/>
  <c r="DN65" i="196"/>
  <c r="DN102" i="196"/>
  <c r="DN70" i="196"/>
  <c r="DN72" i="196"/>
  <c r="DN98" i="196"/>
  <c r="DN96" i="196"/>
  <c r="DN117" i="196"/>
  <c r="DN103" i="196"/>
  <c r="DN108" i="196"/>
  <c r="DN76" i="196"/>
  <c r="DN61" i="196"/>
  <c r="DN82" i="196"/>
  <c r="DN119" i="196"/>
  <c r="DN109" i="196"/>
  <c r="DN79" i="196"/>
  <c r="DN81" i="196"/>
  <c r="DN86" i="196"/>
  <c r="DN67" i="196"/>
  <c r="DN85" i="196"/>
  <c r="DN91" i="196"/>
  <c r="DN60" i="196"/>
  <c r="ED61" i="196" s="1"/>
  <c r="DN107" i="196"/>
  <c r="DN97" i="196"/>
  <c r="DN87" i="196"/>
  <c r="DN106" i="196"/>
  <c r="DN105" i="196"/>
  <c r="DN77" i="196"/>
  <c r="DN101" i="196"/>
  <c r="DN114" i="196"/>
  <c r="DN113" i="196"/>
  <c r="DN111" i="196"/>
  <c r="DN69" i="196"/>
  <c r="DN110" i="196"/>
  <c r="DN80" i="196"/>
  <c r="DN121" i="196"/>
  <c r="DN112" i="196"/>
  <c r="DN94" i="196"/>
  <c r="DN64" i="196"/>
  <c r="J45" i="196"/>
  <c r="CV63" i="196" l="1"/>
  <c r="ED62" i="196"/>
  <c r="J46" i="196"/>
  <c r="CV64" i="196" l="1"/>
  <c r="ED63" i="196"/>
  <c r="I36" i="196"/>
  <c r="CV65" i="196" l="1"/>
  <c r="ED64" i="196"/>
  <c r="DB36" i="196"/>
  <c r="DC35" i="196"/>
  <c r="I37" i="196"/>
  <c r="CV66" i="196" l="1"/>
  <c r="ED65" i="196"/>
  <c r="EK35" i="196"/>
  <c r="DU34" i="196"/>
  <c r="EJ36" i="196"/>
  <c r="DT35" i="196"/>
  <c r="I38" i="196"/>
  <c r="DC36" i="196"/>
  <c r="DB37" i="196"/>
  <c r="CV67" i="196" l="1"/>
  <c r="ED66" i="196"/>
  <c r="EK36" i="196"/>
  <c r="DU35" i="196"/>
  <c r="EJ37" i="196"/>
  <c r="DT36" i="196"/>
  <c r="DB38" i="196"/>
  <c r="DC37" i="196"/>
  <c r="I39" i="196"/>
  <c r="CV68" i="196" l="1"/>
  <c r="ED67" i="196"/>
  <c r="EK37" i="196"/>
  <c r="DU36" i="196"/>
  <c r="EJ38" i="196"/>
  <c r="DT37" i="196"/>
  <c r="DC38" i="196"/>
  <c r="I40" i="196"/>
  <c r="DB39" i="196"/>
  <c r="CV69" i="196" l="1"/>
  <c r="ED68" i="196"/>
  <c r="EK38" i="196"/>
  <c r="DU37" i="196"/>
  <c r="EJ39" i="196"/>
  <c r="DT38" i="196"/>
  <c r="DC39" i="196"/>
  <c r="I41" i="196"/>
  <c r="DB40" i="196"/>
  <c r="CV70" i="196" l="1"/>
  <c r="ED69" i="196"/>
  <c r="EK39" i="196"/>
  <c r="DU38" i="196"/>
  <c r="EJ40" i="196"/>
  <c r="DT39" i="196"/>
  <c r="DC40" i="196"/>
  <c r="DB41" i="196"/>
  <c r="I42" i="196"/>
  <c r="CV71" i="196" l="1"/>
  <c r="ED70" i="196"/>
  <c r="EK40" i="196"/>
  <c r="DU39" i="196"/>
  <c r="EJ41" i="196"/>
  <c r="DT40" i="196"/>
  <c r="DB42" i="196"/>
  <c r="I43" i="196"/>
  <c r="DC41" i="196"/>
  <c r="CV72" i="196" l="1"/>
  <c r="ED71" i="196"/>
  <c r="EK41" i="196"/>
  <c r="DU40" i="196"/>
  <c r="EJ42" i="196"/>
  <c r="DT41" i="196"/>
  <c r="I44" i="196"/>
  <c r="DC42" i="196"/>
  <c r="DB43" i="196"/>
  <c r="CV73" i="196" l="1"/>
  <c r="ED72" i="196"/>
  <c r="EK42" i="196"/>
  <c r="DU41" i="196"/>
  <c r="EJ43" i="196"/>
  <c r="DT42" i="196"/>
  <c r="DC43" i="196"/>
  <c r="I45" i="196"/>
  <c r="DB44" i="196"/>
  <c r="CV74" i="196" l="1"/>
  <c r="ED73" i="196"/>
  <c r="EK43" i="196"/>
  <c r="DU42" i="196"/>
  <c r="EJ44" i="196"/>
  <c r="DT43" i="196"/>
  <c r="I46" i="196"/>
  <c r="DC44" i="196"/>
  <c r="DB45" i="196"/>
  <c r="CV75" i="196" l="1"/>
  <c r="ED74" i="196"/>
  <c r="EK44" i="196"/>
  <c r="DU43" i="196"/>
  <c r="EJ45" i="196"/>
  <c r="DT44" i="196"/>
  <c r="DB46" i="196"/>
  <c r="DC45" i="196"/>
  <c r="CV76" i="196" l="1"/>
  <c r="ED75" i="196"/>
  <c r="EK45" i="196"/>
  <c r="DU44" i="196"/>
  <c r="EJ46" i="196"/>
  <c r="DT45" i="196"/>
  <c r="DC46" i="196"/>
  <c r="CV77" i="196" l="1"/>
  <c r="ED76" i="196"/>
  <c r="EK46" i="196"/>
  <c r="DU45" i="196"/>
  <c r="CV78" i="196" l="1"/>
  <c r="ED77" i="196"/>
  <c r="CV79" i="196" l="1"/>
  <c r="ED78" i="196"/>
  <c r="CV80" i="196" l="1"/>
  <c r="ED79" i="196"/>
  <c r="CV81" i="196" l="1"/>
  <c r="ED80" i="196"/>
  <c r="CV82" i="196" l="1"/>
  <c r="ED81" i="196"/>
  <c r="CV83" i="196" l="1"/>
  <c r="ED82" i="196"/>
  <c r="CV84" i="196" l="1"/>
  <c r="ED83" i="196"/>
  <c r="CV85" i="196" l="1"/>
  <c r="ED84" i="196"/>
  <c r="CV86" i="196" l="1"/>
  <c r="ED85" i="196"/>
  <c r="CV87" i="196" l="1"/>
  <c r="ED86" i="196"/>
  <c r="CV88" i="196" l="1"/>
  <c r="ED87" i="196"/>
  <c r="CV89" i="196" l="1"/>
  <c r="ED88" i="196"/>
  <c r="CV90" i="196" l="1"/>
  <c r="ED89" i="196"/>
  <c r="CV91" i="196" l="1"/>
  <c r="ED90" i="196"/>
  <c r="CV92" i="196" l="1"/>
  <c r="ED91" i="196"/>
  <c r="CV93" i="196" l="1"/>
  <c r="ED92" i="196"/>
  <c r="CV94" i="196" l="1"/>
  <c r="ED93" i="196"/>
  <c r="CV95" i="196" l="1"/>
  <c r="ED94" i="196"/>
  <c r="CV96" i="196" l="1"/>
  <c r="ED95" i="196"/>
  <c r="CV97" i="196" l="1"/>
  <c r="ED96" i="196"/>
  <c r="CV98" i="196" l="1"/>
  <c r="ED97" i="196"/>
  <c r="CV99" i="196" l="1"/>
  <c r="ED98" i="196"/>
  <c r="CV100" i="196" l="1"/>
  <c r="ED99" i="196"/>
  <c r="CV101" i="196" l="1"/>
  <c r="ED100" i="196"/>
  <c r="CV102" i="196" l="1"/>
  <c r="ED101" i="196"/>
  <c r="CV103" i="196" l="1"/>
  <c r="ED102" i="196"/>
  <c r="CV104" i="196" l="1"/>
  <c r="ED103" i="196"/>
  <c r="CV105" i="196" l="1"/>
  <c r="ED104" i="196"/>
  <c r="CV106" i="196" l="1"/>
  <c r="ED105" i="196"/>
  <c r="CV107" i="196" l="1"/>
  <c r="ED106" i="196"/>
  <c r="CV108" i="196" l="1"/>
  <c r="ED107" i="196"/>
  <c r="CV109" i="196" l="1"/>
  <c r="ED108" i="196"/>
  <c r="CV110" i="196" l="1"/>
  <c r="ED109" i="196"/>
  <c r="CV111" i="196" l="1"/>
  <c r="ED110" i="196"/>
  <c r="CV112" i="196" l="1"/>
  <c r="ED111" i="196"/>
  <c r="CV113" i="196" l="1"/>
  <c r="ED112" i="196"/>
  <c r="CV114" i="196" l="1"/>
  <c r="ED113" i="196"/>
  <c r="CV115" i="196" l="1"/>
  <c r="ED114" i="196"/>
  <c r="CV116" i="196" l="1"/>
  <c r="ED115" i="196"/>
  <c r="CV117" i="196" l="1"/>
  <c r="ED116" i="196"/>
  <c r="CV118" i="196" l="1"/>
  <c r="ED117" i="196"/>
  <c r="CV119" i="196" l="1"/>
  <c r="ED118" i="196"/>
  <c r="CV120" i="196" l="1"/>
  <c r="ED119" i="196"/>
  <c r="CV121" i="196" l="1"/>
  <c r="ED120" i="196"/>
  <c r="CV122" i="196" l="1"/>
  <c r="ED121" i="196"/>
  <c r="CV123" i="196" l="1"/>
  <c r="ED122" i="196"/>
  <c r="ED123" i="196" l="1"/>
  <c r="DC77" i="196" l="1"/>
  <c r="DC78" i="196" l="1"/>
  <c r="DC79" i="196" l="1"/>
  <c r="DC80" i="196" s="1"/>
  <c r="DC81" i="196" s="1"/>
  <c r="DC82" i="196" s="1"/>
  <c r="DC83" i="196" s="1"/>
  <c r="DC84" i="196" s="1"/>
  <c r="DC85" i="196" s="1"/>
  <c r="DC86" i="196" s="1"/>
  <c r="DC87" i="196" s="1"/>
  <c r="DC88" i="196" s="1"/>
  <c r="DC89" i="196" s="1"/>
  <c r="DC90" i="196" s="1"/>
  <c r="DC91" i="196" s="1"/>
  <c r="DC92" i="196" s="1"/>
  <c r="DC93" i="196" s="1"/>
  <c r="DC94" i="196" s="1"/>
  <c r="DC95" i="196" s="1"/>
  <c r="DC96" i="196" s="1"/>
  <c r="DC97" i="196" s="1"/>
  <c r="DC98" i="196" s="1"/>
  <c r="DC99" i="196" s="1"/>
  <c r="DC100" i="196" s="1"/>
  <c r="DC101" i="196" s="1"/>
  <c r="DC102" i="196" s="1"/>
  <c r="DC103" i="196" s="1"/>
  <c r="DC104" i="196" s="1"/>
  <c r="DC105" i="196" s="1"/>
  <c r="DC106" i="196" s="1"/>
  <c r="DC107" i="196" s="1"/>
  <c r="DC108" i="196" s="1"/>
  <c r="DC109" i="196" s="1"/>
  <c r="DC110" i="196" s="1"/>
  <c r="DC111" i="196" s="1"/>
  <c r="DC112" i="196" s="1"/>
  <c r="DC113" i="196" s="1"/>
  <c r="DC114" i="196" s="1"/>
  <c r="DC115" i="196" s="1"/>
  <c r="DC116" i="196" s="1"/>
  <c r="DC117" i="196" s="1"/>
  <c r="DC118" i="196" s="1"/>
  <c r="DC119" i="196" s="1"/>
  <c r="DC120" i="196" s="1"/>
  <c r="DC121" i="196" s="1"/>
  <c r="DC122" i="196" s="1"/>
  <c r="DC123" i="196" s="1"/>
  <c r="DB98" i="196" l="1"/>
  <c r="DB99" i="196" l="1"/>
  <c r="DB100" i="196" l="1"/>
  <c r="DB101" i="196" s="1"/>
  <c r="DB102" i="196" s="1"/>
  <c r="DB103" i="196" s="1"/>
  <c r="DB104" i="196" s="1"/>
  <c r="DB105" i="196" s="1"/>
  <c r="DB106" i="196" s="1"/>
  <c r="DB107" i="196" s="1"/>
  <c r="DB108" i="196" s="1"/>
  <c r="DB109" i="196" s="1"/>
  <c r="DB110" i="196" s="1"/>
  <c r="DB111" i="196" s="1"/>
  <c r="DB112" i="196" s="1"/>
  <c r="DB113" i="196" s="1"/>
  <c r="DB114" i="196" s="1"/>
  <c r="DB115" i="196" s="1"/>
  <c r="DB116" i="196" s="1"/>
  <c r="DB117" i="196" s="1"/>
  <c r="DB118" i="196" s="1"/>
  <c r="DB119" i="196" s="1"/>
  <c r="DB120" i="196" s="1"/>
  <c r="DB121" i="196" s="1"/>
  <c r="DB122" i="196" s="1"/>
  <c r="DB123" i="196" s="1"/>
  <c r="BZ22" i="196" l="1"/>
  <c r="BZ23" i="196" l="1"/>
  <c r="BZ24" i="196" l="1"/>
  <c r="BZ25" i="196" l="1"/>
  <c r="BZ26" i="196" l="1"/>
  <c r="BZ27" i="196"/>
  <c r="BZ6" i="196" l="1"/>
  <c r="AS6" i="248"/>
  <c r="AS16" i="248"/>
  <c r="BZ11" i="196"/>
  <c r="AS11" i="248"/>
  <c r="BZ7" i="196" l="1"/>
  <c r="CP6" i="196" s="1"/>
  <c r="AS7" i="248"/>
  <c r="AS10" i="248"/>
  <c r="BZ10" i="196"/>
  <c r="CP10" i="196" s="1"/>
  <c r="AS5" i="248"/>
  <c r="BZ5" i="196"/>
  <c r="CP5" i="196" s="1"/>
  <c r="BZ9" i="196"/>
  <c r="AS9" i="248"/>
  <c r="AS15" i="248"/>
  <c r="AS17" i="248"/>
  <c r="AS8" i="248"/>
  <c r="BZ8" i="196"/>
  <c r="CP8" i="196" l="1"/>
  <c r="CP9" i="196"/>
  <c r="AS4" i="248"/>
  <c r="BZ4" i="196"/>
  <c r="CP4" i="196" s="1"/>
  <c r="AS18" i="248"/>
  <c r="BZ12" i="196"/>
  <c r="AS12" i="248"/>
  <c r="AS14" i="248"/>
  <c r="M14" i="196"/>
  <c r="M15" i="196" s="1"/>
  <c r="M16" i="196" s="1"/>
  <c r="M17" i="196" s="1"/>
  <c r="AS13" i="248"/>
  <c r="BZ13" i="196"/>
  <c r="CP7" i="196"/>
  <c r="M18" i="196" l="1"/>
  <c r="M19" i="196" s="1"/>
  <c r="CP12" i="196"/>
  <c r="CP11" i="196"/>
  <c r="CP45" i="196" s="1"/>
  <c r="AS19" i="248"/>
  <c r="BZ3" i="196"/>
  <c r="CP3" i="196" s="1"/>
  <c r="AS3" i="248"/>
  <c r="CP123" i="196"/>
  <c r="CP62" i="196"/>
  <c r="CP75" i="196"/>
  <c r="CP102" i="196"/>
  <c r="CP117" i="196"/>
  <c r="CP23" i="196"/>
  <c r="CP19" i="196"/>
  <c r="CP54" i="196"/>
  <c r="CP106" i="196"/>
  <c r="CP108" i="196"/>
  <c r="CP122" i="196"/>
  <c r="CP97" i="196"/>
  <c r="CP70" i="196"/>
  <c r="CP26" i="196"/>
  <c r="CP67" i="196"/>
  <c r="CP25" i="196"/>
  <c r="CP107" i="196"/>
  <c r="CP16" i="196"/>
  <c r="CP52" i="196"/>
  <c r="CP96" i="196"/>
  <c r="CP60" i="196"/>
  <c r="CP57" i="196"/>
  <c r="CP58" i="196"/>
  <c r="CP93" i="196"/>
  <c r="CP71" i="196" l="1"/>
  <c r="CP38" i="196"/>
  <c r="CP39" i="196"/>
  <c r="CP105" i="196"/>
  <c r="CP42" i="196"/>
  <c r="CP66" i="196"/>
  <c r="CP100" i="196"/>
  <c r="CP44" i="196"/>
  <c r="CP80" i="196"/>
  <c r="CP81" i="196"/>
  <c r="CP99" i="196"/>
  <c r="CP114" i="196"/>
  <c r="CP30" i="196"/>
  <c r="CP111" i="196"/>
  <c r="CP50" i="196"/>
  <c r="CP110" i="196"/>
  <c r="CP109" i="196"/>
  <c r="CP69" i="196"/>
  <c r="CP72" i="196"/>
  <c r="CP18" i="196"/>
  <c r="CP17" i="196"/>
  <c r="CP14" i="196"/>
  <c r="CP101" i="196"/>
  <c r="CP92" i="196"/>
  <c r="CP91" i="196"/>
  <c r="CP46" i="196"/>
  <c r="CP35" i="196"/>
  <c r="CP15" i="196"/>
  <c r="CP120" i="196"/>
  <c r="CP65" i="196"/>
  <c r="CP40" i="196"/>
  <c r="CP59" i="196"/>
  <c r="CP104" i="196"/>
  <c r="CP121" i="196"/>
  <c r="CP20" i="196"/>
  <c r="CP83" i="196"/>
  <c r="CP43" i="196"/>
  <c r="CP90" i="196"/>
  <c r="CP94" i="196"/>
  <c r="CP95" i="196"/>
  <c r="CP85" i="196"/>
  <c r="CP73" i="196"/>
  <c r="CP113" i="196"/>
  <c r="CP115" i="196"/>
  <c r="CP28" i="196"/>
  <c r="CP37" i="196"/>
  <c r="CP55" i="196"/>
  <c r="CP79" i="196"/>
  <c r="CP53" i="196"/>
  <c r="CP48" i="196"/>
  <c r="CP34" i="196"/>
  <c r="CP74" i="196"/>
  <c r="CP98" i="196"/>
  <c r="CP33" i="196"/>
  <c r="CP27" i="196"/>
  <c r="CP103" i="196"/>
  <c r="CP77" i="196"/>
  <c r="CP21" i="196"/>
  <c r="CP119" i="196"/>
  <c r="CP36" i="196"/>
  <c r="CP88" i="196"/>
  <c r="CP63" i="196"/>
  <c r="CP116" i="196"/>
  <c r="CP56" i="196"/>
  <c r="CP24" i="196"/>
  <c r="CP61" i="196"/>
  <c r="CP87" i="196"/>
  <c r="CP51" i="196"/>
  <c r="CP84" i="196"/>
  <c r="CP89" i="196"/>
  <c r="CP49" i="196"/>
  <c r="CP112" i="196"/>
  <c r="CP76" i="196"/>
  <c r="CP82" i="196"/>
  <c r="CP29" i="196"/>
  <c r="CP118" i="196"/>
  <c r="CP32" i="196"/>
  <c r="CP31" i="196"/>
  <c r="CP41" i="196"/>
  <c r="CP22" i="196"/>
  <c r="CP47" i="196"/>
  <c r="CP68" i="196"/>
  <c r="CP78" i="196"/>
  <c r="CP13" i="196"/>
  <c r="DF14" i="196" s="1"/>
  <c r="DX13" i="196" s="1"/>
  <c r="CP64" i="196"/>
  <c r="CP86" i="196"/>
  <c r="AS20" i="248"/>
  <c r="EN14" i="196" l="1"/>
  <c r="DF15" i="196"/>
  <c r="DX14" i="196" s="1"/>
  <c r="M20" i="196"/>
  <c r="AS21" i="248"/>
  <c r="EN15" i="196" l="1"/>
  <c r="DF16" i="196"/>
  <c r="EN16" i="196" s="1"/>
  <c r="M21" i="196"/>
  <c r="AS22" i="248"/>
  <c r="DF17" i="196"/>
  <c r="DX15" i="196" l="1"/>
  <c r="DX16" i="196"/>
  <c r="DF18" i="196"/>
  <c r="EN17" i="196"/>
  <c r="AS23" i="248"/>
  <c r="M22" i="196"/>
  <c r="M23" i="196" s="1"/>
  <c r="AS24" i="248" l="1"/>
  <c r="DX17" i="196"/>
  <c r="EN18" i="196"/>
  <c r="DF19" i="196"/>
  <c r="M24" i="196" l="1"/>
  <c r="DX18" i="196"/>
  <c r="EN19" i="196"/>
  <c r="DF20" i="196"/>
  <c r="AS25" i="248"/>
  <c r="M25" i="196" l="1"/>
  <c r="AS26" i="248"/>
  <c r="DX19" i="196"/>
  <c r="DF21" i="196"/>
  <c r="DX20" i="196" s="1"/>
  <c r="EN20" i="196"/>
  <c r="M26" i="196" l="1"/>
  <c r="EN21" i="196"/>
  <c r="DF22" i="196"/>
  <c r="AS27" i="248"/>
  <c r="M27" i="196" l="1"/>
  <c r="M28" i="196" s="1"/>
  <c r="M29" i="196" s="1"/>
  <c r="M30" i="196" s="1"/>
  <c r="M31" i="196" s="1"/>
  <c r="M32" i="196" s="1"/>
  <c r="M33" i="196" s="1"/>
  <c r="M34" i="196" s="1"/>
  <c r="M35" i="196" s="1"/>
  <c r="M36" i="196" s="1"/>
  <c r="M37" i="196" s="1"/>
  <c r="M38" i="196" s="1"/>
  <c r="M39" i="196" s="1"/>
  <c r="M40" i="196" s="1"/>
  <c r="M41" i="196" s="1"/>
  <c r="M42" i="196" s="1"/>
  <c r="M43" i="196" s="1"/>
  <c r="M44" i="196" s="1"/>
  <c r="M45" i="196" s="1"/>
  <c r="M46" i="196" s="1"/>
  <c r="M47" i="196" s="1"/>
  <c r="M48" i="196" s="1"/>
  <c r="M49" i="196" s="1"/>
  <c r="M50" i="196" s="1"/>
  <c r="M51" i="196" s="1"/>
  <c r="M52" i="196" s="1"/>
  <c r="M53" i="196" s="1"/>
  <c r="M54" i="196" s="1"/>
  <c r="M55" i="196" s="1"/>
  <c r="M56" i="196" s="1"/>
  <c r="M57" i="196" s="1"/>
  <c r="M58" i="196" s="1"/>
  <c r="M59" i="196" s="1"/>
  <c r="M60" i="196" s="1"/>
  <c r="M61" i="196" s="1"/>
  <c r="M62" i="196" s="1"/>
  <c r="M63" i="196" s="1"/>
  <c r="M64" i="196" s="1"/>
  <c r="M65" i="196" s="1"/>
  <c r="M66" i="196" s="1"/>
  <c r="M67" i="196" s="1"/>
  <c r="M68" i="196" s="1"/>
  <c r="M69" i="196" s="1"/>
  <c r="M70" i="196" s="1"/>
  <c r="M71" i="196" s="1"/>
  <c r="M72" i="196" s="1"/>
  <c r="M73" i="196" s="1"/>
  <c r="M74" i="196" s="1"/>
  <c r="M75" i="196" s="1"/>
  <c r="M76" i="196" s="1"/>
  <c r="M77" i="196" s="1"/>
  <c r="M78" i="196" s="1"/>
  <c r="M79" i="196" s="1"/>
  <c r="M80" i="196" s="1"/>
  <c r="M81" i="196" s="1"/>
  <c r="M82" i="196" s="1"/>
  <c r="M83" i="196" s="1"/>
  <c r="M84" i="196" s="1"/>
  <c r="M85" i="196" s="1"/>
  <c r="M86" i="196" s="1"/>
  <c r="M87" i="196" s="1"/>
  <c r="M88" i="196" s="1"/>
  <c r="M89" i="196" s="1"/>
  <c r="M90" i="196" s="1"/>
  <c r="M91" i="196" s="1"/>
  <c r="M92" i="196" s="1"/>
  <c r="M93" i="196" s="1"/>
  <c r="M94" i="196" s="1"/>
  <c r="M95" i="196" s="1"/>
  <c r="M96" i="196" s="1"/>
  <c r="M97" i="196" s="1"/>
  <c r="M98" i="196" s="1"/>
  <c r="M99" i="196" s="1"/>
  <c r="M100" i="196" s="1"/>
  <c r="M101" i="196" s="1"/>
  <c r="M102" i="196" s="1"/>
  <c r="M103" i="196" s="1"/>
  <c r="M104" i="196" s="1"/>
  <c r="M105" i="196" s="1"/>
  <c r="M106" i="196" s="1"/>
  <c r="M107" i="196" s="1"/>
  <c r="M108" i="196" s="1"/>
  <c r="M109" i="196" s="1"/>
  <c r="M110" i="196" s="1"/>
  <c r="M111" i="196" s="1"/>
  <c r="M112" i="196" s="1"/>
  <c r="M113" i="196" s="1"/>
  <c r="M114" i="196" s="1"/>
  <c r="M115" i="196" s="1"/>
  <c r="M116" i="196" s="1"/>
  <c r="M117" i="196" s="1"/>
  <c r="M118" i="196" s="1"/>
  <c r="M119" i="196" s="1"/>
  <c r="M120" i="196" s="1"/>
  <c r="M121" i="196" s="1"/>
  <c r="M122" i="196" s="1"/>
  <c r="M123" i="196" s="1"/>
  <c r="DX21" i="196"/>
  <c r="DF23" i="196"/>
  <c r="EN22" i="196"/>
  <c r="DX22" i="196" l="1"/>
  <c r="DF24" i="196"/>
  <c r="DX23" i="196" s="1"/>
  <c r="EN23" i="196"/>
  <c r="DF25" i="196" l="1"/>
  <c r="DF26" i="196" s="1"/>
  <c r="EN24" i="196"/>
  <c r="DX24" i="196" l="1"/>
  <c r="EN25" i="196" s="1"/>
  <c r="DX25" i="196"/>
  <c r="EN26" i="196"/>
  <c r="DF27" i="196"/>
  <c r="EN27" i="196" l="1"/>
  <c r="DF28" i="196"/>
  <c r="DX39" i="196"/>
  <c r="DX69" i="196"/>
  <c r="DX88" i="196"/>
  <c r="DX83" i="196"/>
  <c r="DX70" i="196"/>
  <c r="DX119" i="196"/>
  <c r="DX95" i="196"/>
  <c r="DX42" i="196"/>
  <c r="DX87" i="196"/>
  <c r="DX116" i="196"/>
  <c r="DX120" i="196"/>
  <c r="DX92" i="196"/>
  <c r="DX47" i="196"/>
  <c r="DX122" i="196"/>
  <c r="DX28" i="196"/>
  <c r="DX106" i="196"/>
  <c r="DX37" i="196"/>
  <c r="DX100" i="196"/>
  <c r="DX34" i="196"/>
  <c r="DX113" i="196"/>
  <c r="DX65" i="196"/>
  <c r="DX105" i="196"/>
  <c r="DX84" i="196"/>
  <c r="DX61" i="196"/>
  <c r="DX46" i="196"/>
  <c r="DX32" i="196"/>
  <c r="DX103" i="196"/>
  <c r="DX29" i="196"/>
  <c r="DX85" i="196"/>
  <c r="DX102" i="196"/>
  <c r="DX104" i="196"/>
  <c r="DX71" i="196"/>
  <c r="DX40" i="196"/>
  <c r="DX108" i="196"/>
  <c r="DX64" i="196"/>
  <c r="DX98" i="196"/>
  <c r="DX53" i="196"/>
  <c r="DX45" i="196"/>
  <c r="DX75" i="196"/>
  <c r="DX62" i="196"/>
  <c r="DX74" i="196"/>
  <c r="DX30" i="196"/>
  <c r="DX68" i="196"/>
  <c r="DX99" i="196"/>
  <c r="DX73" i="196"/>
  <c r="DX59" i="196"/>
  <c r="DX58" i="196"/>
  <c r="DX79" i="196"/>
  <c r="DX41" i="196"/>
  <c r="DX57" i="196"/>
  <c r="DX48" i="196"/>
  <c r="DX101" i="196"/>
  <c r="DX97" i="196"/>
  <c r="DX77" i="196"/>
  <c r="DX117" i="196"/>
  <c r="DX49" i="196"/>
  <c r="DX121" i="196"/>
  <c r="DX81" i="196"/>
  <c r="DX55" i="196"/>
  <c r="DX60" i="196"/>
  <c r="DX43" i="196"/>
  <c r="DX82" i="196"/>
  <c r="DX50" i="196"/>
  <c r="DX114" i="196"/>
  <c r="DX89" i="196"/>
  <c r="DX76" i="196"/>
  <c r="DX111" i="196"/>
  <c r="DX54" i="196"/>
  <c r="DX93" i="196"/>
  <c r="DX26" i="196"/>
  <c r="DX118" i="196"/>
  <c r="DX56" i="196"/>
  <c r="DX112" i="196"/>
  <c r="DX90" i="196"/>
  <c r="DX110" i="196"/>
  <c r="DX63" i="196"/>
  <c r="DX35" i="196"/>
  <c r="DX67" i="196"/>
  <c r="DX44" i="196"/>
  <c r="DX80" i="196"/>
  <c r="DX33" i="196"/>
  <c r="DX115" i="196"/>
  <c r="DX107" i="196"/>
  <c r="DX78" i="196"/>
  <c r="DX51" i="196"/>
  <c r="DX109" i="196"/>
  <c r="DX96" i="196"/>
  <c r="DX38" i="196"/>
  <c r="DX52" i="196"/>
  <c r="DX36" i="196"/>
  <c r="DX86" i="196"/>
  <c r="DX91" i="196"/>
  <c r="DX27" i="196"/>
  <c r="DX31" i="196"/>
  <c r="DX66" i="196"/>
  <c r="DX72" i="196"/>
  <c r="DX94" i="196"/>
  <c r="DF29" i="196" l="1"/>
  <c r="EN28" i="196"/>
  <c r="DF30" i="196" l="1"/>
  <c r="EN29" i="196"/>
  <c r="DF31" i="196" l="1"/>
  <c r="EN30" i="196"/>
  <c r="DF32" i="196" l="1"/>
  <c r="EN31" i="196"/>
  <c r="DF33" i="196" l="1"/>
  <c r="EN32" i="196"/>
  <c r="DF34" i="196" l="1"/>
  <c r="EN33" i="196"/>
  <c r="DF35" i="196" l="1"/>
  <c r="EN34" i="196"/>
  <c r="DF36" i="196" l="1"/>
  <c r="EN35" i="196"/>
  <c r="DF37" i="196" l="1"/>
  <c r="EN36" i="196"/>
  <c r="DF38" i="196" l="1"/>
  <c r="EN37" i="196"/>
  <c r="DF39" i="196" l="1"/>
  <c r="EN38" i="196"/>
  <c r="DF40" i="196" l="1"/>
  <c r="EN39" i="196"/>
  <c r="DF41" i="196" l="1"/>
  <c r="EN40" i="196"/>
  <c r="DF42" i="196" l="1"/>
  <c r="EN41" i="196"/>
  <c r="DF43" i="196" l="1"/>
  <c r="EN42" i="196"/>
  <c r="DF44" i="196" l="1"/>
  <c r="EN43" i="196"/>
  <c r="DF45" i="196" l="1"/>
  <c r="EN44" i="196"/>
  <c r="DF46" i="196" l="1"/>
  <c r="EN45" i="196"/>
  <c r="DF47" i="196" l="1"/>
  <c r="EN46" i="196"/>
  <c r="DF48" i="196" l="1"/>
  <c r="EN47" i="196"/>
  <c r="DF49" i="196" l="1"/>
  <c r="EN48" i="196"/>
  <c r="EN49" i="196" l="1"/>
  <c r="DF50" i="196"/>
  <c r="DF51" i="196" l="1"/>
  <c r="EN50" i="196"/>
  <c r="DF52" i="196" l="1"/>
  <c r="EN51" i="196"/>
  <c r="DF53" i="196" l="1"/>
  <c r="EN52" i="196"/>
  <c r="DF54" i="196" l="1"/>
  <c r="EN53" i="196"/>
  <c r="DF55" i="196" l="1"/>
  <c r="EN54" i="196"/>
  <c r="DF56" i="196" l="1"/>
  <c r="EN55" i="196"/>
  <c r="DF57" i="196" l="1"/>
  <c r="EN56" i="196"/>
  <c r="DF58" i="196" l="1"/>
  <c r="EN57" i="196"/>
  <c r="DF59" i="196" l="1"/>
  <c r="EN58" i="196"/>
  <c r="DF60" i="196" l="1"/>
  <c r="EN59" i="196"/>
  <c r="DF61" i="196" l="1"/>
  <c r="EN60" i="196"/>
  <c r="DF62" i="196" l="1"/>
  <c r="EN61" i="196"/>
  <c r="DF63" i="196" l="1"/>
  <c r="EN62" i="196"/>
  <c r="DF64" i="196" l="1"/>
  <c r="EN63" i="196"/>
  <c r="DF65" i="196" l="1"/>
  <c r="EN64" i="196"/>
  <c r="DF66" i="196" l="1"/>
  <c r="EN65" i="196"/>
  <c r="DF67" i="196" l="1"/>
  <c r="EN66" i="196"/>
  <c r="DF68" i="196" l="1"/>
  <c r="EN67" i="196"/>
  <c r="DF69" i="196" l="1"/>
  <c r="EN68" i="196"/>
  <c r="DF70" i="196" l="1"/>
  <c r="EN69" i="196"/>
  <c r="DF71" i="196" l="1"/>
  <c r="EN70" i="196"/>
  <c r="DF72" i="196" l="1"/>
  <c r="EN71" i="196"/>
  <c r="DF73" i="196" l="1"/>
  <c r="EN72" i="196"/>
  <c r="DF74" i="196" l="1"/>
  <c r="EN73" i="196"/>
  <c r="DF75" i="196" l="1"/>
  <c r="EN74" i="196"/>
  <c r="DF76" i="196" l="1"/>
  <c r="EN75" i="196"/>
  <c r="DF77" i="196" l="1"/>
  <c r="EN76" i="196"/>
  <c r="DF78" i="196" l="1"/>
  <c r="EN77" i="196"/>
  <c r="DF79" i="196" l="1"/>
  <c r="EN78" i="196"/>
  <c r="DF80" i="196" l="1"/>
  <c r="EN79" i="196"/>
  <c r="DF81" i="196" l="1"/>
  <c r="EN80" i="196"/>
  <c r="DF82" i="196" l="1"/>
  <c r="EN81" i="196"/>
  <c r="DF83" i="196" l="1"/>
  <c r="EN82" i="196"/>
  <c r="DF84" i="196" l="1"/>
  <c r="EN83" i="196"/>
  <c r="DF85" i="196" l="1"/>
  <c r="EN84" i="196"/>
  <c r="DF86" i="196" l="1"/>
  <c r="EN85" i="196"/>
  <c r="DF87" i="196" l="1"/>
  <c r="EN86" i="196"/>
  <c r="DF88" i="196" l="1"/>
  <c r="EN87" i="196"/>
  <c r="DF89" i="196" l="1"/>
  <c r="EN88" i="196"/>
  <c r="DF90" i="196" l="1"/>
  <c r="EN89" i="196"/>
  <c r="DF91" i="196" l="1"/>
  <c r="EN90" i="196"/>
  <c r="DF92" i="196" l="1"/>
  <c r="EN91" i="196"/>
  <c r="DF93" i="196" l="1"/>
  <c r="EN92" i="196"/>
  <c r="DF94" i="196" l="1"/>
  <c r="EN93" i="196"/>
  <c r="DF95" i="196" l="1"/>
  <c r="EN94" i="196"/>
  <c r="DF96" i="196" l="1"/>
  <c r="EN95" i="196"/>
  <c r="DF97" i="196" l="1"/>
  <c r="EN96" i="196"/>
  <c r="DF98" i="196" l="1"/>
  <c r="EN97" i="196"/>
  <c r="DF99" i="196" l="1"/>
  <c r="EN98" i="196"/>
  <c r="DF100" i="196" l="1"/>
  <c r="EN99" i="196"/>
  <c r="DF101" i="196" l="1"/>
  <c r="EN100" i="196"/>
  <c r="DF102" i="196" l="1"/>
  <c r="EN101" i="196"/>
  <c r="DF103" i="196" l="1"/>
  <c r="EN102" i="196"/>
  <c r="DF104" i="196" l="1"/>
  <c r="EN103" i="196"/>
  <c r="DF105" i="196" l="1"/>
  <c r="EN104" i="196"/>
  <c r="DF106" i="196" l="1"/>
  <c r="EN105" i="196"/>
  <c r="DF107" i="196" l="1"/>
  <c r="EN106" i="196"/>
  <c r="DF108" i="196" l="1"/>
  <c r="EN107" i="196"/>
  <c r="DF109" i="196" l="1"/>
  <c r="EN108" i="196"/>
  <c r="DF110" i="196" l="1"/>
  <c r="EN109" i="196"/>
  <c r="DF111" i="196" l="1"/>
  <c r="EN110" i="196"/>
  <c r="DF112" i="196" l="1"/>
  <c r="EN111" i="196"/>
  <c r="DF113" i="196" l="1"/>
  <c r="EN112" i="196"/>
  <c r="DF114" i="196" l="1"/>
  <c r="EN113" i="196"/>
  <c r="DF115" i="196" l="1"/>
  <c r="EN114" i="196"/>
  <c r="DF116" i="196" l="1"/>
  <c r="EN115" i="196"/>
  <c r="DF117" i="196" l="1"/>
  <c r="EN116" i="196"/>
  <c r="DF118" i="196" l="1"/>
  <c r="EN117" i="196"/>
  <c r="DF119" i="196" l="1"/>
  <c r="EN118" i="196"/>
  <c r="DF120" i="196" l="1"/>
  <c r="EN119" i="196"/>
  <c r="DF121" i="196" l="1"/>
  <c r="EN120" i="196"/>
  <c r="DF122" i="196" l="1"/>
  <c r="EN121" i="196"/>
  <c r="DF123" i="196" l="1"/>
  <c r="EN122" i="196"/>
  <c r="EN123" i="196" l="1"/>
  <c r="AL16" i="248" l="1"/>
  <c r="BS16" i="196"/>
  <c r="AK6" i="248"/>
  <c r="BR6" i="196"/>
  <c r="BS11" i="196"/>
  <c r="AL11" i="248"/>
  <c r="BS21" i="196"/>
  <c r="AL21" i="248"/>
  <c r="BR11" i="196"/>
  <c r="AK11" i="248"/>
  <c r="AK16" i="248"/>
  <c r="BR16" i="196"/>
  <c r="AK21" i="248"/>
  <c r="BR21" i="196"/>
  <c r="BS6" i="196"/>
  <c r="AL6" i="248"/>
  <c r="BS10" i="196" l="1"/>
  <c r="CI10" i="196" s="1"/>
  <c r="AL10" i="248"/>
  <c r="AK15" i="248"/>
  <c r="BR15" i="196"/>
  <c r="CH15" i="196" s="1"/>
  <c r="BR10" i="196"/>
  <c r="CH10" i="196" s="1"/>
  <c r="AK10" i="248"/>
  <c r="BR19" i="196"/>
  <c r="AK19" i="248"/>
  <c r="BS15" i="196"/>
  <c r="CI15" i="196" s="1"/>
  <c r="AL15" i="248"/>
  <c r="BR17" i="196"/>
  <c r="AK17" i="248"/>
  <c r="BS5" i="196"/>
  <c r="CI5" i="196" s="1"/>
  <c r="AL5" i="248"/>
  <c r="BS14" i="196"/>
  <c r="AL14" i="248"/>
  <c r="AK20" i="248"/>
  <c r="BR20" i="196"/>
  <c r="CH20" i="196" s="1"/>
  <c r="BR22" i="196"/>
  <c r="AK22" i="248"/>
  <c r="BS7" i="196"/>
  <c r="CI6" i="196" s="1"/>
  <c r="AL7" i="248"/>
  <c r="AK7" i="248"/>
  <c r="BR7" i="196"/>
  <c r="CH6" i="196" s="1"/>
  <c r="BR5" i="196"/>
  <c r="CH5" i="196" s="1"/>
  <c r="AK5" i="248"/>
  <c r="BS13" i="196"/>
  <c r="AL13" i="248"/>
  <c r="BR12" i="196"/>
  <c r="AK12" i="248"/>
  <c r="BR9" i="196"/>
  <c r="AK9" i="248"/>
  <c r="BR14" i="196"/>
  <c r="AK14" i="248"/>
  <c r="BR8" i="196"/>
  <c r="AK8" i="248"/>
  <c r="AK18" i="248"/>
  <c r="BR18" i="196"/>
  <c r="BR13" i="196"/>
  <c r="AK13" i="248"/>
  <c r="AL8" i="248"/>
  <c r="BS8" i="196"/>
  <c r="BS12" i="196"/>
  <c r="AL12" i="248"/>
  <c r="BS9" i="196"/>
  <c r="AL9" i="248"/>
  <c r="CH18" i="196" l="1"/>
  <c r="CI9" i="196"/>
  <c r="CI13" i="196"/>
  <c r="CH13" i="196"/>
  <c r="CH9" i="196"/>
  <c r="CH14" i="196"/>
  <c r="CI14" i="196"/>
  <c r="CH8" i="196"/>
  <c r="CH12" i="196"/>
  <c r="BR4" i="196"/>
  <c r="CH4" i="196" s="1"/>
  <c r="AK4" i="248"/>
  <c r="CH17" i="196"/>
  <c r="CI7" i="196"/>
  <c r="CH16" i="196"/>
  <c r="BR23" i="196"/>
  <c r="CH22" i="196" s="1"/>
  <c r="AK23" i="248"/>
  <c r="CH11" i="196"/>
  <c r="CH7" i="196"/>
  <c r="CH21" i="196"/>
  <c r="BS4" i="196"/>
  <c r="CI4" i="196" s="1"/>
  <c r="AL4" i="248"/>
  <c r="CI11" i="196"/>
  <c r="CI12" i="196"/>
  <c r="CI8" i="196"/>
  <c r="CH19" i="196"/>
  <c r="BR24" i="196" l="1"/>
  <c r="CH23" i="196" s="1"/>
  <c r="AK24" i="248"/>
  <c r="AL3" i="248"/>
  <c r="BS3" i="196"/>
  <c r="CI3" i="196" s="1"/>
  <c r="BR3" i="196"/>
  <c r="CH3" i="196" s="1"/>
  <c r="AK3" i="248"/>
  <c r="BR25" i="196" l="1"/>
  <c r="CH24" i="196" s="1"/>
  <c r="AK25" i="248"/>
  <c r="AK26" i="248" l="1"/>
  <c r="BR26" i="196"/>
  <c r="CH123" i="196"/>
  <c r="AK27" i="248" l="1"/>
  <c r="BR27" i="196"/>
  <c r="CH26" i="196" s="1"/>
  <c r="CH25" i="196"/>
  <c r="BR28" i="196" l="1"/>
  <c r="AK28" i="248"/>
  <c r="AK29" i="248" l="1"/>
  <c r="BR29" i="196"/>
  <c r="CH28" i="196" s="1"/>
  <c r="CH27" i="196"/>
  <c r="BR30" i="196" l="1"/>
  <c r="CH29" i="196" s="1"/>
  <c r="AK30" i="248"/>
  <c r="BR31" i="196" l="1"/>
  <c r="CH30" i="196" s="1"/>
  <c r="AK31" i="248"/>
  <c r="B3" i="255" l="1"/>
  <c r="BR32" i="196"/>
  <c r="CH31" i="196" s="1"/>
  <c r="AK32" i="248"/>
  <c r="B7" i="254"/>
  <c r="Z8" i="248" s="1"/>
  <c r="B6" i="254" l="1"/>
  <c r="Z7" i="248" s="1"/>
  <c r="B21" i="254"/>
  <c r="Z22" i="248" s="1"/>
  <c r="B29" i="254"/>
  <c r="Z30" i="248" s="1"/>
  <c r="B30" i="254"/>
  <c r="Z31" i="248" s="1"/>
  <c r="B24" i="254"/>
  <c r="Z25" i="248" s="1"/>
  <c r="B28" i="254"/>
  <c r="Z29" i="248" s="1"/>
  <c r="B34" i="254"/>
  <c r="Z35" i="248" s="1"/>
  <c r="B123" i="254"/>
  <c r="B23" i="254"/>
  <c r="Z24" i="248" s="1"/>
  <c r="B125" i="254"/>
  <c r="B31" i="254"/>
  <c r="Z32" i="248" s="1"/>
  <c r="B10" i="254"/>
  <c r="Z11" i="248" s="1"/>
  <c r="B32" i="254"/>
  <c r="Z33" i="248" s="1"/>
  <c r="B26" i="254"/>
  <c r="Z27" i="248" s="1"/>
  <c r="B124" i="254"/>
  <c r="B25" i="254"/>
  <c r="Z26" i="248" s="1"/>
  <c r="B38" i="254"/>
  <c r="Z39" i="248" s="1"/>
  <c r="B35" i="254"/>
  <c r="Z36" i="248" s="1"/>
  <c r="B36" i="254"/>
  <c r="Z37" i="248" s="1"/>
  <c r="B33" i="254"/>
  <c r="Z34" i="248" s="1"/>
  <c r="B22" i="254"/>
  <c r="Z23" i="248" s="1"/>
  <c r="B37" i="254"/>
  <c r="Z38" i="248" s="1"/>
  <c r="B27" i="254"/>
  <c r="Z28" i="248" s="1"/>
  <c r="B39" i="254"/>
  <c r="Z40" i="248" s="1"/>
  <c r="B40" i="254"/>
  <c r="Z41" i="248" s="1"/>
  <c r="B20" i="254"/>
  <c r="Z21" i="248" s="1"/>
  <c r="B19" i="254"/>
  <c r="Z20" i="248" s="1"/>
  <c r="B41" i="254"/>
  <c r="Z42" i="248" s="1"/>
  <c r="B18" i="254"/>
  <c r="Z19" i="248" s="1"/>
  <c r="B42" i="254"/>
  <c r="Z43" i="248" s="1"/>
  <c r="B43" i="254"/>
  <c r="Z44" i="248" s="1"/>
  <c r="B17" i="254"/>
  <c r="Z18" i="248" s="1"/>
  <c r="B16" i="254"/>
  <c r="Z17" i="248" s="1"/>
  <c r="B15" i="254"/>
  <c r="Z16" i="248" s="1"/>
  <c r="B14" i="254"/>
  <c r="Z15" i="248" s="1"/>
  <c r="B13" i="254"/>
  <c r="Z14" i="248" s="1"/>
  <c r="B9" i="254"/>
  <c r="Z10" i="248" s="1"/>
  <c r="B12" i="254"/>
  <c r="Z13" i="248" s="1"/>
  <c r="B8" i="254"/>
  <c r="Z9" i="248" s="1"/>
  <c r="AK33" i="248"/>
  <c r="BR33" i="196"/>
  <c r="CH32" i="196" s="1"/>
  <c r="B11" i="254"/>
  <c r="Z12" i="248" s="1"/>
  <c r="AP13" i="248" l="1"/>
  <c r="BW13" i="196"/>
  <c r="BW44" i="196"/>
  <c r="AP44" i="248"/>
  <c r="AP42" i="248"/>
  <c r="BW42" i="196"/>
  <c r="BW40" i="196"/>
  <c r="AP40" i="248"/>
  <c r="AP27" i="248"/>
  <c r="BW27" i="196"/>
  <c r="AP28" i="248"/>
  <c r="BW28" i="196"/>
  <c r="AP33" i="248"/>
  <c r="BW33" i="196"/>
  <c r="BW9" i="196"/>
  <c r="AP9" i="248"/>
  <c r="AP36" i="248"/>
  <c r="BW36" i="196"/>
  <c r="BW39" i="196"/>
  <c r="AP39" i="248"/>
  <c r="AP29" i="248"/>
  <c r="BW29" i="196"/>
  <c r="BW32" i="196"/>
  <c r="AP32" i="248"/>
  <c r="BW16" i="196"/>
  <c r="AP16" i="248"/>
  <c r="BW18" i="196"/>
  <c r="AP18" i="248"/>
  <c r="BW38" i="196"/>
  <c r="AP38" i="248"/>
  <c r="BW26" i="196"/>
  <c r="AP26" i="248"/>
  <c r="BW31" i="196"/>
  <c r="AP31" i="248"/>
  <c r="BW35" i="196"/>
  <c r="AP35" i="248"/>
  <c r="BR34" i="196"/>
  <c r="CH33" i="196" s="1"/>
  <c r="AK34" i="248"/>
  <c r="AP10" i="248"/>
  <c r="BW10" i="196"/>
  <c r="BW20" i="196"/>
  <c r="AP20" i="248"/>
  <c r="AP22" i="248"/>
  <c r="BW22" i="196"/>
  <c r="BW30" i="196"/>
  <c r="AP30" i="248"/>
  <c r="AP24" i="248"/>
  <c r="BW24" i="196"/>
  <c r="AP8" i="248"/>
  <c r="B5" i="254"/>
  <c r="AP25" i="248"/>
  <c r="BW25" i="196"/>
  <c r="BW8" i="196"/>
  <c r="BW11" i="196"/>
  <c r="AP11" i="248"/>
  <c r="BW23" i="196"/>
  <c r="AP23" i="248"/>
  <c r="BW7" i="196"/>
  <c r="AP7" i="248"/>
  <c r="BW15" i="196"/>
  <c r="AP15" i="248"/>
  <c r="BW37" i="196"/>
  <c r="AP37" i="248"/>
  <c r="BW17" i="196"/>
  <c r="AP17" i="248"/>
  <c r="AP19" i="248"/>
  <c r="BW19" i="196"/>
  <c r="AP21" i="248"/>
  <c r="BW21" i="196"/>
  <c r="BW12" i="196"/>
  <c r="AP12" i="248"/>
  <c r="AP14" i="248"/>
  <c r="BW14" i="196"/>
  <c r="BW43" i="196"/>
  <c r="AP43" i="248"/>
  <c r="AP41" i="248"/>
  <c r="BW41" i="196"/>
  <c r="AP34" i="248"/>
  <c r="BW34" i="196"/>
  <c r="CM39" i="196" l="1"/>
  <c r="CM38" i="196"/>
  <c r="CM30" i="196"/>
  <c r="B4" i="254"/>
  <c r="Z5" i="248" s="1"/>
  <c r="Z6" i="248"/>
  <c r="AP6" i="248" s="1"/>
  <c r="CM25" i="196"/>
  <c r="CM31" i="196"/>
  <c r="CM19" i="196"/>
  <c r="B4" i="255"/>
  <c r="CM14" i="196"/>
  <c r="CM12" i="196"/>
  <c r="CM37" i="196"/>
  <c r="CM23" i="196"/>
  <c r="CM7" i="196"/>
  <c r="CM26" i="196"/>
  <c r="CM36" i="196"/>
  <c r="CM21" i="196"/>
  <c r="CM33" i="196"/>
  <c r="CM17" i="196"/>
  <c r="CM34" i="196"/>
  <c r="CM41" i="196"/>
  <c r="CM15" i="196"/>
  <c r="CM43" i="196"/>
  <c r="CM10" i="196"/>
  <c r="CM42" i="196"/>
  <c r="CM16" i="196"/>
  <c r="CM28" i="196"/>
  <c r="CM22" i="196"/>
  <c r="CM32" i="196"/>
  <c r="CM29" i="196"/>
  <c r="CM27" i="196"/>
  <c r="CM13" i="196"/>
  <c r="CM8" i="196"/>
  <c r="CM9" i="196"/>
  <c r="AK35" i="248"/>
  <c r="BR35" i="196"/>
  <c r="CH34" i="196" s="1"/>
  <c r="CM11" i="196"/>
  <c r="CM20" i="196"/>
  <c r="CM24" i="196"/>
  <c r="CM35" i="196"/>
  <c r="CM18" i="196"/>
  <c r="B2" i="255"/>
  <c r="B32" i="255"/>
  <c r="B125" i="255"/>
  <c r="B26" i="255"/>
  <c r="B19" i="255"/>
  <c r="B24" i="255"/>
  <c r="B124" i="255"/>
  <c r="B42" i="255"/>
  <c r="B18" i="255"/>
  <c r="B28" i="255"/>
  <c r="B123" i="255"/>
  <c r="B16" i="255"/>
  <c r="B36" i="255"/>
  <c r="B20" i="255"/>
  <c r="B31" i="255"/>
  <c r="B29" i="255"/>
  <c r="B22" i="255"/>
  <c r="B43" i="255"/>
  <c r="B21" i="255"/>
  <c r="B35" i="255"/>
  <c r="B23" i="255"/>
  <c r="B27" i="255"/>
  <c r="B33" i="255"/>
  <c r="B41" i="255"/>
  <c r="B34" i="255"/>
  <c r="B39" i="255"/>
  <c r="B17" i="255"/>
  <c r="B30" i="255"/>
  <c r="B25" i="255"/>
  <c r="B40" i="255"/>
  <c r="B37" i="255"/>
  <c r="B38" i="255"/>
  <c r="B15" i="255"/>
  <c r="B14" i="255"/>
  <c r="B9" i="255"/>
  <c r="B13" i="255"/>
  <c r="B12" i="255"/>
  <c r="B8" i="255"/>
  <c r="B11" i="255"/>
  <c r="B7" i="255"/>
  <c r="B6" i="255"/>
  <c r="B10" i="255"/>
  <c r="AA11" i="248" s="1"/>
  <c r="B5" i="255"/>
  <c r="CM40" i="196"/>
  <c r="BW6" i="196" l="1"/>
  <c r="CM6" i="196" s="1"/>
  <c r="B3" i="254"/>
  <c r="Z4" i="248" s="1"/>
  <c r="BW4" i="196" s="1"/>
  <c r="AP5" i="248"/>
  <c r="BW5" i="196"/>
  <c r="CM5" i="196" s="1"/>
  <c r="B2" i="254"/>
  <c r="Z3" i="248" s="1"/>
  <c r="AA5" i="248"/>
  <c r="AA6" i="248"/>
  <c r="AA22" i="248"/>
  <c r="AA27" i="248"/>
  <c r="AA18" i="248"/>
  <c r="AA9" i="248"/>
  <c r="AA16" i="248"/>
  <c r="AA40" i="248"/>
  <c r="AA44" i="248"/>
  <c r="BX44" i="196" s="1"/>
  <c r="AA29" i="248"/>
  <c r="AA39" i="248"/>
  <c r="AA35" i="248"/>
  <c r="AA23" i="248"/>
  <c r="AA19" i="248"/>
  <c r="AA33" i="248"/>
  <c r="AK36" i="248"/>
  <c r="BR36" i="196"/>
  <c r="CH35" i="196" s="1"/>
  <c r="AA13" i="248"/>
  <c r="AA38" i="248"/>
  <c r="AA42" i="248"/>
  <c r="AA30" i="248"/>
  <c r="AA3" i="248"/>
  <c r="AP4" i="248"/>
  <c r="AA34" i="248"/>
  <c r="AA32" i="248"/>
  <c r="AA43" i="248"/>
  <c r="AA7" i="248"/>
  <c r="AA8" i="248"/>
  <c r="AA14" i="248"/>
  <c r="AA41" i="248"/>
  <c r="AA28" i="248"/>
  <c r="AA21" i="248"/>
  <c r="AA4" i="248"/>
  <c r="AA12" i="248"/>
  <c r="AA10" i="248"/>
  <c r="AA26" i="248"/>
  <c r="AA24" i="248"/>
  <c r="AA37" i="248"/>
  <c r="AA25" i="248"/>
  <c r="CM123" i="196"/>
  <c r="AA15" i="248"/>
  <c r="AA31" i="248"/>
  <c r="AA36" i="248"/>
  <c r="AA17" i="248"/>
  <c r="AA20" i="248"/>
  <c r="CM4" i="196" l="1"/>
  <c r="BX40" i="196"/>
  <c r="BX39" i="196"/>
  <c r="BX34" i="196"/>
  <c r="BX41" i="196"/>
  <c r="BX33" i="196"/>
  <c r="BX31" i="196"/>
  <c r="BX42" i="196"/>
  <c r="AP3" i="248"/>
  <c r="BW3" i="196"/>
  <c r="CM3" i="196" s="1"/>
  <c r="BX38" i="196"/>
  <c r="AK37" i="248"/>
  <c r="BR37" i="196"/>
  <c r="CH36" i="196" s="1"/>
  <c r="BX37" i="196"/>
  <c r="BX43" i="196"/>
  <c r="BX35" i="196"/>
  <c r="BX36" i="196"/>
  <c r="BX32" i="196"/>
  <c r="AK38" i="248" l="1"/>
  <c r="BR38" i="196"/>
  <c r="CH37" i="196" s="1"/>
  <c r="BR39" i="196" l="1"/>
  <c r="CH38" i="196" s="1"/>
  <c r="AK39" i="248"/>
  <c r="AK40" i="248" l="1"/>
  <c r="BR40" i="196"/>
  <c r="CH39" i="196" l="1"/>
  <c r="BR41" i="196"/>
  <c r="AK41" i="248"/>
  <c r="BR42" i="196" l="1"/>
  <c r="CH41" i="196" s="1"/>
  <c r="AK42" i="248"/>
  <c r="CH40" i="196"/>
  <c r="AK43" i="248" l="1"/>
  <c r="BR43" i="196"/>
  <c r="CH42" i="196" s="1"/>
  <c r="AK44" i="248" l="1"/>
  <c r="BR44" i="196"/>
  <c r="CH43" i="196" s="1"/>
  <c r="BR45" i="196" l="1"/>
  <c r="CH44" i="196" s="1"/>
  <c r="AK45" i="248"/>
  <c r="AK46" i="248" l="1"/>
  <c r="BR46" i="196"/>
  <c r="CH45" i="196" l="1"/>
  <c r="AK47" i="248"/>
  <c r="BR47" i="196"/>
  <c r="CH46" i="196" s="1"/>
  <c r="BR48" i="196" l="1"/>
  <c r="CH47" i="196" s="1"/>
  <c r="AK48" i="248"/>
  <c r="BR49" i="196" l="1"/>
  <c r="CH48" i="196" s="1"/>
  <c r="AK49" i="248"/>
  <c r="AK50" i="248" l="1"/>
  <c r="BR50" i="196"/>
  <c r="CH49" i="196" l="1"/>
  <c r="BR51" i="196"/>
  <c r="AK51" i="248"/>
  <c r="AK52" i="248" l="1"/>
  <c r="BR52" i="196"/>
  <c r="CH51" i="196" s="1"/>
  <c r="CH50" i="196"/>
  <c r="BR53" i="196" l="1"/>
  <c r="CH52" i="196" s="1"/>
  <c r="AK53" i="248"/>
  <c r="AK54" i="248" l="1"/>
  <c r="BR54" i="196"/>
  <c r="CH53" i="196" s="1"/>
  <c r="BR55" i="196" l="1"/>
  <c r="CH54" i="196" s="1"/>
  <c r="AK55" i="248"/>
  <c r="BR56" i="196" l="1"/>
  <c r="CH55" i="196" s="1"/>
  <c r="AK56" i="248"/>
  <c r="AK57" i="248" l="1"/>
  <c r="BR57" i="196"/>
  <c r="CH56" i="196" s="1"/>
  <c r="AK58" i="248" l="1"/>
  <c r="BR58" i="196"/>
  <c r="CH57" i="196" s="1"/>
  <c r="BR59" i="196" l="1"/>
  <c r="CH58" i="196" s="1"/>
  <c r="AK59" i="248"/>
  <c r="AK60" i="248" l="1"/>
  <c r="BR60" i="196"/>
  <c r="CH59" i="196" s="1"/>
  <c r="CH76" i="196" l="1"/>
  <c r="CH69" i="196"/>
  <c r="CH65" i="196"/>
  <c r="CH67" i="196"/>
  <c r="CH92" i="196"/>
  <c r="CH101" i="196"/>
  <c r="CH74" i="196"/>
  <c r="CH62" i="196"/>
  <c r="CH118" i="196"/>
  <c r="CH73" i="196"/>
  <c r="CH114" i="196"/>
  <c r="CH106" i="196"/>
  <c r="CH107" i="196"/>
  <c r="CH82" i="196"/>
  <c r="CH98" i="196"/>
  <c r="CH72" i="196"/>
  <c r="CH83" i="196"/>
  <c r="CH91" i="196"/>
  <c r="CH122" i="196"/>
  <c r="CH121" i="196"/>
  <c r="CH110" i="196"/>
  <c r="CH104" i="196"/>
  <c r="CH105" i="196"/>
  <c r="CH99" i="196"/>
  <c r="CH63" i="196"/>
  <c r="CH120" i="196"/>
  <c r="CH97" i="196"/>
  <c r="CH119" i="196"/>
  <c r="CH87" i="196"/>
  <c r="CH103" i="196"/>
  <c r="CH90" i="196"/>
  <c r="CH61" i="196"/>
  <c r="CH64" i="196"/>
  <c r="CH113" i="196"/>
  <c r="CH117" i="196"/>
  <c r="CH88" i="196"/>
  <c r="CH94" i="196"/>
  <c r="CH116" i="196"/>
  <c r="CH84" i="196"/>
  <c r="CH68" i="196"/>
  <c r="CH71" i="196"/>
  <c r="CH86" i="196"/>
  <c r="CH111" i="196"/>
  <c r="CH70" i="196"/>
  <c r="CH60" i="196"/>
  <c r="CX61" i="196" s="1"/>
  <c r="CH66" i="196"/>
  <c r="CH109" i="196"/>
  <c r="CH80" i="196"/>
  <c r="CH77" i="196"/>
  <c r="CH96" i="196"/>
  <c r="CH93" i="196"/>
  <c r="CH89" i="196"/>
  <c r="CH85" i="196"/>
  <c r="CH108" i="196"/>
  <c r="CH79" i="196"/>
  <c r="CH75" i="196"/>
  <c r="CH115" i="196"/>
  <c r="CH112" i="196"/>
  <c r="CH78" i="196"/>
  <c r="CH95" i="196"/>
  <c r="CH102" i="196"/>
  <c r="CH81" i="196"/>
  <c r="CH100" i="196"/>
  <c r="E61" i="196"/>
  <c r="AK61" i="248"/>
  <c r="E62" i="196" l="1"/>
  <c r="EF61" i="196"/>
  <c r="DP60" i="196"/>
  <c r="CX62" i="196"/>
  <c r="DP61" i="196" s="1"/>
  <c r="AK62" i="248"/>
  <c r="AK63" i="248" l="1"/>
  <c r="E63" i="196"/>
  <c r="CX63" i="196"/>
  <c r="EF62" i="196"/>
  <c r="E64" i="196" l="1"/>
  <c r="AK64" i="248"/>
  <c r="DP62" i="196"/>
  <c r="CX64" i="196"/>
  <c r="EF63" i="196"/>
  <c r="E65" i="196" l="1"/>
  <c r="DP63" i="196"/>
  <c r="CX65" i="196"/>
  <c r="EF64" i="196"/>
  <c r="E66" i="196"/>
  <c r="AK65" i="248"/>
  <c r="DP64" i="196" l="1"/>
  <c r="EF65" i="196"/>
  <c r="CX66" i="196"/>
  <c r="DP65" i="196" s="1"/>
  <c r="AK66" i="248"/>
  <c r="AK67" i="248" l="1"/>
  <c r="EF66" i="196"/>
  <c r="CX67" i="196"/>
  <c r="E67" i="196"/>
  <c r="E68" i="196" l="1"/>
  <c r="DP66" i="196"/>
  <c r="EF67" i="196"/>
  <c r="CX68" i="196"/>
  <c r="AK68" i="248"/>
  <c r="E69" i="196" l="1"/>
  <c r="DP67" i="196"/>
  <c r="EF68" i="196"/>
  <c r="CX69" i="196"/>
  <c r="DP68" i="196" s="1"/>
  <c r="AK69" i="248"/>
  <c r="AK70" i="248" l="1"/>
  <c r="CX70" i="196"/>
  <c r="EF69" i="196"/>
  <c r="E70" i="196"/>
  <c r="E71" i="196" s="1"/>
  <c r="AK71" i="248" l="1"/>
  <c r="E72" i="196"/>
  <c r="DP69" i="196"/>
  <c r="CX71" i="196"/>
  <c r="EF70" i="196"/>
  <c r="AK72" i="248" l="1"/>
  <c r="E73" i="196"/>
  <c r="DP70" i="196"/>
  <c r="CX72" i="196"/>
  <c r="EF71" i="196"/>
  <c r="DP71" i="196" l="1"/>
  <c r="EF72" i="196"/>
  <c r="CX73" i="196"/>
  <c r="AK73" i="248"/>
  <c r="EF73" i="196" l="1"/>
  <c r="DP72" i="196"/>
  <c r="AQ35" i="248" l="1"/>
  <c r="AQ36" i="248"/>
  <c r="AQ37" i="248"/>
  <c r="AQ38" i="248"/>
  <c r="AQ39" i="248"/>
  <c r="AQ43" i="248"/>
  <c r="AQ44" i="248"/>
  <c r="AQ42" i="248" l="1"/>
  <c r="AQ41" i="248"/>
  <c r="AQ40" i="248"/>
  <c r="AQ34" i="248"/>
  <c r="AQ33" i="248"/>
  <c r="AQ32" i="248"/>
  <c r="AQ24" i="248"/>
  <c r="BX24" i="196"/>
  <c r="BX16" i="196"/>
  <c r="AQ16" i="248"/>
  <c r="BX8" i="196"/>
  <c r="AQ8" i="248"/>
  <c r="K31" i="196"/>
  <c r="K32" i="196" s="1"/>
  <c r="K33" i="196" s="1"/>
  <c r="K34" i="196" s="1"/>
  <c r="K35" i="196" s="1"/>
  <c r="K36" i="196" s="1"/>
  <c r="K37" i="196" s="1"/>
  <c r="K38" i="196" s="1"/>
  <c r="K39" i="196" s="1"/>
  <c r="K40" i="196" s="1"/>
  <c r="K41" i="196" s="1"/>
  <c r="K42" i="196" s="1"/>
  <c r="K43" i="196" s="1"/>
  <c r="K44" i="196" s="1"/>
  <c r="K45" i="196" s="1"/>
  <c r="K46" i="196" s="1"/>
  <c r="K47" i="196" s="1"/>
  <c r="K48" i="196" s="1"/>
  <c r="K49" i="196" s="1"/>
  <c r="K50" i="196" s="1"/>
  <c r="K51" i="196" s="1"/>
  <c r="K52" i="196" s="1"/>
  <c r="K53" i="196" s="1"/>
  <c r="K54" i="196" s="1"/>
  <c r="K55" i="196" s="1"/>
  <c r="K56" i="196" s="1"/>
  <c r="K57" i="196" s="1"/>
  <c r="K58" i="196" s="1"/>
  <c r="K59" i="196" s="1"/>
  <c r="K60" i="196" s="1"/>
  <c r="K61" i="196" s="1"/>
  <c r="K62" i="196" s="1"/>
  <c r="K63" i="196" s="1"/>
  <c r="K64" i="196" s="1"/>
  <c r="K65" i="196" s="1"/>
  <c r="K66" i="196" s="1"/>
  <c r="K67" i="196" s="1"/>
  <c r="K68" i="196" s="1"/>
  <c r="K69" i="196" s="1"/>
  <c r="K70" i="196" s="1"/>
  <c r="K71" i="196" s="1"/>
  <c r="K72" i="196" s="1"/>
  <c r="K73" i="196" s="1"/>
  <c r="K74" i="196" s="1"/>
  <c r="K75" i="196" s="1"/>
  <c r="K76" i="196" s="1"/>
  <c r="K77" i="196" s="1"/>
  <c r="K78" i="196" s="1"/>
  <c r="K79" i="196" s="1"/>
  <c r="K80" i="196" s="1"/>
  <c r="K81" i="196" s="1"/>
  <c r="K82" i="196" s="1"/>
  <c r="K83" i="196" s="1"/>
  <c r="K84" i="196" s="1"/>
  <c r="K85" i="196" s="1"/>
  <c r="K86" i="196" s="1"/>
  <c r="K87" i="196" s="1"/>
  <c r="K88" i="196" s="1"/>
  <c r="K89" i="196" s="1"/>
  <c r="K90" i="196" s="1"/>
  <c r="K91" i="196" s="1"/>
  <c r="K92" i="196" s="1"/>
  <c r="K93" i="196" s="1"/>
  <c r="K94" i="196" s="1"/>
  <c r="K95" i="196" s="1"/>
  <c r="K96" i="196" s="1"/>
  <c r="K97" i="196" s="1"/>
  <c r="K98" i="196" s="1"/>
  <c r="K99" i="196" s="1"/>
  <c r="K100" i="196" s="1"/>
  <c r="K101" i="196" s="1"/>
  <c r="K102" i="196" s="1"/>
  <c r="K103" i="196" s="1"/>
  <c r="K104" i="196" s="1"/>
  <c r="K105" i="196" s="1"/>
  <c r="K106" i="196" s="1"/>
  <c r="K107" i="196" s="1"/>
  <c r="K108" i="196" s="1"/>
  <c r="K109" i="196" s="1"/>
  <c r="K110" i="196" s="1"/>
  <c r="K111" i="196" s="1"/>
  <c r="K112" i="196" s="1"/>
  <c r="K113" i="196" s="1"/>
  <c r="K114" i="196" s="1"/>
  <c r="K115" i="196" s="1"/>
  <c r="K116" i="196" s="1"/>
  <c r="K117" i="196" s="1"/>
  <c r="K118" i="196" s="1"/>
  <c r="K119" i="196" s="1"/>
  <c r="K120" i="196" s="1"/>
  <c r="K121" i="196" s="1"/>
  <c r="K122" i="196" s="1"/>
  <c r="K123" i="196" s="1"/>
  <c r="AQ31" i="248"/>
  <c r="AQ23" i="248"/>
  <c r="BX23" i="196"/>
  <c r="BX15" i="196"/>
  <c r="AQ15" i="248"/>
  <c r="BX30" i="196"/>
  <c r="AQ30" i="248"/>
  <c r="BX22" i="196"/>
  <c r="AQ22" i="248"/>
  <c r="AQ14" i="248"/>
  <c r="BX14" i="196"/>
  <c r="BX29" i="196"/>
  <c r="AQ29" i="248"/>
  <c r="AQ21" i="248"/>
  <c r="BX21" i="196"/>
  <c r="AQ13" i="248"/>
  <c r="BX13" i="196"/>
  <c r="AR16" i="248"/>
  <c r="AQ28" i="248"/>
  <c r="BX28" i="196"/>
  <c r="AQ20" i="248"/>
  <c r="BX20" i="196"/>
  <c r="AQ12" i="248"/>
  <c r="BX12" i="196"/>
  <c r="AR15" i="248"/>
  <c r="AQ27" i="248"/>
  <c r="BX27" i="196"/>
  <c r="BX19" i="196"/>
  <c r="AQ19" i="248"/>
  <c r="AQ11" i="248"/>
  <c r="BX5" i="196"/>
  <c r="BX11" i="196"/>
  <c r="AQ4" i="248"/>
  <c r="BX3" i="196"/>
  <c r="AQ7" i="248"/>
  <c r="BX4" i="196"/>
  <c r="AQ3" i="248"/>
  <c r="BX7" i="196"/>
  <c r="AQ6" i="248"/>
  <c r="BX6" i="196"/>
  <c r="AQ5" i="248"/>
  <c r="AQ26" i="248"/>
  <c r="BX26" i="196"/>
  <c r="AQ18" i="248"/>
  <c r="BX18" i="196"/>
  <c r="AQ10" i="248"/>
  <c r="BX10" i="196"/>
  <c r="AQ25" i="248"/>
  <c r="BX25" i="196"/>
  <c r="AQ17" i="248"/>
  <c r="BX17" i="196"/>
  <c r="AQ9" i="248"/>
  <c r="BX9" i="196"/>
  <c r="CN17" i="196" l="1"/>
  <c r="CN14" i="196"/>
  <c r="CN21" i="196"/>
  <c r="CN9" i="196"/>
  <c r="CN18" i="196"/>
  <c r="CN23" i="196"/>
  <c r="CN25" i="196"/>
  <c r="CN6" i="196"/>
  <c r="CN20" i="196"/>
  <c r="CN15" i="196"/>
  <c r="CN7" i="196"/>
  <c r="AR21" i="248"/>
  <c r="CN26" i="196"/>
  <c r="CN13" i="196"/>
  <c r="CN4" i="196"/>
  <c r="CN27" i="196"/>
  <c r="CN29" i="196"/>
  <c r="CN19" i="196"/>
  <c r="AO28" i="248"/>
  <c r="BV28" i="196"/>
  <c r="BV31" i="196"/>
  <c r="AO31" i="248"/>
  <c r="AO32" i="248"/>
  <c r="BV32" i="196"/>
  <c r="BV21" i="196"/>
  <c r="AO21" i="248"/>
  <c r="BV26" i="196"/>
  <c r="AO26" i="248"/>
  <c r="AO30" i="248"/>
  <c r="BV30" i="196"/>
  <c r="CN11" i="196"/>
  <c r="CN12" i="196"/>
  <c r="AR8" i="248"/>
  <c r="BY8" i="196"/>
  <c r="AO33" i="248"/>
  <c r="BV33" i="196"/>
  <c r="BV34" i="196"/>
  <c r="AO34" i="248"/>
  <c r="AO11" i="248"/>
  <c r="BV11" i="196"/>
  <c r="AO6" i="248"/>
  <c r="BV6" i="196"/>
  <c r="AO5" i="248"/>
  <c r="BV7" i="196"/>
  <c r="BV5" i="196"/>
  <c r="AO7" i="248"/>
  <c r="BV4" i="196"/>
  <c r="AO4" i="248"/>
  <c r="BV3" i="196"/>
  <c r="AO3" i="248"/>
  <c r="CN3" i="196"/>
  <c r="BV12" i="196"/>
  <c r="AO12" i="248"/>
  <c r="BV10" i="196"/>
  <c r="AO10" i="248"/>
  <c r="BY6" i="196"/>
  <c r="AR5" i="248"/>
  <c r="BY5" i="196"/>
  <c r="AR11" i="248"/>
  <c r="BY7" i="196"/>
  <c r="BY11" i="196"/>
  <c r="AR7" i="248"/>
  <c r="AR6" i="248"/>
  <c r="BY4" i="196"/>
  <c r="AR4" i="248"/>
  <c r="AR3" i="248"/>
  <c r="BY3" i="196"/>
  <c r="CN8" i="196"/>
  <c r="BV15" i="196"/>
  <c r="AO15" i="248"/>
  <c r="AO16" i="248"/>
  <c r="BV16" i="196"/>
  <c r="AR12" i="248"/>
  <c r="BY12" i="196"/>
  <c r="BV9" i="196"/>
  <c r="AO9" i="248"/>
  <c r="BY10" i="196"/>
  <c r="CO10" i="196" s="1"/>
  <c r="AR10" i="248"/>
  <c r="AO8" i="248"/>
  <c r="BV8" i="196"/>
  <c r="BY9" i="196"/>
  <c r="AR9" i="248"/>
  <c r="BV19" i="196"/>
  <c r="AO19" i="248"/>
  <c r="CN16" i="196"/>
  <c r="AO25" i="248"/>
  <c r="BV25" i="196"/>
  <c r="AO29" i="248"/>
  <c r="BV29" i="196"/>
  <c r="AO13" i="248"/>
  <c r="BV13" i="196"/>
  <c r="CN5" i="196"/>
  <c r="CN123" i="196"/>
  <c r="CN10" i="196"/>
  <c r="AO23" i="248"/>
  <c r="BV23" i="196"/>
  <c r="CN28" i="196"/>
  <c r="AO24" i="248"/>
  <c r="BV24" i="196"/>
  <c r="AO18" i="248"/>
  <c r="BV18" i="196"/>
  <c r="CN24" i="196"/>
  <c r="AO22" i="248"/>
  <c r="BV22" i="196"/>
  <c r="AO14" i="248"/>
  <c r="BV14" i="196"/>
  <c r="AO20" i="248"/>
  <c r="BV20" i="196"/>
  <c r="AR13" i="248"/>
  <c r="BY13" i="196"/>
  <c r="AR14" i="248"/>
  <c r="L14" i="196"/>
  <c r="L15" i="196" s="1"/>
  <c r="L16" i="196" s="1"/>
  <c r="AO17" i="248"/>
  <c r="BV17" i="196"/>
  <c r="CN22" i="196"/>
  <c r="BV27" i="196"/>
  <c r="AO27" i="248"/>
  <c r="CL18" i="196" l="1"/>
  <c r="CL28" i="196"/>
  <c r="CL3" i="196"/>
  <c r="CL21" i="196"/>
  <c r="CL20" i="196"/>
  <c r="CN96" i="196"/>
  <c r="CL14" i="196"/>
  <c r="CL8" i="196"/>
  <c r="CO4" i="196"/>
  <c r="CL11" i="196"/>
  <c r="CL31" i="196"/>
  <c r="CL17" i="196"/>
  <c r="CL4" i="196"/>
  <c r="CN120" i="196"/>
  <c r="CN37" i="196"/>
  <c r="CN94" i="196"/>
  <c r="CN92" i="196"/>
  <c r="CN116" i="196"/>
  <c r="CN38" i="196"/>
  <c r="CN95" i="196"/>
  <c r="CN121" i="196"/>
  <c r="CN97" i="196"/>
  <c r="CN51" i="196"/>
  <c r="CN39" i="196"/>
  <c r="CN98" i="196"/>
  <c r="CN102" i="196"/>
  <c r="CO11" i="196"/>
  <c r="CO12" i="196"/>
  <c r="CO5" i="196"/>
  <c r="CN47" i="196"/>
  <c r="CN90" i="196"/>
  <c r="CN71" i="196"/>
  <c r="CN34" i="196"/>
  <c r="CN45" i="196"/>
  <c r="CN75" i="196"/>
  <c r="CN85" i="196"/>
  <c r="CN88" i="196"/>
  <c r="CN73" i="196"/>
  <c r="CN52" i="196"/>
  <c r="CN58" i="196"/>
  <c r="CN109" i="196"/>
  <c r="CO8" i="196"/>
  <c r="CO9" i="196"/>
  <c r="CN86" i="196"/>
  <c r="CN108" i="196"/>
  <c r="CN78" i="196"/>
  <c r="CN89" i="196"/>
  <c r="CN49" i="196"/>
  <c r="CN69" i="196"/>
  <c r="CN110" i="196"/>
  <c r="CN84" i="196"/>
  <c r="CN72" i="196"/>
  <c r="CN41" i="196"/>
  <c r="CN74" i="196"/>
  <c r="CL16" i="196"/>
  <c r="CO123" i="196"/>
  <c r="CL26" i="196"/>
  <c r="CL27" i="196"/>
  <c r="CN80" i="196"/>
  <c r="CN46" i="196"/>
  <c r="CN67" i="196"/>
  <c r="CN70" i="196"/>
  <c r="CN111" i="196"/>
  <c r="CN59" i="196"/>
  <c r="CN31" i="196"/>
  <c r="CN65" i="196"/>
  <c r="CN50" i="196"/>
  <c r="CN91" i="196"/>
  <c r="CN40" i="196"/>
  <c r="CN33" i="196"/>
  <c r="CL24" i="196"/>
  <c r="CL25" i="196"/>
  <c r="CN106" i="196"/>
  <c r="CN68" i="196"/>
  <c r="CN119" i="196"/>
  <c r="CN63" i="196"/>
  <c r="CN77" i="196"/>
  <c r="CN36" i="196"/>
  <c r="CN114" i="196"/>
  <c r="CN93" i="196"/>
  <c r="CN35" i="196"/>
  <c r="CN118" i="196"/>
  <c r="CN53" i="196"/>
  <c r="CN61" i="196"/>
  <c r="CN55" i="196"/>
  <c r="CL10" i="196"/>
  <c r="CL29" i="196"/>
  <c r="CL22" i="196"/>
  <c r="CL23" i="196"/>
  <c r="CN44" i="196"/>
  <c r="CN66" i="196"/>
  <c r="CN83" i="196"/>
  <c r="CN48" i="196"/>
  <c r="CN54" i="196"/>
  <c r="CN30" i="196"/>
  <c r="DD31" i="196" s="1"/>
  <c r="CN62" i="196"/>
  <c r="CN104" i="196"/>
  <c r="CN99" i="196"/>
  <c r="CN32" i="196"/>
  <c r="CN43" i="196"/>
  <c r="CL15" i="196"/>
  <c r="CL5" i="196"/>
  <c r="CL30" i="196"/>
  <c r="CN113" i="196"/>
  <c r="CN79" i="196"/>
  <c r="CN81" i="196"/>
  <c r="CN100" i="196"/>
  <c r="CN117" i="196"/>
  <c r="CN101" i="196"/>
  <c r="CN87" i="196"/>
  <c r="CN105" i="196"/>
  <c r="CN112" i="196"/>
  <c r="CN76" i="196"/>
  <c r="CO6" i="196"/>
  <c r="CO7" i="196"/>
  <c r="CL12" i="196"/>
  <c r="CL6" i="196"/>
  <c r="CL7" i="196"/>
  <c r="CL32" i="196"/>
  <c r="CL33" i="196"/>
  <c r="CN107" i="196"/>
  <c r="CN57" i="196"/>
  <c r="CN103" i="196"/>
  <c r="CN56" i="196"/>
  <c r="CN122" i="196"/>
  <c r="CN82" i="196"/>
  <c r="CN60" i="196"/>
  <c r="CN42" i="196"/>
  <c r="CN64" i="196"/>
  <c r="CN115" i="196"/>
  <c r="CL13" i="196"/>
  <c r="CL19" i="196"/>
  <c r="CL9" i="196"/>
  <c r="CO3" i="196"/>
  <c r="CO102" i="196" l="1"/>
  <c r="CO62" i="196"/>
  <c r="EL31" i="196"/>
  <c r="DV30" i="196"/>
  <c r="DD32" i="196"/>
  <c r="DV31" i="196" s="1"/>
  <c r="CO77" i="196"/>
  <c r="CO122" i="196"/>
  <c r="CO24" i="196"/>
  <c r="CO86" i="196"/>
  <c r="CO109" i="196"/>
  <c r="CO20" i="196"/>
  <c r="CO90" i="196"/>
  <c r="CO41" i="196"/>
  <c r="CO113" i="196"/>
  <c r="CO85" i="196"/>
  <c r="CO116" i="196"/>
  <c r="CO22" i="196"/>
  <c r="CO59" i="196"/>
  <c r="CO92" i="196"/>
  <c r="CL123" i="196"/>
  <c r="CO37" i="196"/>
  <c r="CO64" i="196"/>
  <c r="CO96" i="196"/>
  <c r="CO19" i="196"/>
  <c r="CO21" i="196"/>
  <c r="CO49" i="196"/>
  <c r="CO60" i="196"/>
  <c r="CO103" i="196"/>
  <c r="CO33" i="196"/>
  <c r="CO83" i="196"/>
  <c r="CO46" i="196"/>
  <c r="CO52" i="196"/>
  <c r="CO79" i="196"/>
  <c r="CO39" i="196"/>
  <c r="CO95" i="196"/>
  <c r="CO32" i="196"/>
  <c r="CO58" i="196"/>
  <c r="CO81" i="196"/>
  <c r="CO107" i="196"/>
  <c r="CO27" i="196"/>
  <c r="CO47" i="196"/>
  <c r="CO72" i="196"/>
  <c r="CO48" i="196"/>
  <c r="CO74" i="196"/>
  <c r="CO117" i="196"/>
  <c r="CO16" i="196"/>
  <c r="CO93" i="196"/>
  <c r="CO80" i="196"/>
  <c r="CO36" i="196"/>
  <c r="CO28" i="196"/>
  <c r="CO104" i="196"/>
  <c r="CO14" i="196"/>
  <c r="CO51" i="196"/>
  <c r="CO118" i="196"/>
  <c r="CO68" i="196"/>
  <c r="CO89" i="196"/>
  <c r="CO50" i="196"/>
  <c r="CO112" i="196"/>
  <c r="CO55" i="196"/>
  <c r="CO54" i="196"/>
  <c r="CO67" i="196"/>
  <c r="CO73" i="196"/>
  <c r="CO44" i="196"/>
  <c r="CO53" i="196"/>
  <c r="CO30" i="196"/>
  <c r="CO70" i="196"/>
  <c r="CO38" i="196"/>
  <c r="CO98" i="196"/>
  <c r="CO45" i="196"/>
  <c r="CO34" i="196"/>
  <c r="CO100" i="196"/>
  <c r="CO75" i="196"/>
  <c r="CO111" i="196"/>
  <c r="CO71" i="196"/>
  <c r="CO26" i="196"/>
  <c r="CO97" i="196"/>
  <c r="CO76" i="196"/>
  <c r="CO56" i="196"/>
  <c r="CO65" i="196"/>
  <c r="CO91" i="196"/>
  <c r="CO25" i="196"/>
  <c r="CO105" i="196"/>
  <c r="CO18" i="196"/>
  <c r="CO61" i="196"/>
  <c r="CO115" i="196"/>
  <c r="CO110" i="196"/>
  <c r="CO35" i="196"/>
  <c r="CO69" i="196"/>
  <c r="CO66" i="196"/>
  <c r="CO88" i="196"/>
  <c r="CO23" i="196"/>
  <c r="CO101" i="196"/>
  <c r="CO15" i="196"/>
  <c r="CO121" i="196"/>
  <c r="CO108" i="196"/>
  <c r="CO84" i="196"/>
  <c r="CO120" i="196"/>
  <c r="CO43" i="196"/>
  <c r="CO29" i="196"/>
  <c r="CO78" i="196"/>
  <c r="CO114" i="196"/>
  <c r="CO106" i="196"/>
  <c r="CO13" i="196"/>
  <c r="DE14" i="196" s="1"/>
  <c r="CO99" i="196"/>
  <c r="CO17" i="196"/>
  <c r="CO57" i="196"/>
  <c r="CO40" i="196"/>
  <c r="CO94" i="196"/>
  <c r="CO119" i="196"/>
  <c r="CO42" i="196"/>
  <c r="CO31" i="196"/>
  <c r="CO63" i="196"/>
  <c r="CO82" i="196"/>
  <c r="CO87" i="196"/>
  <c r="EM14" i="196" l="1"/>
  <c r="DW13" i="196"/>
  <c r="DE15" i="196"/>
  <c r="EL32" i="196"/>
  <c r="DD33" i="196"/>
  <c r="DV32" i="196" l="1"/>
  <c r="EL33" i="196"/>
  <c r="DD34" i="196"/>
  <c r="DV33" i="196" s="1"/>
  <c r="DW14" i="196"/>
  <c r="EM15" i="196"/>
  <c r="DE16" i="196"/>
  <c r="EL34" i="196" l="1"/>
  <c r="DD35" i="196"/>
  <c r="DW15" i="196"/>
  <c r="EM16" i="196"/>
  <c r="EL35" i="196" l="1"/>
  <c r="DD36" i="196"/>
  <c r="DV34" i="196"/>
  <c r="DV35" i="196" l="1"/>
  <c r="EL36" i="196"/>
  <c r="DD37" i="196"/>
  <c r="DV36" i="196" l="1"/>
  <c r="DD38" i="196"/>
  <c r="EL37" i="196"/>
  <c r="DV37" i="196" l="1"/>
  <c r="DD39" i="196"/>
  <c r="DV38" i="196" s="1"/>
  <c r="EL38" i="196"/>
  <c r="EL39" i="196" l="1"/>
  <c r="DD40" i="196"/>
  <c r="DV39" i="196" l="1"/>
  <c r="DD41" i="196"/>
  <c r="DV40" i="196" s="1"/>
  <c r="EL40" i="196"/>
  <c r="DD42" i="196" l="1"/>
  <c r="EL41" i="196"/>
  <c r="DV41" i="196" l="1"/>
  <c r="DD43" i="196"/>
  <c r="DV42" i="196" s="1"/>
  <c r="EL42" i="196"/>
  <c r="EL43" i="196" l="1"/>
  <c r="DD44" i="196"/>
  <c r="DV43" i="196" l="1"/>
  <c r="EL44" i="196"/>
  <c r="DD45" i="196"/>
  <c r="DV44" i="196" l="1"/>
  <c r="DD46" i="196"/>
  <c r="EL45" i="196"/>
  <c r="DV45" i="196" l="1"/>
  <c r="DD47" i="196"/>
  <c r="EL46" i="196"/>
  <c r="DD48" i="196" l="1"/>
  <c r="DD49" i="196" s="1"/>
  <c r="DV46" i="196"/>
  <c r="EL47" i="196" s="1"/>
  <c r="DV119" i="196"/>
  <c r="DV65" i="196"/>
  <c r="DV99" i="196"/>
  <c r="DV85" i="196"/>
  <c r="DV53" i="196"/>
  <c r="DV110" i="196"/>
  <c r="DV49" i="196"/>
  <c r="DV118" i="196"/>
  <c r="DV120" i="196"/>
  <c r="DV115" i="196"/>
  <c r="DV93" i="196"/>
  <c r="DV77" i="196"/>
  <c r="DV87" i="196"/>
  <c r="DV78" i="196"/>
  <c r="DV69" i="196"/>
  <c r="DV106" i="196"/>
  <c r="DV109" i="196"/>
  <c r="DV57" i="196"/>
  <c r="DV56" i="196"/>
  <c r="DV89" i="196"/>
  <c r="DV70" i="196"/>
  <c r="DV82" i="196"/>
  <c r="DV121" i="196"/>
  <c r="DV61" i="196"/>
  <c r="DV67" i="196"/>
  <c r="DV114" i="196"/>
  <c r="DV111" i="196"/>
  <c r="DV117" i="196"/>
  <c r="DV71" i="196"/>
  <c r="DV62" i="196"/>
  <c r="DV97" i="196"/>
  <c r="DV101" i="196"/>
  <c r="DV63" i="196"/>
  <c r="DV47" i="196"/>
  <c r="DV68" i="196"/>
  <c r="DV104" i="196"/>
  <c r="DV54" i="196"/>
  <c r="DV90" i="196"/>
  <c r="DV86" i="196"/>
  <c r="DV59" i="196"/>
  <c r="DV122" i="196"/>
  <c r="DV107" i="196"/>
  <c r="DV113" i="196"/>
  <c r="DV72" i="196"/>
  <c r="DV76" i="196"/>
  <c r="DV105" i="196"/>
  <c r="DV51" i="196"/>
  <c r="DV50" i="196"/>
  <c r="DV64" i="196"/>
  <c r="DV58" i="196"/>
  <c r="DV81" i="196"/>
  <c r="DV48" i="196"/>
  <c r="DV116" i="196"/>
  <c r="DV112" i="196"/>
  <c r="DV103" i="196"/>
  <c r="DV88" i="196"/>
  <c r="DV75" i="196"/>
  <c r="DV92" i="196"/>
  <c r="DV98" i="196"/>
  <c r="DV91" i="196"/>
  <c r="DV74" i="196"/>
  <c r="DV102" i="196"/>
  <c r="DV66" i="196"/>
  <c r="DV79" i="196"/>
  <c r="DV83" i="196"/>
  <c r="DV96" i="196"/>
  <c r="DV84" i="196"/>
  <c r="DV80" i="196"/>
  <c r="DV94" i="196"/>
  <c r="DV100" i="196"/>
  <c r="DV95" i="196"/>
  <c r="DV52" i="196"/>
  <c r="DV73" i="196"/>
  <c r="DV55" i="196"/>
  <c r="DV60" i="196"/>
  <c r="DV108" i="196"/>
  <c r="EL48" i="196" l="1"/>
  <c r="EL49" i="196" s="1"/>
  <c r="DD50" i="196"/>
  <c r="DD51" i="196" l="1"/>
  <c r="DD52" i="196" s="1"/>
  <c r="EL50" i="196"/>
  <c r="EL51" i="196" l="1"/>
  <c r="DD53" i="196"/>
  <c r="DD54" i="196" s="1"/>
  <c r="DD55" i="196" s="1"/>
  <c r="DD56" i="196" s="1"/>
  <c r="DD57" i="196" s="1"/>
  <c r="DD58" i="196" s="1"/>
  <c r="DD59" i="196" s="1"/>
  <c r="DD60" i="196" s="1"/>
  <c r="DD61" i="196" s="1"/>
  <c r="DD62" i="196" s="1"/>
  <c r="DD63" i="196" s="1"/>
  <c r="DD64" i="196" s="1"/>
  <c r="EL52" i="196"/>
  <c r="EL53" i="196" l="1"/>
  <c r="EL54" i="196" s="1"/>
  <c r="EL55" i="196" s="1"/>
  <c r="EL56" i="196" s="1"/>
  <c r="EL57" i="196" s="1"/>
  <c r="EL58" i="196" s="1"/>
  <c r="EL59" i="196" s="1"/>
  <c r="EL60" i="196" s="1"/>
  <c r="EL61" i="196" s="1"/>
  <c r="EL62" i="196" s="1"/>
  <c r="EL63" i="196" s="1"/>
  <c r="EL64" i="196" s="1"/>
  <c r="DD65" i="196"/>
  <c r="DD66" i="196" s="1"/>
  <c r="DD67" i="196" s="1"/>
  <c r="DD68" i="196" s="1"/>
  <c r="DD69" i="196" s="1"/>
  <c r="DD70" i="196" s="1"/>
  <c r="DD71" i="196" s="1"/>
  <c r="DD72" i="196" s="1"/>
  <c r="DD73" i="196" s="1"/>
  <c r="DD74" i="196" s="1"/>
  <c r="DD75" i="196" s="1"/>
  <c r="DD76" i="196" s="1"/>
  <c r="DD77" i="196" s="1"/>
  <c r="EL65" i="196" l="1"/>
  <c r="EL66" i="196" s="1"/>
  <c r="EL67" i="196" s="1"/>
  <c r="EL68" i="196" s="1"/>
  <c r="EL69" i="196" s="1"/>
  <c r="EL70" i="196" s="1"/>
  <c r="EL71" i="196" s="1"/>
  <c r="EL72" i="196" s="1"/>
  <c r="EL73" i="196" s="1"/>
  <c r="EL74" i="196" s="1"/>
  <c r="EL75" i="196" s="1"/>
  <c r="EL76" i="196" s="1"/>
  <c r="EL77" i="196" s="1"/>
  <c r="DD78" i="196"/>
  <c r="DD79" i="196" s="1"/>
  <c r="DD80" i="196" s="1"/>
  <c r="DD81" i="196" s="1"/>
  <c r="DD82" i="196" s="1"/>
  <c r="DD83" i="196" s="1"/>
  <c r="DD84" i="196" s="1"/>
  <c r="DD85" i="196" s="1"/>
  <c r="DD86" i="196" s="1"/>
  <c r="DD87" i="196" s="1"/>
  <c r="DD88" i="196" s="1"/>
  <c r="DD89" i="196" s="1"/>
  <c r="DD90" i="196" s="1"/>
  <c r="DD91" i="196" s="1"/>
  <c r="DD92" i="196" s="1"/>
  <c r="DD93" i="196" s="1"/>
  <c r="DD94" i="196" s="1"/>
  <c r="DD95" i="196" s="1"/>
  <c r="DD96" i="196" s="1"/>
  <c r="DD97" i="196" s="1"/>
  <c r="DD98" i="196" s="1"/>
  <c r="DD99" i="196" s="1"/>
  <c r="DD100" i="196" s="1"/>
  <c r="DD101" i="196" s="1"/>
  <c r="DD102" i="196" s="1"/>
  <c r="DD103" i="196" s="1"/>
  <c r="DD104" i="196" s="1"/>
  <c r="EL78" i="196" l="1"/>
  <c r="EL79" i="196" s="1"/>
  <c r="EL80" i="196" s="1"/>
  <c r="EL81" i="196" s="1"/>
  <c r="EL82" i="196" s="1"/>
  <c r="EL83" i="196" s="1"/>
  <c r="EL84" i="196" s="1"/>
  <c r="EL85" i="196" s="1"/>
  <c r="EL86" i="196" s="1"/>
  <c r="EL87" i="196" s="1"/>
  <c r="EL88" i="196" s="1"/>
  <c r="EL89" i="196" s="1"/>
  <c r="EL90" i="196" s="1"/>
  <c r="EL91" i="196" s="1"/>
  <c r="EL92" i="196" s="1"/>
  <c r="EL93" i="196" s="1"/>
  <c r="EL94" i="196" s="1"/>
  <c r="EL95" i="196" s="1"/>
  <c r="EL96" i="196" s="1"/>
  <c r="EL97" i="196" s="1"/>
  <c r="EL98" i="196" s="1"/>
  <c r="EL99" i="196" s="1"/>
  <c r="EL100" i="196" s="1"/>
  <c r="EL101" i="196" s="1"/>
  <c r="EL102" i="196" s="1"/>
  <c r="EL103" i="196" s="1"/>
  <c r="EL104" i="196" s="1"/>
  <c r="DD105" i="196"/>
  <c r="DD106" i="196" l="1"/>
  <c r="DD107" i="196" s="1"/>
  <c r="DD108" i="196" s="1"/>
  <c r="DD109" i="196" s="1"/>
  <c r="DD110" i="196" s="1"/>
  <c r="DD111" i="196" s="1"/>
  <c r="DD112" i="196" s="1"/>
  <c r="DD113" i="196" s="1"/>
  <c r="DD114" i="196" s="1"/>
  <c r="DD115" i="196" s="1"/>
  <c r="DD116" i="196" s="1"/>
  <c r="DD117" i="196" s="1"/>
  <c r="DD118" i="196" s="1"/>
  <c r="DD119" i="196" s="1"/>
  <c r="DD120" i="196" s="1"/>
  <c r="DD121" i="196" s="1"/>
  <c r="DD122" i="196" s="1"/>
  <c r="DD123" i="196" s="1"/>
  <c r="EL105" i="196"/>
  <c r="EL106" i="196" l="1"/>
  <c r="EL107" i="196" s="1"/>
  <c r="EL108" i="196" s="1"/>
  <c r="EL109" i="196" s="1"/>
  <c r="EL110" i="196" s="1"/>
  <c r="EL111" i="196" s="1"/>
  <c r="EL112" i="196" s="1"/>
  <c r="EL113" i="196" s="1"/>
  <c r="EL114" i="196" s="1"/>
  <c r="EL115" i="196" s="1"/>
  <c r="EL116" i="196" s="1"/>
  <c r="EL117" i="196" s="1"/>
  <c r="EL118" i="196" s="1"/>
  <c r="EL119" i="196" s="1"/>
  <c r="EL120" i="196" s="1"/>
  <c r="EL121" i="196" s="1"/>
  <c r="EL122" i="196" s="1"/>
  <c r="EL123" i="196" s="1"/>
  <c r="BU6" i="196" l="1"/>
  <c r="AN6" i="248"/>
  <c r="BU11" i="196"/>
  <c r="AN11" i="248"/>
  <c r="BU21" i="196" l="1"/>
  <c r="AN21" i="248"/>
  <c r="AN16" i="248"/>
  <c r="BU16" i="196"/>
  <c r="AN9" i="248"/>
  <c r="BU9" i="196"/>
  <c r="BU8" i="196"/>
  <c r="AN8" i="248"/>
  <c r="AN10" i="248"/>
  <c r="BU10" i="196"/>
  <c r="CK10" i="196" s="1"/>
  <c r="AN7" i="248"/>
  <c r="BU7" i="196"/>
  <c r="BU5" i="196"/>
  <c r="CK5" i="196" s="1"/>
  <c r="AN5" i="248"/>
  <c r="CK9" i="196" l="1"/>
  <c r="BU4" i="196"/>
  <c r="CK4" i="196" s="1"/>
  <c r="AN4" i="248"/>
  <c r="BU18" i="196"/>
  <c r="AN18" i="248"/>
  <c r="AN14" i="248"/>
  <c r="BU14" i="196"/>
  <c r="CK6" i="196"/>
  <c r="CK7" i="196"/>
  <c r="AN13" i="248"/>
  <c r="BU13" i="196"/>
  <c r="AN20" i="248"/>
  <c r="BU20" i="196"/>
  <c r="CK20" i="196" s="1"/>
  <c r="CK8" i="196"/>
  <c r="BU22" i="196"/>
  <c r="AN22" i="248"/>
  <c r="BU19" i="196"/>
  <c r="AN19" i="248"/>
  <c r="AN12" i="248"/>
  <c r="BU12" i="196"/>
  <c r="BU17" i="196"/>
  <c r="AN17" i="248"/>
  <c r="AN15" i="248"/>
  <c r="BU15" i="196"/>
  <c r="CK15" i="196" s="1"/>
  <c r="CK13" i="196" l="1"/>
  <c r="CK19" i="196"/>
  <c r="CK18" i="196"/>
  <c r="AN3" i="248"/>
  <c r="BU3" i="196"/>
  <c r="CK3" i="196" s="1"/>
  <c r="CK21" i="196"/>
  <c r="CK123" i="196"/>
  <c r="CK17" i="196"/>
  <c r="CK16" i="196"/>
  <c r="CK11" i="196"/>
  <c r="CK12" i="196"/>
  <c r="BU23" i="196"/>
  <c r="CK22" i="196" s="1"/>
  <c r="AN23" i="248"/>
  <c r="CK14" i="196"/>
  <c r="BU24" i="196" l="1"/>
  <c r="CK23" i="196" s="1"/>
  <c r="AN24" i="248"/>
  <c r="AN25" i="248" l="1"/>
  <c r="BU25" i="196"/>
  <c r="CK24" i="196" s="1"/>
  <c r="BU26" i="196" l="1"/>
  <c r="CK25" i="196" s="1"/>
  <c r="AN26" i="248"/>
  <c r="BU27" i="196" l="1"/>
  <c r="AN27" i="248"/>
  <c r="CK26" i="196" l="1"/>
  <c r="BU28" i="196"/>
  <c r="AN28" i="248"/>
  <c r="AN29" i="248" l="1"/>
  <c r="BU29" i="196"/>
  <c r="CK28" i="196" s="1"/>
  <c r="AH11" i="248"/>
  <c r="BO11" i="196"/>
  <c r="AX11" i="248"/>
  <c r="ET11" i="196"/>
  <c r="CK27" i="196"/>
  <c r="BU30" i="196" l="1"/>
  <c r="CK29" i="196" s="1"/>
  <c r="AN30" i="248"/>
  <c r="BU31" i="196" l="1"/>
  <c r="AN31" i="248"/>
  <c r="CK30" i="196" l="1"/>
  <c r="BU32" i="196"/>
  <c r="CK31" i="196" s="1"/>
  <c r="AN32" i="248"/>
  <c r="AN33" i="248" l="1"/>
  <c r="BU33" i="196"/>
  <c r="CK32" i="196" s="1"/>
  <c r="AN34" i="248" l="1"/>
  <c r="BU34" i="196"/>
  <c r="CK33" i="196" s="1"/>
  <c r="BU35" i="196" l="1"/>
  <c r="CK34" i="196" s="1"/>
  <c r="AN35" i="248"/>
  <c r="BU36" i="196" l="1"/>
  <c r="CK35" i="196" s="1"/>
  <c r="AN36" i="248"/>
  <c r="AN37" i="248" l="1"/>
  <c r="BU37" i="196"/>
  <c r="CK36" i="196" s="1"/>
  <c r="AN38" i="248" l="1"/>
  <c r="BU38" i="196"/>
  <c r="CK37" i="196" s="1"/>
  <c r="AN39" i="248" l="1"/>
  <c r="BU39" i="196"/>
  <c r="CK38" i="196" s="1"/>
  <c r="BU40" i="196" l="1"/>
  <c r="AN40" i="248"/>
  <c r="BU41" i="196" l="1"/>
  <c r="AN41" i="248"/>
  <c r="CK39" i="196"/>
  <c r="CK40" i="196"/>
  <c r="BU42" i="196" l="1"/>
  <c r="AN42" i="248"/>
  <c r="BU43" i="196" l="1"/>
  <c r="AN43" i="248"/>
  <c r="CK41" i="196"/>
  <c r="CK42" i="196"/>
  <c r="AN44" i="248" l="1"/>
  <c r="BU44" i="196"/>
  <c r="CK43" i="196" s="1"/>
  <c r="BU45" i="196" l="1"/>
  <c r="CK44" i="196" s="1"/>
  <c r="AN45" i="248"/>
  <c r="BU46" i="196" l="1"/>
  <c r="AN46" i="248"/>
  <c r="AN47" i="248" l="1"/>
  <c r="BU47" i="196"/>
  <c r="CK46" i="196" s="1"/>
  <c r="CK45" i="196"/>
  <c r="BU48" i="196" l="1"/>
  <c r="AN48" i="248"/>
  <c r="BU49" i="196" l="1"/>
  <c r="CK48" i="196" s="1"/>
  <c r="AN49" i="248"/>
  <c r="CK47" i="196"/>
  <c r="BU50" i="196" l="1"/>
  <c r="AN50" i="248"/>
  <c r="AN51" i="248" l="1"/>
  <c r="BU51" i="196"/>
  <c r="CK50" i="196" s="1"/>
  <c r="CK49" i="196"/>
  <c r="AN52" i="248" l="1"/>
  <c r="BU52" i="196"/>
  <c r="CK51" i="196" s="1"/>
  <c r="BU53" i="196" l="1"/>
  <c r="CK52" i="196" s="1"/>
  <c r="AN53" i="248"/>
  <c r="AN54" i="248" l="1"/>
  <c r="BU54" i="196"/>
  <c r="CK53" i="196" s="1"/>
  <c r="BU55" i="196" l="1"/>
  <c r="AN55" i="248"/>
  <c r="CK54" i="196" l="1"/>
  <c r="AN56" i="248"/>
  <c r="BU56" i="196"/>
  <c r="CK55" i="196" s="1"/>
  <c r="BU57" i="196" l="1"/>
  <c r="CK56" i="196" s="1"/>
  <c r="AN57" i="248"/>
  <c r="AN58" i="248" l="1"/>
  <c r="BU58" i="196"/>
  <c r="CK57" i="196" s="1"/>
  <c r="AN59" i="248" l="1"/>
  <c r="BU59" i="196"/>
  <c r="CK58" i="196" s="1"/>
  <c r="AN60" i="248" l="1"/>
  <c r="BU60" i="196"/>
  <c r="CK59" i="196" s="1"/>
  <c r="BU61" i="196" l="1"/>
  <c r="CK60" i="196" s="1"/>
  <c r="AN61" i="248"/>
  <c r="AN62" i="248" l="1"/>
  <c r="BU62" i="196"/>
  <c r="CK61" i="196" s="1"/>
  <c r="AN63" i="248" l="1"/>
  <c r="BU63" i="196"/>
  <c r="CK62" i="196" s="1"/>
  <c r="BU64" i="196" l="1"/>
  <c r="CK63" i="196" s="1"/>
  <c r="AN64" i="248"/>
  <c r="AN65" i="248" l="1"/>
  <c r="H65" i="196"/>
  <c r="H66" i="196" s="1"/>
  <c r="CK104" i="196"/>
  <c r="CK68" i="196"/>
  <c r="CK98" i="196"/>
  <c r="CK111" i="196"/>
  <c r="CK84" i="196"/>
  <c r="CK119" i="196"/>
  <c r="CK122" i="196"/>
  <c r="CK101" i="196"/>
  <c r="CK90" i="196"/>
  <c r="CK73" i="196"/>
  <c r="CK114" i="196"/>
  <c r="CK78" i="196"/>
  <c r="CK103" i="196"/>
  <c r="CK92" i="196"/>
  <c r="CK89" i="196"/>
  <c r="CK93" i="196"/>
  <c r="CK75" i="196"/>
  <c r="CK97" i="196"/>
  <c r="CK96" i="196"/>
  <c r="CK65" i="196"/>
  <c r="CK100" i="196"/>
  <c r="CK69" i="196"/>
  <c r="CK71" i="196"/>
  <c r="CK70" i="196"/>
  <c r="CK82" i="196"/>
  <c r="CK105" i="196"/>
  <c r="CK76" i="196"/>
  <c r="CK83" i="196"/>
  <c r="CK112" i="196"/>
  <c r="CK77" i="196"/>
  <c r="CK80" i="196"/>
  <c r="CK67" i="196"/>
  <c r="CK117" i="196"/>
  <c r="CK79" i="196"/>
  <c r="CK121" i="196"/>
  <c r="CK86" i="196"/>
  <c r="CK108" i="196"/>
  <c r="CK81" i="196"/>
  <c r="CK88" i="196"/>
  <c r="CK99" i="196"/>
  <c r="CK102" i="196"/>
  <c r="CK120" i="196"/>
  <c r="CK66" i="196"/>
  <c r="CK115" i="196"/>
  <c r="CK85" i="196"/>
  <c r="CK74" i="196"/>
  <c r="CK106" i="196"/>
  <c r="CK107" i="196"/>
  <c r="CK110" i="196"/>
  <c r="CK116" i="196"/>
  <c r="CK118" i="196"/>
  <c r="CK91" i="196"/>
  <c r="CK113" i="196"/>
  <c r="CK109" i="196"/>
  <c r="CK95" i="196"/>
  <c r="CK87" i="196"/>
  <c r="CK94" i="196"/>
  <c r="CK72" i="196"/>
  <c r="CK64" i="196"/>
  <c r="DA65" i="196" s="1"/>
  <c r="EI65" i="196" l="1"/>
  <c r="DA66" i="196"/>
  <c r="DS64" i="196"/>
  <c r="AN66" i="248"/>
  <c r="DS65" i="196" l="1"/>
  <c r="DA67" i="196"/>
  <c r="EI66" i="196"/>
  <c r="AN67" i="248"/>
  <c r="H67" i="196"/>
  <c r="DS66" i="196" l="1"/>
  <c r="DA68" i="196"/>
  <c r="DS67" i="196" s="1"/>
  <c r="EI67" i="196"/>
  <c r="H68" i="196"/>
  <c r="H69" i="196" s="1"/>
  <c r="AN68" i="248"/>
  <c r="AN69" i="248" l="1"/>
  <c r="EI68" i="196"/>
  <c r="DA69" i="196"/>
  <c r="H70" i="196"/>
  <c r="EI69" i="196" l="1"/>
  <c r="DA70" i="196"/>
  <c r="DS69" i="196" s="1"/>
  <c r="DS68" i="196"/>
  <c r="H71" i="196"/>
  <c r="AN70" i="248"/>
  <c r="AN71" i="248" l="1"/>
  <c r="EI70" i="196"/>
  <c r="DA71" i="196"/>
  <c r="AN72" i="248" l="1"/>
  <c r="H72" i="196"/>
  <c r="EI71" i="196"/>
  <c r="DA72" i="196"/>
  <c r="DS71" i="196" s="1"/>
  <c r="DS70" i="196"/>
  <c r="H73" i="196" l="1"/>
  <c r="AN73" i="248"/>
  <c r="EI72" i="196"/>
  <c r="DA73" i="196"/>
  <c r="DS72" i="196" s="1"/>
  <c r="AN74" i="248" l="1"/>
  <c r="EI73" i="196"/>
  <c r="DA74" i="196"/>
  <c r="H74" i="196"/>
  <c r="H75" i="196" s="1"/>
  <c r="AN75" i="248" l="1"/>
  <c r="DS73" i="196"/>
  <c r="DA75" i="196"/>
  <c r="EI74" i="196"/>
  <c r="DS74" i="196" l="1"/>
  <c r="DA76" i="196"/>
  <c r="EI75" i="196"/>
  <c r="AN76" i="248"/>
  <c r="H76" i="196"/>
  <c r="H77" i="196" s="1"/>
  <c r="EI76" i="196" l="1"/>
  <c r="DA77" i="196"/>
  <c r="AN77" i="248"/>
  <c r="DS75" i="196"/>
  <c r="DS76" i="196" l="1"/>
  <c r="DA78" i="196"/>
  <c r="DS77" i="196" s="1"/>
  <c r="EI77" i="196"/>
  <c r="AN78" i="248"/>
  <c r="H78" i="196"/>
  <c r="H79" i="196" l="1"/>
  <c r="AN79" i="248"/>
  <c r="DA79" i="196"/>
  <c r="EI78" i="196"/>
  <c r="DS78" i="196" l="1"/>
  <c r="DA80" i="196"/>
  <c r="DS79" i="196" s="1"/>
  <c r="EI79" i="196"/>
  <c r="AN80" i="248"/>
  <c r="H80" i="196"/>
  <c r="H81" i="196" l="1"/>
  <c r="AN81" i="248"/>
  <c r="DA81" i="196"/>
  <c r="DS80" i="196" s="1"/>
  <c r="EI80" i="196"/>
  <c r="H82" i="196" l="1"/>
  <c r="EI81" i="196"/>
  <c r="DA82" i="196"/>
  <c r="DS81" i="196" s="1"/>
  <c r="AN82" i="248"/>
  <c r="DA83" i="196" l="1"/>
  <c r="EI82" i="196"/>
  <c r="AN83" i="248"/>
  <c r="H83" i="196"/>
  <c r="H84" i="196" s="1"/>
  <c r="DS82" i="196" l="1"/>
  <c r="DA84" i="196"/>
  <c r="EI83" i="196"/>
  <c r="AN84" i="248"/>
  <c r="DS83" i="196" l="1"/>
  <c r="DA85" i="196"/>
  <c r="DS84" i="196" s="1"/>
  <c r="EI84" i="196"/>
  <c r="H85" i="196"/>
  <c r="H86" i="196" s="1"/>
  <c r="AN85" i="248"/>
  <c r="DA86" i="196" l="1"/>
  <c r="EI85" i="196"/>
  <c r="DS85" i="196"/>
  <c r="AN86" i="248"/>
  <c r="AN87" i="248" l="1"/>
  <c r="H87" i="196"/>
  <c r="H88" i="196" s="1"/>
  <c r="EI86" i="196"/>
  <c r="DA87" i="196"/>
  <c r="DS86" i="196" l="1"/>
  <c r="EI87" i="196"/>
  <c r="DA88" i="196"/>
  <c r="H89" i="196"/>
  <c r="AN88" i="248"/>
  <c r="DA89" i="196" l="1"/>
  <c r="EI88" i="196"/>
  <c r="DS88" i="196"/>
  <c r="DS87" i="196"/>
  <c r="AN89" i="248"/>
  <c r="H90" i="196"/>
  <c r="AN90" i="248" l="1"/>
  <c r="EI89" i="196"/>
  <c r="DA90" i="196"/>
  <c r="DA91" i="196" l="1"/>
  <c r="EI90" i="196"/>
  <c r="AN91" i="248"/>
  <c r="DS89" i="196"/>
  <c r="H91" i="196"/>
  <c r="H92" i="196" s="1"/>
  <c r="AN92" i="248" l="1"/>
  <c r="DS90" i="196"/>
  <c r="DA92" i="196"/>
  <c r="EI91" i="196"/>
  <c r="DA93" i="196" l="1"/>
  <c r="DS92" i="196" s="1"/>
  <c r="EI92" i="196"/>
  <c r="DS91" i="196"/>
  <c r="AN93" i="248"/>
  <c r="H93" i="196"/>
  <c r="H94" i="196" l="1"/>
  <c r="AN94" i="248"/>
  <c r="EI93" i="196"/>
  <c r="DA94" i="196"/>
  <c r="DS93" i="196" s="1"/>
  <c r="EI94" i="196" l="1"/>
  <c r="DA95" i="196"/>
  <c r="H95" i="196"/>
  <c r="AN95" i="248"/>
  <c r="DS94" i="196" l="1"/>
  <c r="EI95" i="196"/>
  <c r="DA96" i="196"/>
  <c r="DS95" i="196" s="1"/>
  <c r="H96" i="196"/>
  <c r="H97" i="196" s="1"/>
  <c r="AN96" i="248"/>
  <c r="EI96" i="196" l="1"/>
  <c r="DA97" i="196"/>
  <c r="AN97" i="248"/>
  <c r="DS96" i="196" l="1"/>
  <c r="DA98" i="196"/>
  <c r="EI97" i="196"/>
  <c r="AN98" i="248"/>
  <c r="H98" i="196"/>
  <c r="H99" i="196" s="1"/>
  <c r="H100" i="196" l="1"/>
  <c r="AN99" i="248"/>
  <c r="DS97" i="196"/>
  <c r="EI98" i="196"/>
  <c r="DA99" i="196"/>
  <c r="DS98" i="196" s="1"/>
  <c r="DA100" i="196" l="1"/>
  <c r="EI99" i="196"/>
  <c r="AN100" i="248"/>
  <c r="H101" i="196"/>
  <c r="AN101" i="248" l="1"/>
  <c r="DS99" i="196"/>
  <c r="EI100" i="196"/>
  <c r="DA101" i="196"/>
  <c r="DS100" i="196" l="1"/>
  <c r="DA102" i="196"/>
  <c r="DS101" i="196" s="1"/>
  <c r="EI101" i="196"/>
  <c r="AN102" i="248"/>
  <c r="H102" i="196"/>
  <c r="H103" i="196" s="1"/>
  <c r="DA103" i="196" l="1"/>
  <c r="EI102" i="196"/>
  <c r="AN103" i="248"/>
  <c r="DS102" i="196" l="1"/>
  <c r="EI103" i="196"/>
  <c r="DA104" i="196"/>
  <c r="DS103" i="196" s="1"/>
  <c r="AN104" i="248"/>
  <c r="H104" i="196"/>
  <c r="H105" i="196" s="1"/>
  <c r="AN105" i="248" l="1"/>
  <c r="DA105" i="196"/>
  <c r="DS104" i="196" s="1"/>
  <c r="EI104" i="196"/>
  <c r="EI105" i="196" l="1"/>
  <c r="DA106" i="196"/>
  <c r="AN106" i="248"/>
  <c r="H106" i="196"/>
  <c r="H107" i="196" s="1"/>
  <c r="H108" i="196" l="1"/>
  <c r="AN107" i="248"/>
  <c r="DS105" i="196"/>
  <c r="EI106" i="196"/>
  <c r="DA107" i="196"/>
  <c r="DS106" i="196" s="1"/>
  <c r="H109" i="196" l="1"/>
  <c r="AN108" i="248"/>
  <c r="EI107" i="196"/>
  <c r="DA108" i="196"/>
  <c r="DS107" i="196" s="1"/>
  <c r="H110" i="196" l="1"/>
  <c r="AN109" i="248"/>
  <c r="DA109" i="196"/>
  <c r="EI108" i="196"/>
  <c r="H111" i="196" l="1"/>
  <c r="AN110" i="248"/>
  <c r="DS108" i="196"/>
  <c r="DA110" i="196"/>
  <c r="DS109" i="196" s="1"/>
  <c r="EI109" i="196"/>
  <c r="AN111" i="248" l="1"/>
  <c r="DA111" i="196"/>
  <c r="EI110" i="196"/>
  <c r="AN112" i="248" l="1"/>
  <c r="EI111" i="196"/>
  <c r="DA112" i="196"/>
  <c r="DS110" i="196"/>
  <c r="H112" i="196"/>
  <c r="H113" i="196" s="1"/>
  <c r="DS111" i="196" l="1"/>
  <c r="EI112" i="196"/>
  <c r="DA113" i="196"/>
  <c r="DS112" i="196" s="1"/>
  <c r="AN113" i="248"/>
  <c r="H114" i="196"/>
  <c r="EI113" i="196" l="1"/>
  <c r="DA114" i="196"/>
  <c r="AN114" i="248"/>
  <c r="DA115" i="196" l="1"/>
  <c r="DS114" i="196" s="1"/>
  <c r="EI114" i="196"/>
  <c r="DS113" i="196"/>
  <c r="AN115" i="248"/>
  <c r="H115" i="196"/>
  <c r="H116" i="196" s="1"/>
  <c r="AN116" i="248" l="1"/>
  <c r="EI115" i="196"/>
  <c r="DA116" i="196"/>
  <c r="DS115" i="196" s="1"/>
  <c r="H117" i="196"/>
  <c r="EI116" i="196" l="1"/>
  <c r="DA117" i="196"/>
  <c r="DS116" i="196" s="1"/>
  <c r="H118" i="196"/>
  <c r="AN117" i="248"/>
  <c r="EI117" i="196" l="1"/>
  <c r="DA118" i="196"/>
  <c r="DS117" i="196" s="1"/>
  <c r="AN118" i="248"/>
  <c r="EI118" i="196" l="1"/>
  <c r="DA119" i="196"/>
  <c r="DS118" i="196" s="1"/>
  <c r="AN119" i="248"/>
  <c r="H119" i="196"/>
  <c r="H120" i="196" s="1"/>
  <c r="AN120" i="248" l="1"/>
  <c r="EI119" i="196"/>
  <c r="DA120" i="196"/>
  <c r="DA121" i="196" l="1"/>
  <c r="DS120" i="196" s="1"/>
  <c r="EI120" i="196"/>
  <c r="AN121" i="248"/>
  <c r="H121" i="196"/>
  <c r="H122" i="196" s="1"/>
  <c r="DS119" i="196"/>
  <c r="DA122" i="196" l="1"/>
  <c r="DS121" i="196" s="1"/>
  <c r="EI121" i="196"/>
  <c r="AN122" i="248"/>
  <c r="H123" i="196" l="1"/>
  <c r="AN123" i="248"/>
  <c r="EI122" i="196"/>
  <c r="DA123" i="196"/>
  <c r="DS122" i="196" l="1"/>
  <c r="EI123" i="196"/>
  <c r="AH26" i="248" l="1"/>
  <c r="BO26" i="196"/>
  <c r="BO31" i="196" l="1"/>
  <c r="AH31" i="248"/>
  <c r="BO16" i="196" l="1"/>
  <c r="AH16" i="248"/>
  <c r="AX16" i="248"/>
  <c r="ET16" i="196"/>
  <c r="AH18" i="248"/>
  <c r="BO18" i="196"/>
  <c r="BO22" i="196"/>
  <c r="AH22" i="248"/>
  <c r="AH21" i="248"/>
  <c r="BO21" i="196"/>
  <c r="ET21" i="196"/>
  <c r="AX21" i="248"/>
  <c r="BO6" i="196"/>
  <c r="AH6" i="248"/>
  <c r="ET6" i="196"/>
  <c r="AX6" i="248"/>
  <c r="CE21" i="196" l="1"/>
  <c r="BO10" i="196"/>
  <c r="CE10" i="196" s="1"/>
  <c r="AH10" i="248"/>
  <c r="ET10" i="196"/>
  <c r="AX10" i="248"/>
  <c r="AY10" i="248" s="1"/>
  <c r="AH60" i="248"/>
  <c r="BO60" i="196"/>
  <c r="AH19" i="248"/>
  <c r="BO19" i="196"/>
  <c r="BO7" i="196"/>
  <c r="CE6" i="196" s="1"/>
  <c r="AH7" i="248"/>
  <c r="ET7" i="196"/>
  <c r="AX7" i="248"/>
  <c r="AH32" i="248"/>
  <c r="BO32" i="196"/>
  <c r="BO9" i="196"/>
  <c r="AH9" i="248"/>
  <c r="AX9" i="248"/>
  <c r="ET9" i="196"/>
  <c r="AH35" i="248"/>
  <c r="BO35" i="196"/>
  <c r="AH24" i="248"/>
  <c r="BO24" i="196"/>
  <c r="AH36" i="248"/>
  <c r="BO36" i="196"/>
  <c r="BO27" i="196"/>
  <c r="AH27" i="248"/>
  <c r="AH65" i="248"/>
  <c r="AH56" i="248"/>
  <c r="BO56" i="196"/>
  <c r="AH17" i="248"/>
  <c r="BO17" i="196"/>
  <c r="CE17" i="196" s="1"/>
  <c r="AH5" i="248"/>
  <c r="BO5" i="196"/>
  <c r="CE5" i="196" s="1"/>
  <c r="AX5" i="248"/>
  <c r="ET5" i="196"/>
  <c r="AH25" i="248"/>
  <c r="BO25" i="196"/>
  <c r="CE25" i="196" s="1"/>
  <c r="AH29" i="248"/>
  <c r="BO29" i="196"/>
  <c r="AH14" i="248"/>
  <c r="BO14" i="196"/>
  <c r="AX14" i="248"/>
  <c r="ET14" i="196"/>
  <c r="AH13" i="248"/>
  <c r="BO13" i="196"/>
  <c r="ET13" i="196"/>
  <c r="AX13" i="248"/>
  <c r="AH30" i="248"/>
  <c r="BO30" i="196"/>
  <c r="CE30" i="196" s="1"/>
  <c r="BO8" i="196"/>
  <c r="AH8" i="248"/>
  <c r="AX8" i="248"/>
  <c r="ET8" i="196"/>
  <c r="BO15" i="196"/>
  <c r="CE15" i="196" s="1"/>
  <c r="AH15" i="248"/>
  <c r="ET15" i="196"/>
  <c r="AX15" i="248"/>
  <c r="BO12" i="196"/>
  <c r="AH12" i="248"/>
  <c r="AX12" i="248"/>
  <c r="AY12" i="248" s="1"/>
  <c r="ET12" i="196"/>
  <c r="BO20" i="196"/>
  <c r="CE20" i="196" s="1"/>
  <c r="AH20" i="248"/>
  <c r="AH28" i="248"/>
  <c r="BO28" i="196"/>
  <c r="AH23" i="248"/>
  <c r="BO23" i="196"/>
  <c r="CE13" i="196" l="1"/>
  <c r="CE23" i="196"/>
  <c r="CE9" i="196"/>
  <c r="CE35" i="196"/>
  <c r="CE28" i="196"/>
  <c r="CE8" i="196"/>
  <c r="BO52" i="196"/>
  <c r="AH52" i="248"/>
  <c r="AY13" i="248"/>
  <c r="E12" i="261"/>
  <c r="AH64" i="248"/>
  <c r="AH63" i="248"/>
  <c r="AH4" i="248"/>
  <c r="BO4" i="196"/>
  <c r="CE4" i="196" s="1"/>
  <c r="ET4" i="196"/>
  <c r="AX4" i="248"/>
  <c r="BO3" i="196"/>
  <c r="AH3" i="248"/>
  <c r="AX3" i="248"/>
  <c r="ET3" i="196"/>
  <c r="CE19" i="196"/>
  <c r="CE12" i="196"/>
  <c r="CE11" i="196"/>
  <c r="AH46" i="248"/>
  <c r="BO46" i="196"/>
  <c r="CE22" i="196"/>
  <c r="E10" i="261"/>
  <c r="AY9" i="248"/>
  <c r="AH34" i="248"/>
  <c r="BO34" i="196"/>
  <c r="CE34" i="196" s="1"/>
  <c r="AH38" i="248"/>
  <c r="BO38" i="196"/>
  <c r="CE7" i="196"/>
  <c r="AH41" i="248"/>
  <c r="BO41" i="196"/>
  <c r="AH37" i="248"/>
  <c r="BO37" i="196"/>
  <c r="B61" i="196"/>
  <c r="B62" i="196" s="1"/>
  <c r="B63" i="196" s="1"/>
  <c r="B64" i="196" s="1"/>
  <c r="B65" i="196" s="1"/>
  <c r="B66" i="196" s="1"/>
  <c r="AH61" i="248"/>
  <c r="BO57" i="196"/>
  <c r="AH57" i="248"/>
  <c r="BO40" i="196"/>
  <c r="AH40" i="248"/>
  <c r="CE27" i="196"/>
  <c r="CE26" i="196"/>
  <c r="BO58" i="196"/>
  <c r="AH58" i="248"/>
  <c r="CE24" i="196"/>
  <c r="AH51" i="248"/>
  <c r="BO51" i="196"/>
  <c r="CE18" i="196"/>
  <c r="BO59" i="196"/>
  <c r="CE59" i="196" s="1"/>
  <c r="AH59" i="248"/>
  <c r="AH62" i="248"/>
  <c r="AH39" i="248"/>
  <c r="BO39" i="196"/>
  <c r="AH69" i="248"/>
  <c r="CE14" i="196"/>
  <c r="BO33" i="196"/>
  <c r="CE32" i="196" s="1"/>
  <c r="AH33" i="248"/>
  <c r="CE29" i="196"/>
  <c r="CE16" i="196"/>
  <c r="CE31" i="196"/>
  <c r="CE37" i="196" l="1"/>
  <c r="CE39" i="196"/>
  <c r="CE51" i="196"/>
  <c r="CE33" i="196"/>
  <c r="CE36" i="196"/>
  <c r="CE40" i="196"/>
  <c r="CE58" i="196"/>
  <c r="CE3" i="196"/>
  <c r="AH67" i="248"/>
  <c r="AH76" i="248"/>
  <c r="CE123" i="196"/>
  <c r="AH68" i="248"/>
  <c r="AH75" i="248"/>
  <c r="BO49" i="196"/>
  <c r="AH49" i="248"/>
  <c r="AH53" i="248"/>
  <c r="BO53" i="196"/>
  <c r="CE52" i="196" s="1"/>
  <c r="E9" i="261"/>
  <c r="AY8" i="248"/>
  <c r="AH50" i="248"/>
  <c r="BO50" i="196"/>
  <c r="CE50" i="196" s="1"/>
  <c r="E13" i="261"/>
  <c r="AY14" i="248"/>
  <c r="B67" i="196"/>
  <c r="B68" i="196" s="1"/>
  <c r="B69" i="196" s="1"/>
  <c r="BO47" i="196"/>
  <c r="AH47" i="248"/>
  <c r="AH42" i="248"/>
  <c r="BO42" i="196"/>
  <c r="CE41" i="196" s="1"/>
  <c r="AH66" i="248"/>
  <c r="CE56" i="196"/>
  <c r="CE57" i="196"/>
  <c r="BO55" i="196"/>
  <c r="CE55" i="196" s="1"/>
  <c r="AH55" i="248"/>
  <c r="BO45" i="196"/>
  <c r="CE45" i="196" s="1"/>
  <c r="AH45" i="248"/>
  <c r="AH54" i="248"/>
  <c r="BO54" i="196"/>
  <c r="BO43" i="196"/>
  <c r="AH43" i="248"/>
  <c r="AH44" i="248"/>
  <c r="BO44" i="196"/>
  <c r="CE38" i="196"/>
  <c r="AH48" i="248"/>
  <c r="BO48" i="196"/>
  <c r="CE48" i="196" l="1"/>
  <c r="CE43" i="196"/>
  <c r="CE54" i="196"/>
  <c r="CE44" i="196"/>
  <c r="CE42" i="196"/>
  <c r="CE46" i="196"/>
  <c r="CE47" i="196"/>
  <c r="E8" i="261"/>
  <c r="AY7" i="248"/>
  <c r="CE53" i="196"/>
  <c r="AH74" i="248"/>
  <c r="AY15" i="248"/>
  <c r="E14" i="261"/>
  <c r="CE49" i="196"/>
  <c r="CE110" i="196" l="1"/>
  <c r="CE72" i="196"/>
  <c r="CE69" i="196"/>
  <c r="CE86" i="196"/>
  <c r="CE95" i="196"/>
  <c r="CE68" i="196"/>
  <c r="CE73" i="196"/>
  <c r="CE75" i="196"/>
  <c r="CE121" i="196"/>
  <c r="CE79" i="196"/>
  <c r="CE101" i="196"/>
  <c r="CE113" i="196"/>
  <c r="CE88" i="196"/>
  <c r="CE71" i="196"/>
  <c r="AY6" i="248"/>
  <c r="E7" i="261"/>
  <c r="CE78" i="196"/>
  <c r="CE85" i="196"/>
  <c r="CE90" i="196"/>
  <c r="CE70" i="196"/>
  <c r="CE60" i="196"/>
  <c r="CU61" i="196" s="1"/>
  <c r="AH73" i="248"/>
  <c r="CE118" i="196"/>
  <c r="CE82" i="196"/>
  <c r="CE81" i="196"/>
  <c r="CE76" i="196"/>
  <c r="CE87" i="196"/>
  <c r="CE114" i="196"/>
  <c r="CE99" i="196"/>
  <c r="CE77" i="196"/>
  <c r="CE100" i="196"/>
  <c r="CE120" i="196"/>
  <c r="CE80" i="196"/>
  <c r="CE104" i="196"/>
  <c r="CE106" i="196"/>
  <c r="CE122" i="196"/>
  <c r="CE115" i="196"/>
  <c r="CE102" i="196"/>
  <c r="CE96" i="196"/>
  <c r="E15" i="261"/>
  <c r="AY16" i="248"/>
  <c r="CE91" i="196"/>
  <c r="CE67" i="196"/>
  <c r="CE98" i="196"/>
  <c r="CE105" i="196"/>
  <c r="CE93" i="196"/>
  <c r="CE64" i="196"/>
  <c r="CE103" i="196"/>
  <c r="CE117" i="196"/>
  <c r="CE108" i="196"/>
  <c r="CE116" i="196"/>
  <c r="CE84" i="196"/>
  <c r="CE111" i="196"/>
  <c r="CE61" i="196"/>
  <c r="CE74" i="196"/>
  <c r="CE62" i="196"/>
  <c r="CE89" i="196"/>
  <c r="CE119" i="196"/>
  <c r="CE63" i="196"/>
  <c r="CE112" i="196"/>
  <c r="CE109" i="196"/>
  <c r="CE83" i="196"/>
  <c r="CE92" i="196"/>
  <c r="CE97" i="196"/>
  <c r="CE107" i="196"/>
  <c r="CE94" i="196"/>
  <c r="CE66" i="196"/>
  <c r="CE65" i="196"/>
  <c r="E16" i="261" l="1"/>
  <c r="AH72" i="248"/>
  <c r="EC61" i="196"/>
  <c r="DM60" i="196"/>
  <c r="CU62" i="196"/>
  <c r="DM61" i="196" s="1"/>
  <c r="AY5" i="248"/>
  <c r="E6" i="261"/>
  <c r="AH71" i="248" l="1"/>
  <c r="E5" i="261"/>
  <c r="AY4" i="248"/>
  <c r="EC62" i="196"/>
  <c r="CU63" i="196"/>
  <c r="DM62" i="196" s="1"/>
  <c r="EC63" i="196" l="1"/>
  <c r="CU64" i="196"/>
  <c r="AY3" i="248"/>
  <c r="E3" i="261" s="1"/>
  <c r="E4" i="261"/>
  <c r="AH70" i="248"/>
  <c r="B70" i="196"/>
  <c r="B71" i="196" s="1"/>
  <c r="B72" i="196" s="1"/>
  <c r="B73" i="196" s="1"/>
  <c r="B74" i="196" l="1"/>
  <c r="B75" i="196" s="1"/>
  <c r="B76" i="196" s="1"/>
  <c r="DM63" i="196"/>
  <c r="CU65" i="196"/>
  <c r="DM64" i="196" s="1"/>
  <c r="EC64" i="196"/>
  <c r="AH84" i="248" l="1"/>
  <c r="EC65" i="196"/>
  <c r="CU66" i="196"/>
  <c r="DM65" i="196" l="1"/>
  <c r="EC66" i="196"/>
  <c r="CU67" i="196"/>
  <c r="DM66" i="196" s="1"/>
  <c r="AH83" i="248"/>
  <c r="EC67" i="196" l="1"/>
  <c r="CU68" i="196"/>
  <c r="AH82" i="248"/>
  <c r="AH86" i="248"/>
  <c r="AH85" i="248" l="1"/>
  <c r="DM67" i="196"/>
  <c r="CU69" i="196"/>
  <c r="EC68" i="196"/>
  <c r="AH81" i="248"/>
  <c r="AH80" i="248" l="1"/>
  <c r="DM68" i="196"/>
  <c r="EC69" i="196"/>
  <c r="CU70" i="196"/>
  <c r="EC70" i="196" l="1"/>
  <c r="CU71" i="196"/>
  <c r="DM70" i="196" s="1"/>
  <c r="DM69" i="196"/>
  <c r="AH79" i="248"/>
  <c r="AH78" i="248" l="1"/>
  <c r="EC71" i="196"/>
  <c r="CU72" i="196"/>
  <c r="AH77" i="248" l="1"/>
  <c r="B77" i="196"/>
  <c r="B78" i="196" s="1"/>
  <c r="B79" i="196" s="1"/>
  <c r="B80" i="196" s="1"/>
  <c r="B81" i="196" s="1"/>
  <c r="B82" i="196" s="1"/>
  <c r="B83" i="196" s="1"/>
  <c r="B84" i="196" s="1"/>
  <c r="B85" i="196" s="1"/>
  <c r="B86" i="196" s="1"/>
  <c r="DM71" i="196"/>
  <c r="EC72" i="196"/>
  <c r="CU73" i="196"/>
  <c r="DM72" i="196" l="1"/>
  <c r="EC73" i="196"/>
  <c r="CU74" i="196"/>
  <c r="DM73" i="196" l="1"/>
  <c r="EC74" i="196"/>
  <c r="CU75" i="196"/>
  <c r="CU76" i="196" l="1"/>
  <c r="DM75" i="196" s="1"/>
  <c r="EC75" i="196"/>
  <c r="DM74" i="196"/>
  <c r="EC76" i="196" l="1"/>
  <c r="CU77" i="196"/>
  <c r="CU78" i="196" l="1"/>
  <c r="EC77" i="196"/>
  <c r="DM76" i="196"/>
  <c r="DM77" i="196" l="1"/>
  <c r="EC78" i="196"/>
  <c r="CU79" i="196"/>
  <c r="EC79" i="196" l="1"/>
  <c r="CU80" i="196"/>
  <c r="DM79" i="196" s="1"/>
  <c r="DM78" i="196"/>
  <c r="CU81" i="196" l="1"/>
  <c r="EC80" i="196"/>
  <c r="CU82" i="196" l="1"/>
  <c r="EC81" i="196"/>
  <c r="DM80" i="196"/>
  <c r="EC82" i="196" l="1"/>
  <c r="CU83" i="196"/>
  <c r="DM81" i="196"/>
  <c r="DM82" i="196" l="1"/>
  <c r="EC83" i="196"/>
  <c r="CU84" i="196"/>
  <c r="EC84" i="196" l="1"/>
  <c r="CU85" i="196"/>
  <c r="DM83" i="196"/>
  <c r="DM84" i="196" l="1"/>
  <c r="EC85" i="196"/>
  <c r="CU86" i="196"/>
  <c r="DM85" i="196" l="1"/>
  <c r="EC86" i="196"/>
  <c r="B49" i="254" l="1"/>
  <c r="Z50" i="248" s="1"/>
  <c r="B49" i="255"/>
  <c r="B44" i="255"/>
  <c r="B47" i="255"/>
  <c r="B47" i="254"/>
  <c r="Z48" i="248" s="1"/>
  <c r="B50" i="254"/>
  <c r="Z51" i="248" s="1"/>
  <c r="B50" i="255"/>
  <c r="B45" i="255"/>
  <c r="B45" i="254"/>
  <c r="Z46" i="248" s="1"/>
  <c r="B51" i="254"/>
  <c r="Z52" i="248" s="1"/>
  <c r="B51" i="255"/>
  <c r="B52" i="255"/>
  <c r="B52" i="254"/>
  <c r="Z53" i="248" s="1"/>
  <c r="B48" i="254"/>
  <c r="Z49" i="248" s="1"/>
  <c r="B48" i="255"/>
  <c r="B46" i="255"/>
  <c r="B46" i="254"/>
  <c r="Z47" i="248" s="1"/>
  <c r="AP46" i="248" l="1"/>
  <c r="BW46" i="196"/>
  <c r="B44" i="254"/>
  <c r="Z45" i="248" s="1"/>
  <c r="BW53" i="196"/>
  <c r="AP53" i="248"/>
  <c r="AP49" i="248"/>
  <c r="BW49" i="196"/>
  <c r="B53" i="254"/>
  <c r="Z54" i="248" s="1"/>
  <c r="B53" i="255"/>
  <c r="J47" i="196"/>
  <c r="J48" i="196" s="1"/>
  <c r="J49" i="196" s="1"/>
  <c r="J50" i="196" s="1"/>
  <c r="J51" i="196" s="1"/>
  <c r="J52" i="196" s="1"/>
  <c r="J53" i="196" s="1"/>
  <c r="AP47" i="248"/>
  <c r="BW47" i="196"/>
  <c r="AP51" i="248"/>
  <c r="BW51" i="196"/>
  <c r="BW50" i="196"/>
  <c r="AP50" i="248"/>
  <c r="BW52" i="196"/>
  <c r="AP52" i="248"/>
  <c r="BW48" i="196"/>
  <c r="AP48" i="248"/>
  <c r="AP45" i="248" l="1"/>
  <c r="BW45" i="196"/>
  <c r="B54" i="255"/>
  <c r="BW54" i="196"/>
  <c r="AR20" i="248" l="1"/>
  <c r="AR19" i="248"/>
  <c r="B54" i="254"/>
  <c r="Z55" i="248" s="1"/>
  <c r="AR18" i="248"/>
  <c r="CM45" i="196"/>
  <c r="CM44" i="196"/>
  <c r="B55" i="255"/>
  <c r="AR22" i="248"/>
  <c r="CM75" i="196" l="1"/>
  <c r="CM49" i="196"/>
  <c r="CM95" i="196"/>
  <c r="CM61" i="196"/>
  <c r="CM99" i="196"/>
  <c r="CM73" i="196"/>
  <c r="CM119" i="196"/>
  <c r="CM78" i="196"/>
  <c r="CM48" i="196"/>
  <c r="CM94" i="196"/>
  <c r="CM67" i="196"/>
  <c r="CM60" i="196"/>
  <c r="CM113" i="196"/>
  <c r="CM86" i="196"/>
  <c r="CM54" i="196"/>
  <c r="CM84" i="196"/>
  <c r="CM58" i="196"/>
  <c r="CM96" i="196"/>
  <c r="CM104" i="196"/>
  <c r="CM112" i="196"/>
  <c r="CM79" i="196"/>
  <c r="CM108" i="196"/>
  <c r="CM46" i="196"/>
  <c r="DC47" i="196" s="1"/>
  <c r="CM98" i="196"/>
  <c r="CM72" i="196"/>
  <c r="CM118" i="196"/>
  <c r="CM69" i="196"/>
  <c r="CM122" i="196"/>
  <c r="CM81" i="196"/>
  <c r="CM89" i="196"/>
  <c r="CM97" i="196"/>
  <c r="CM59" i="196"/>
  <c r="CM109" i="196"/>
  <c r="CM83" i="196"/>
  <c r="CM57" i="196"/>
  <c r="CM103" i="196"/>
  <c r="CM62" i="196"/>
  <c r="CM107" i="196"/>
  <c r="CM66" i="196"/>
  <c r="CM74" i="196"/>
  <c r="CM82" i="196"/>
  <c r="CM85" i="196"/>
  <c r="CM56" i="196"/>
  <c r="CM102" i="196"/>
  <c r="CM68" i="196"/>
  <c r="CM121" i="196"/>
  <c r="CM80" i="196"/>
  <c r="CM47" i="196"/>
  <c r="CM92" i="196"/>
  <c r="CM51" i="196"/>
  <c r="CM93" i="196"/>
  <c r="CM120" i="196"/>
  <c r="CM87" i="196"/>
  <c r="CM53" i="196"/>
  <c r="CM106" i="196"/>
  <c r="CM65" i="196"/>
  <c r="CM111" i="196"/>
  <c r="CM77" i="196"/>
  <c r="CM115" i="196"/>
  <c r="CM52" i="196"/>
  <c r="CM105" i="196"/>
  <c r="CM63" i="196"/>
  <c r="CM117" i="196"/>
  <c r="CM91" i="196"/>
  <c r="CM50" i="196"/>
  <c r="CM71" i="196"/>
  <c r="CM70" i="196"/>
  <c r="CM100" i="196"/>
  <c r="CM116" i="196"/>
  <c r="CM90" i="196"/>
  <c r="CM64" i="196"/>
  <c r="CM110" i="196"/>
  <c r="CM76" i="196"/>
  <c r="CM114" i="196"/>
  <c r="CM88" i="196"/>
  <c r="CM55" i="196"/>
  <c r="CM101" i="196"/>
  <c r="B55" i="254"/>
  <c r="Z56" i="248" s="1"/>
  <c r="AL17" i="248"/>
  <c r="BS17" i="196"/>
  <c r="AX17" i="248"/>
  <c r="AY17" i="248" s="1"/>
  <c r="ET17" i="196"/>
  <c r="AP55" i="248"/>
  <c r="BW55" i="196"/>
  <c r="AL20" i="248"/>
  <c r="BS20" i="196"/>
  <c r="CI20" i="196" s="1"/>
  <c r="AX20" i="248"/>
  <c r="ET20" i="196"/>
  <c r="J54" i="196"/>
  <c r="J55" i="196" s="1"/>
  <c r="AP54" i="248"/>
  <c r="AR17" i="248"/>
  <c r="L17" i="196"/>
  <c r="L18" i="196" s="1"/>
  <c r="L19" i="196" s="1"/>
  <c r="L20" i="196" s="1"/>
  <c r="L21" i="196" s="1"/>
  <c r="L22" i="196" s="1"/>
  <c r="DE17" i="196"/>
  <c r="BS22" i="196"/>
  <c r="CI21" i="196" s="1"/>
  <c r="AL22" i="248"/>
  <c r="ET22" i="196"/>
  <c r="AX22" i="248"/>
  <c r="B56" i="255"/>
  <c r="AR23" i="248"/>
  <c r="BS19" i="196"/>
  <c r="AL19" i="248"/>
  <c r="AX19" i="248"/>
  <c r="ET19" i="196"/>
  <c r="BS18" i="196"/>
  <c r="AL18" i="248"/>
  <c r="AX18" i="248"/>
  <c r="ET18" i="196"/>
  <c r="L23" i="196" l="1"/>
  <c r="CI19" i="196"/>
  <c r="J56" i="196"/>
  <c r="AR24" i="248"/>
  <c r="DC48" i="196"/>
  <c r="DU46" i="196"/>
  <c r="EK47" i="196"/>
  <c r="DE18" i="196"/>
  <c r="EM17" i="196"/>
  <c r="DW16" i="196"/>
  <c r="B57" i="255"/>
  <c r="CI18" i="196"/>
  <c r="AL23" i="248"/>
  <c r="BS23" i="196"/>
  <c r="CI22" i="196" s="1"/>
  <c r="ET23" i="196"/>
  <c r="AX23" i="248"/>
  <c r="AY18" i="248"/>
  <c r="E17" i="261"/>
  <c r="AP56" i="248"/>
  <c r="BW56" i="196"/>
  <c r="CI16" i="196"/>
  <c r="CI17" i="196"/>
  <c r="B56" i="254"/>
  <c r="Z57" i="248" s="1"/>
  <c r="J57" i="196" l="1"/>
  <c r="L24" i="196"/>
  <c r="B57" i="254"/>
  <c r="Z58" i="248" s="1"/>
  <c r="B58" i="255"/>
  <c r="BW57" i="196"/>
  <c r="AP57" i="248"/>
  <c r="BS24" i="196"/>
  <c r="CI23" i="196" s="1"/>
  <c r="AL24" i="248"/>
  <c r="AX24" i="248"/>
  <c r="ET24" i="196"/>
  <c r="E18" i="261"/>
  <c r="AY19" i="248"/>
  <c r="DU47" i="196"/>
  <c r="DC49" i="196"/>
  <c r="EK48" i="196"/>
  <c r="AR25" i="248"/>
  <c r="DW17" i="196"/>
  <c r="EM18" i="196"/>
  <c r="DE19" i="196"/>
  <c r="BS25" i="196" l="1"/>
  <c r="CI24" i="196" s="1"/>
  <c r="AL25" i="248"/>
  <c r="AX25" i="248"/>
  <c r="ET25" i="196"/>
  <c r="AR26" i="248"/>
  <c r="DW18" i="196"/>
  <c r="DE20" i="196"/>
  <c r="EM19" i="196"/>
  <c r="DU48" i="196"/>
  <c r="DC50" i="196"/>
  <c r="DU49" i="196" s="1"/>
  <c r="EK49" i="196"/>
  <c r="L25" i="196"/>
  <c r="J58" i="196"/>
  <c r="BW58" i="196"/>
  <c r="AP58" i="248"/>
  <c r="B59" i="255"/>
  <c r="AY20" i="248"/>
  <c r="E19" i="261"/>
  <c r="B58" i="254"/>
  <c r="Z59" i="248" s="1"/>
  <c r="L26" i="196" l="1"/>
  <c r="B59" i="254"/>
  <c r="Z60" i="248" s="1"/>
  <c r="DW19" i="196"/>
  <c r="EM20" i="196"/>
  <c r="DE21" i="196"/>
  <c r="DW20" i="196" s="1"/>
  <c r="CI123" i="196"/>
  <c r="AR27" i="248"/>
  <c r="J59" i="196"/>
  <c r="BW59" i="196"/>
  <c r="AP59" i="248"/>
  <c r="B60" i="255"/>
  <c r="EK50" i="196"/>
  <c r="DC51" i="196"/>
  <c r="AY21" i="248"/>
  <c r="E20" i="261"/>
  <c r="R11" i="196"/>
  <c r="R6" i="196"/>
  <c r="R16" i="196"/>
  <c r="R10" i="196"/>
  <c r="R15" i="196"/>
  <c r="R9" i="196"/>
  <c r="R8" i="196"/>
  <c r="R14" i="196"/>
  <c r="R7" i="196"/>
  <c r="R13" i="196"/>
  <c r="R5" i="196"/>
  <c r="R12" i="196"/>
  <c r="R3" i="196"/>
  <c r="R4" i="196"/>
  <c r="R18" i="196"/>
  <c r="R17" i="196"/>
  <c r="R19" i="196"/>
  <c r="R20" i="196"/>
  <c r="BS26" i="196"/>
  <c r="AL26" i="248"/>
  <c r="AX26" i="248"/>
  <c r="ET26" i="196"/>
  <c r="J60" i="196" l="1"/>
  <c r="Z4" i="196"/>
  <c r="Z5" i="196" s="1"/>
  <c r="Z6" i="196" s="1"/>
  <c r="Z7" i="196" s="1"/>
  <c r="Z8" i="196" s="1"/>
  <c r="Z9" i="196" s="1"/>
  <c r="Z10" i="196" s="1"/>
  <c r="Z11" i="196" s="1"/>
  <c r="Z12" i="196" s="1"/>
  <c r="Z13" i="196" s="1"/>
  <c r="Z14" i="196" s="1"/>
  <c r="Z15" i="196" s="1"/>
  <c r="Z16" i="196" s="1"/>
  <c r="Z17" i="196" s="1"/>
  <c r="Z18" i="196" s="1"/>
  <c r="Z19" i="196" s="1"/>
  <c r="Z20" i="196" s="1"/>
  <c r="L27" i="196"/>
  <c r="L28" i="196" s="1"/>
  <c r="L29" i="196" s="1"/>
  <c r="L30" i="196" s="1"/>
  <c r="L31" i="196" s="1"/>
  <c r="L32" i="196" s="1"/>
  <c r="L33" i="196" s="1"/>
  <c r="L34" i="196" s="1"/>
  <c r="L35" i="196" s="1"/>
  <c r="L36" i="196" s="1"/>
  <c r="S6" i="196" s="1"/>
  <c r="DU50" i="196"/>
  <c r="EK51" i="196"/>
  <c r="DC52" i="196"/>
  <c r="DU51" i="196" s="1"/>
  <c r="CI25" i="196"/>
  <c r="BW60" i="196"/>
  <c r="AP60" i="248"/>
  <c r="EM21" i="196"/>
  <c r="DE22" i="196"/>
  <c r="DW21" i="196" s="1"/>
  <c r="AY22" i="248"/>
  <c r="E21" i="261"/>
  <c r="AL27" i="248"/>
  <c r="BS27" i="196"/>
  <c r="CI26" i="196" s="1"/>
  <c r="AX27" i="248"/>
  <c r="ET27" i="196"/>
  <c r="B61" i="255"/>
  <c r="B60" i="254"/>
  <c r="Z61" i="248" s="1"/>
  <c r="J61" i="196" s="1"/>
  <c r="S16" i="196" l="1"/>
  <c r="S11" i="196"/>
  <c r="S12" i="196"/>
  <c r="L37" i="196"/>
  <c r="L38" i="196" s="1"/>
  <c r="L39" i="196" s="1"/>
  <c r="L40" i="196" s="1"/>
  <c r="L41" i="196" s="1"/>
  <c r="L42" i="196" s="1"/>
  <c r="L43" i="196" s="1"/>
  <c r="L44" i="196" s="1"/>
  <c r="L45" i="196" s="1"/>
  <c r="L46" i="196" s="1"/>
  <c r="T7" i="196" s="1"/>
  <c r="S20" i="196"/>
  <c r="S17" i="196"/>
  <c r="S18" i="196"/>
  <c r="S3" i="196"/>
  <c r="S4" i="196"/>
  <c r="S9" i="196"/>
  <c r="S15" i="196"/>
  <c r="S8" i="196"/>
  <c r="S10" i="196"/>
  <c r="AH4" i="196"/>
  <c r="AH5" i="196" s="1"/>
  <c r="AH6" i="196" s="1"/>
  <c r="AH7" i="196" s="1"/>
  <c r="AH8" i="196" s="1"/>
  <c r="AH9" i="196" s="1"/>
  <c r="AH10" i="196" s="1"/>
  <c r="AH11" i="196" s="1"/>
  <c r="AH12" i="196" s="1"/>
  <c r="AH13" i="196" s="1"/>
  <c r="AH14" i="196" s="1"/>
  <c r="AH15" i="196" s="1"/>
  <c r="AH16" i="196" s="1"/>
  <c r="AH17" i="196" s="1"/>
  <c r="AH18" i="196" s="1"/>
  <c r="AH19" i="196" s="1"/>
  <c r="AH20" i="196" s="1"/>
  <c r="S19" i="196"/>
  <c r="S5" i="196"/>
  <c r="S7" i="196"/>
  <c r="S13" i="196"/>
  <c r="S14" i="196"/>
  <c r="B62" i="255"/>
  <c r="AL28" i="248"/>
  <c r="BS28" i="196"/>
  <c r="CI27" i="196" s="1"/>
  <c r="AX28" i="248"/>
  <c r="ET28" i="196"/>
  <c r="DC53" i="196"/>
  <c r="EK52" i="196"/>
  <c r="AP61" i="248"/>
  <c r="BW61" i="196"/>
  <c r="AY23" i="248"/>
  <c r="E22" i="261"/>
  <c r="B61" i="254"/>
  <c r="Z62" i="248" s="1"/>
  <c r="DE23" i="196"/>
  <c r="EM22" i="196"/>
  <c r="T16" i="196" l="1"/>
  <c r="T6" i="196"/>
  <c r="T18" i="196"/>
  <c r="T4" i="196"/>
  <c r="T14" i="196"/>
  <c r="T8" i="196"/>
  <c r="T13" i="196"/>
  <c r="T5" i="196"/>
  <c r="T15" i="196"/>
  <c r="T17" i="196"/>
  <c r="T12" i="196"/>
  <c r="T11" i="196"/>
  <c r="T20" i="196"/>
  <c r="T10" i="196"/>
  <c r="L47" i="196"/>
  <c r="L48" i="196" s="1"/>
  <c r="L49" i="196" s="1"/>
  <c r="L50" i="196" s="1"/>
  <c r="L51" i="196" s="1"/>
  <c r="L52" i="196" s="1"/>
  <c r="L53" i="196" s="1"/>
  <c r="L54" i="196" s="1"/>
  <c r="L55" i="196" s="1"/>
  <c r="L56" i="196" s="1"/>
  <c r="L57" i="196" s="1"/>
  <c r="L58" i="196" s="1"/>
  <c r="L59" i="196" s="1"/>
  <c r="L60" i="196" s="1"/>
  <c r="L61" i="196" s="1"/>
  <c r="L62" i="196" s="1"/>
  <c r="L63" i="196" s="1"/>
  <c r="L64" i="196" s="1"/>
  <c r="L65" i="196" s="1"/>
  <c r="L66" i="196" s="1"/>
  <c r="L67" i="196" s="1"/>
  <c r="L68" i="196" s="1"/>
  <c r="L69" i="196" s="1"/>
  <c r="L70" i="196" s="1"/>
  <c r="L71" i="196" s="1"/>
  <c r="L72" i="196" s="1"/>
  <c r="L73" i="196" s="1"/>
  <c r="L74" i="196" s="1"/>
  <c r="L75" i="196" s="1"/>
  <c r="L76" i="196" s="1"/>
  <c r="L77" i="196" s="1"/>
  <c r="L78" i="196" s="1"/>
  <c r="L79" i="196" s="1"/>
  <c r="L80" i="196" s="1"/>
  <c r="L81" i="196" s="1"/>
  <c r="L82" i="196" s="1"/>
  <c r="L83" i="196" s="1"/>
  <c r="L84" i="196" s="1"/>
  <c r="L85" i="196" s="1"/>
  <c r="L86" i="196" s="1"/>
  <c r="L87" i="196" s="1"/>
  <c r="L88" i="196" s="1"/>
  <c r="L89" i="196" s="1"/>
  <c r="L90" i="196" s="1"/>
  <c r="L91" i="196" s="1"/>
  <c r="L92" i="196" s="1"/>
  <c r="L93" i="196" s="1"/>
  <c r="L94" i="196" s="1"/>
  <c r="L95" i="196" s="1"/>
  <c r="L96" i="196" s="1"/>
  <c r="L97" i="196" s="1"/>
  <c r="L98" i="196" s="1"/>
  <c r="L99" i="196" s="1"/>
  <c r="L100" i="196" s="1"/>
  <c r="L101" i="196" s="1"/>
  <c r="L102" i="196" s="1"/>
  <c r="L103" i="196" s="1"/>
  <c r="L104" i="196" s="1"/>
  <c r="L105" i="196" s="1"/>
  <c r="L106" i="196" s="1"/>
  <c r="L107" i="196" s="1"/>
  <c r="L108" i="196" s="1"/>
  <c r="L109" i="196" s="1"/>
  <c r="L110" i="196" s="1"/>
  <c r="L111" i="196" s="1"/>
  <c r="L112" i="196" s="1"/>
  <c r="L113" i="196" s="1"/>
  <c r="L114" i="196" s="1"/>
  <c r="L115" i="196" s="1"/>
  <c r="L116" i="196" s="1"/>
  <c r="L117" i="196" s="1"/>
  <c r="L118" i="196" s="1"/>
  <c r="L119" i="196" s="1"/>
  <c r="L120" i="196" s="1"/>
  <c r="L121" i="196" s="1"/>
  <c r="L122" i="196" s="1"/>
  <c r="L123" i="196" s="1"/>
  <c r="T19" i="196"/>
  <c r="T9" i="196"/>
  <c r="T3" i="196"/>
  <c r="AA4" i="196"/>
  <c r="AA5" i="196" s="1"/>
  <c r="AA6" i="196" s="1"/>
  <c r="AA7" i="196" s="1"/>
  <c r="AA8" i="196" s="1"/>
  <c r="AA9" i="196" s="1"/>
  <c r="AA10" i="196" s="1"/>
  <c r="AA11" i="196" s="1"/>
  <c r="AA12" i="196" s="1"/>
  <c r="AA13" i="196" s="1"/>
  <c r="AA14" i="196" s="1"/>
  <c r="AA15" i="196" s="1"/>
  <c r="AA16" i="196" s="1"/>
  <c r="AA17" i="196" s="1"/>
  <c r="AA18" i="196" s="1"/>
  <c r="AA19" i="196" s="1"/>
  <c r="AA20" i="196" s="1"/>
  <c r="BS29" i="196"/>
  <c r="AL29" i="248"/>
  <c r="ET29" i="196"/>
  <c r="AX29" i="248"/>
  <c r="AY24" i="248"/>
  <c r="E23" i="261"/>
  <c r="B62" i="254"/>
  <c r="Z63" i="248" s="1"/>
  <c r="B63" i="255"/>
  <c r="DW22" i="196"/>
  <c r="EM23" i="196"/>
  <c r="DE24" i="196"/>
  <c r="DU52" i="196"/>
  <c r="EK53" i="196"/>
  <c r="DC54" i="196"/>
  <c r="DU53" i="196" s="1"/>
  <c r="BW62" i="196"/>
  <c r="AP62" i="248"/>
  <c r="J62" i="196"/>
  <c r="AB4" i="196" l="1"/>
  <c r="AB5" i="196" s="1"/>
  <c r="AB6" i="196" s="1"/>
  <c r="AB7" i="196" s="1"/>
  <c r="AB8" i="196" s="1"/>
  <c r="AB9" i="196" s="1"/>
  <c r="AB10" i="196" s="1"/>
  <c r="AB11" i="196" s="1"/>
  <c r="AB12" i="196" s="1"/>
  <c r="AB13" i="196" s="1"/>
  <c r="AB14" i="196" s="1"/>
  <c r="AB15" i="196" s="1"/>
  <c r="AB16" i="196" s="1"/>
  <c r="AB17" i="196" s="1"/>
  <c r="AB18" i="196" s="1"/>
  <c r="AB19" i="196" s="1"/>
  <c r="AB20" i="196" s="1"/>
  <c r="DW23" i="196"/>
  <c r="DE25" i="196"/>
  <c r="EM24" i="196"/>
  <c r="B63" i="254"/>
  <c r="Z64" i="248" s="1"/>
  <c r="B64" i="255"/>
  <c r="J63" i="196"/>
  <c r="BW63" i="196"/>
  <c r="AP63" i="248"/>
  <c r="CI28" i="196"/>
  <c r="EK54" i="196"/>
  <c r="DC55" i="196"/>
  <c r="AL30" i="248"/>
  <c r="BS30" i="196"/>
  <c r="CI29" i="196" s="1"/>
  <c r="ET30" i="196"/>
  <c r="AX30" i="248"/>
  <c r="AY25" i="248"/>
  <c r="E24" i="261"/>
  <c r="T29" i="196"/>
  <c r="R29" i="196"/>
  <c r="S29" i="196"/>
  <c r="S28" i="196"/>
  <c r="T28" i="196"/>
  <c r="R28" i="196"/>
  <c r="R24" i="196"/>
  <c r="T24" i="196"/>
  <c r="S24" i="196"/>
  <c r="R23" i="196"/>
  <c r="S23" i="196"/>
  <c r="T23" i="196"/>
  <c r="T27" i="196"/>
  <c r="R27" i="196"/>
  <c r="S27" i="196"/>
  <c r="R26" i="196"/>
  <c r="S26" i="196"/>
  <c r="T26" i="196"/>
  <c r="T25" i="196"/>
  <c r="R25" i="196"/>
  <c r="S25" i="196"/>
  <c r="R21" i="196"/>
  <c r="Z21" i="196" s="1"/>
  <c r="S21" i="196"/>
  <c r="AA21" i="196" s="1"/>
  <c r="T21" i="196"/>
  <c r="S22" i="196"/>
  <c r="T22" i="196"/>
  <c r="R22" i="196"/>
  <c r="AB21" i="196" l="1"/>
  <c r="AB22" i="196" s="1"/>
  <c r="AB23" i="196" s="1"/>
  <c r="AB24" i="196" s="1"/>
  <c r="AB25" i="196" s="1"/>
  <c r="AB26" i="196" s="1"/>
  <c r="AB27" i="196" s="1"/>
  <c r="AB28" i="196" s="1"/>
  <c r="AB29" i="196" s="1"/>
  <c r="AA22" i="196"/>
  <c r="AA23" i="196" s="1"/>
  <c r="AA24" i="196" s="1"/>
  <c r="AA25" i="196" s="1"/>
  <c r="AA26" i="196" s="1"/>
  <c r="AA27" i="196" s="1"/>
  <c r="AA28" i="196" s="1"/>
  <c r="AA29" i="196" s="1"/>
  <c r="B64" i="254"/>
  <c r="Z65" i="248" s="1"/>
  <c r="J64" i="196"/>
  <c r="J65" i="196" s="1"/>
  <c r="AP64" i="248"/>
  <c r="BW64" i="196"/>
  <c r="DW24" i="196"/>
  <c r="DE26" i="196"/>
  <c r="EM25" i="196"/>
  <c r="BS31" i="196"/>
  <c r="CI30" i="196" s="1"/>
  <c r="AL31" i="248"/>
  <c r="AX31" i="248"/>
  <c r="ET31" i="196"/>
  <c r="B65" i="255"/>
  <c r="AY26" i="248"/>
  <c r="E25" i="261"/>
  <c r="DU54" i="196"/>
  <c r="DC56" i="196"/>
  <c r="EK55" i="196"/>
  <c r="Z22" i="196"/>
  <c r="Z23" i="196" s="1"/>
  <c r="Z24" i="196" s="1"/>
  <c r="Z25" i="196" s="1"/>
  <c r="Z26" i="196" s="1"/>
  <c r="Z27" i="196" s="1"/>
  <c r="Z28" i="196" s="1"/>
  <c r="Z29" i="196" s="1"/>
  <c r="AH21" i="196"/>
  <c r="T30" i="196"/>
  <c r="R30" i="196"/>
  <c r="S30" i="196"/>
  <c r="AB30" i="196" l="1"/>
  <c r="AA30" i="196"/>
  <c r="DW25" i="196"/>
  <c r="EM26" i="196"/>
  <c r="DE27" i="196"/>
  <c r="AY27" i="248"/>
  <c r="E26" i="261"/>
  <c r="DU55" i="196"/>
  <c r="DC57" i="196"/>
  <c r="DU56" i="196" s="1"/>
  <c r="EK56" i="196"/>
  <c r="AP65" i="248"/>
  <c r="BW65" i="196"/>
  <c r="B65" i="254"/>
  <c r="Z66" i="248" s="1"/>
  <c r="J66" i="196" s="1"/>
  <c r="AL32" i="248"/>
  <c r="BS32" i="196"/>
  <c r="CI31" i="196" s="1"/>
  <c r="ET32" i="196"/>
  <c r="AX32" i="248"/>
  <c r="B66" i="255"/>
  <c r="Z30" i="196"/>
  <c r="AH22" i="196"/>
  <c r="AH23" i="196" s="1"/>
  <c r="AH24" i="196" s="1"/>
  <c r="AH25" i="196" s="1"/>
  <c r="AH26" i="196" s="1"/>
  <c r="AH27" i="196" s="1"/>
  <c r="AH28" i="196" s="1"/>
  <c r="AH29" i="196" s="1"/>
  <c r="T31" i="196"/>
  <c r="S31" i="196"/>
  <c r="R31" i="196"/>
  <c r="ES31" i="196"/>
  <c r="AB31" i="196" l="1"/>
  <c r="AA31" i="196"/>
  <c r="AH30" i="196"/>
  <c r="BS33" i="196"/>
  <c r="CI32" i="196" s="1"/>
  <c r="AL33" i="248"/>
  <c r="ET33" i="196"/>
  <c r="AX33" i="248"/>
  <c r="EM27" i="196"/>
  <c r="DE28" i="196"/>
  <c r="EK57" i="196"/>
  <c r="DC58" i="196"/>
  <c r="ES11" i="196"/>
  <c r="ES6" i="196"/>
  <c r="ES16" i="196"/>
  <c r="ES5" i="196"/>
  <c r="ES10" i="196"/>
  <c r="ES9" i="196"/>
  <c r="ES8" i="196"/>
  <c r="ES15" i="196"/>
  <c r="ES14" i="196"/>
  <c r="ES12" i="196"/>
  <c r="ES7" i="196"/>
  <c r="ES13" i="196"/>
  <c r="ES4" i="196"/>
  <c r="ES3" i="196"/>
  <c r="EW4" i="196"/>
  <c r="EW5" i="196" s="1"/>
  <c r="EW6" i="196" s="1"/>
  <c r="EW7" i="196" s="1"/>
  <c r="EW8" i="196" s="1"/>
  <c r="EW9" i="196" s="1"/>
  <c r="EW10" i="196" s="1"/>
  <c r="EW11" i="196" s="1"/>
  <c r="EW12" i="196" s="1"/>
  <c r="EW13" i="196" s="1"/>
  <c r="EW14" i="196" s="1"/>
  <c r="EW15" i="196" s="1"/>
  <c r="EW16" i="196" s="1"/>
  <c r="EW17" i="196" s="1"/>
  <c r="EW18" i="196" s="1"/>
  <c r="EW19" i="196" s="1"/>
  <c r="EW20" i="196" s="1"/>
  <c r="EW21" i="196" s="1"/>
  <c r="EW22" i="196" s="1"/>
  <c r="EW23" i="196" s="1"/>
  <c r="EW24" i="196" s="1"/>
  <c r="EW25" i="196" s="1"/>
  <c r="EW26" i="196" s="1"/>
  <c r="EW27" i="196" s="1"/>
  <c r="ES20" i="196"/>
  <c r="ES17" i="196"/>
  <c r="ES19" i="196"/>
  <c r="ES18" i="196"/>
  <c r="ES23" i="196"/>
  <c r="ES26" i="196"/>
  <c r="ES22" i="196"/>
  <c r="ES21" i="196"/>
  <c r="ES24" i="196"/>
  <c r="ES29" i="196"/>
  <c r="ES27" i="196"/>
  <c r="ES28" i="196"/>
  <c r="ES25" i="196"/>
  <c r="ES30" i="196"/>
  <c r="BW66" i="196"/>
  <c r="AP66" i="248"/>
  <c r="DW38" i="196"/>
  <c r="DW34" i="196"/>
  <c r="DW117" i="196"/>
  <c r="DW119" i="196"/>
  <c r="DW114" i="196"/>
  <c r="DW92" i="196"/>
  <c r="DW121" i="196"/>
  <c r="DW77" i="196"/>
  <c r="DW95" i="196"/>
  <c r="DW97" i="196"/>
  <c r="DW75" i="196"/>
  <c r="DW26" i="196"/>
  <c r="DW28" i="196"/>
  <c r="DW73" i="196"/>
  <c r="DW43" i="196"/>
  <c r="DW84" i="196"/>
  <c r="DW104" i="196"/>
  <c r="DW80" i="196"/>
  <c r="DW105" i="196"/>
  <c r="DW46" i="196"/>
  <c r="DW93" i="196"/>
  <c r="DW40" i="196"/>
  <c r="DW100" i="196"/>
  <c r="DW79" i="196"/>
  <c r="DW109" i="196"/>
  <c r="DW64" i="196"/>
  <c r="DW120" i="196"/>
  <c r="DW118" i="196"/>
  <c r="DW112" i="196"/>
  <c r="DW107" i="196"/>
  <c r="DW52" i="196"/>
  <c r="DW36" i="196"/>
  <c r="DW111" i="196"/>
  <c r="DW27" i="196"/>
  <c r="DW85" i="196"/>
  <c r="DW47" i="196"/>
  <c r="DW90" i="196"/>
  <c r="DW102" i="196"/>
  <c r="DW101" i="196"/>
  <c r="DW61" i="196"/>
  <c r="DW113" i="196"/>
  <c r="DW66" i="196"/>
  <c r="DW110" i="196"/>
  <c r="DW50" i="196"/>
  <c r="DW53" i="196"/>
  <c r="DW51" i="196"/>
  <c r="DW96" i="196"/>
  <c r="DW67" i="196"/>
  <c r="DW115" i="196"/>
  <c r="DW78" i="196"/>
  <c r="DW32" i="196"/>
  <c r="DW70" i="196"/>
  <c r="DW63" i="196"/>
  <c r="DW45" i="196"/>
  <c r="DW69" i="196"/>
  <c r="DW81" i="196"/>
  <c r="DW94" i="196"/>
  <c r="DW48" i="196"/>
  <c r="DW86" i="196"/>
  <c r="DW82" i="196"/>
  <c r="DW33" i="196"/>
  <c r="DW56" i="196"/>
  <c r="DW41" i="196"/>
  <c r="DW83" i="196"/>
  <c r="DW29" i="196"/>
  <c r="DW58" i="196"/>
  <c r="DW39" i="196"/>
  <c r="DW87" i="196"/>
  <c r="DW122" i="196"/>
  <c r="DW98" i="196"/>
  <c r="DW103" i="196"/>
  <c r="DW57" i="196"/>
  <c r="DW108" i="196"/>
  <c r="DW76" i="196"/>
  <c r="DW60" i="196"/>
  <c r="DW71" i="196"/>
  <c r="DW74" i="196"/>
  <c r="DW35" i="196"/>
  <c r="DW42" i="196"/>
  <c r="DW88" i="196"/>
  <c r="DW91" i="196"/>
  <c r="DW59" i="196"/>
  <c r="DW37" i="196"/>
  <c r="DW62" i="196"/>
  <c r="DW99" i="196"/>
  <c r="DW44" i="196"/>
  <c r="DW116" i="196"/>
  <c r="DW30" i="196"/>
  <c r="DW65" i="196"/>
  <c r="DW72" i="196"/>
  <c r="DW106" i="196"/>
  <c r="DW55" i="196"/>
  <c r="DW54" i="196"/>
  <c r="DW31" i="196"/>
  <c r="DW49" i="196"/>
  <c r="DW89" i="196"/>
  <c r="DW68" i="196"/>
  <c r="B67" i="255"/>
  <c r="B66" i="254"/>
  <c r="Z67" i="248" s="1"/>
  <c r="E27" i="261"/>
  <c r="AY28" i="248"/>
  <c r="T32" i="196"/>
  <c r="R32" i="196"/>
  <c r="ES32" i="196"/>
  <c r="S32" i="196"/>
  <c r="Z31" i="196"/>
  <c r="AH31" i="196" l="1"/>
  <c r="AA32" i="196"/>
  <c r="AB32" i="196"/>
  <c r="EV4" i="196"/>
  <c r="EV5" i="196" s="1"/>
  <c r="AL34" i="248"/>
  <c r="BS34" i="196"/>
  <c r="CI33" i="196" s="1"/>
  <c r="ET34" i="196"/>
  <c r="AX34" i="248"/>
  <c r="AY29" i="248"/>
  <c r="E28" i="261"/>
  <c r="J67" i="196"/>
  <c r="AP67" i="248"/>
  <c r="BW67" i="196"/>
  <c r="B68" i="255"/>
  <c r="EM28" i="196"/>
  <c r="EW28" i="196" s="1"/>
  <c r="DE29" i="196"/>
  <c r="B67" i="254"/>
  <c r="Z68" i="248" s="1"/>
  <c r="DU57" i="196"/>
  <c r="DC59" i="196"/>
  <c r="DU58" i="196" s="1"/>
  <c r="EK58" i="196"/>
  <c r="Z32" i="196"/>
  <c r="T34" i="196"/>
  <c r="T33" i="196"/>
  <c r="ES33" i="196"/>
  <c r="R33" i="196"/>
  <c r="S33" i="196"/>
  <c r="AH32" i="196" l="1"/>
  <c r="AA33" i="196"/>
  <c r="AB33" i="196"/>
  <c r="AB34" i="196" s="1"/>
  <c r="EV6" i="196"/>
  <c r="B68" i="254"/>
  <c r="Z69" i="248" s="1"/>
  <c r="B69" i="255"/>
  <c r="EK59" i="196"/>
  <c r="DC60" i="196"/>
  <c r="DU59" i="196" s="1"/>
  <c r="J68" i="196"/>
  <c r="AP68" i="248"/>
  <c r="BW68" i="196"/>
  <c r="BV35" i="196"/>
  <c r="CL34" i="196" s="1"/>
  <c r="AO35" i="248"/>
  <c r="DE30" i="196"/>
  <c r="EM29" i="196"/>
  <c r="EW29" i="196" s="1"/>
  <c r="AL35" i="248"/>
  <c r="BS35" i="196"/>
  <c r="ET35" i="196"/>
  <c r="AX35" i="248"/>
  <c r="AY30" i="248"/>
  <c r="E29" i="261"/>
  <c r="T35" i="196"/>
  <c r="Z33" i="196"/>
  <c r="AH33" i="196" l="1"/>
  <c r="AB35" i="196"/>
  <c r="E30" i="261"/>
  <c r="AY31" i="248"/>
  <c r="EM30" i="196"/>
  <c r="EW30" i="196" s="1"/>
  <c r="DE31" i="196"/>
  <c r="AL36" i="248"/>
  <c r="BS36" i="196"/>
  <c r="CI35" i="196" s="1"/>
  <c r="AX36" i="248"/>
  <c r="ET36" i="196"/>
  <c r="EV7" i="196"/>
  <c r="J69" i="196"/>
  <c r="BW69" i="196"/>
  <c r="AP69" i="248"/>
  <c r="DC61" i="196"/>
  <c r="EK60" i="196"/>
  <c r="CI34" i="196"/>
  <c r="BV36" i="196"/>
  <c r="CL35" i="196" s="1"/>
  <c r="AO36" i="248"/>
  <c r="B70" i="255"/>
  <c r="B69" i="254"/>
  <c r="Z70" i="248" s="1"/>
  <c r="T36" i="196"/>
  <c r="AB36" i="196" l="1"/>
  <c r="DE32" i="196"/>
  <c r="EM31" i="196"/>
  <c r="EW31" i="196" s="1"/>
  <c r="BV37" i="196"/>
  <c r="CL36" i="196" s="1"/>
  <c r="AO37" i="248"/>
  <c r="J70" i="196"/>
  <c r="AP70" i="248"/>
  <c r="BW70" i="196"/>
  <c r="E31" i="261"/>
  <c r="AY32" i="248"/>
  <c r="EV8" i="196"/>
  <c r="B71" i="255"/>
  <c r="BS37" i="196"/>
  <c r="AL37" i="248"/>
  <c r="ET37" i="196"/>
  <c r="AX37" i="248"/>
  <c r="B70" i="254"/>
  <c r="Z71" i="248" s="1"/>
  <c r="DU60" i="196"/>
  <c r="DC62" i="196"/>
  <c r="DU61" i="196" s="1"/>
  <c r="EK61" i="196"/>
  <c r="T37" i="196"/>
  <c r="AB37" i="196" l="1"/>
  <c r="EV9" i="196"/>
  <c r="E32" i="261"/>
  <c r="AY33" i="248"/>
  <c r="BW71" i="196"/>
  <c r="AP71" i="248"/>
  <c r="AL38" i="248"/>
  <c r="BS38" i="196"/>
  <c r="CI37" i="196" s="1"/>
  <c r="AX38" i="248"/>
  <c r="ET38" i="196"/>
  <c r="DE33" i="196"/>
  <c r="EM32" i="196"/>
  <c r="EW32" i="196" s="1"/>
  <c r="CI36" i="196"/>
  <c r="AO38" i="248"/>
  <c r="BV38" i="196"/>
  <c r="CL37" i="196" s="1"/>
  <c r="J71" i="196"/>
  <c r="J72" i="196" s="1"/>
  <c r="B72" i="255"/>
  <c r="DC63" i="196"/>
  <c r="DU62" i="196" s="1"/>
  <c r="EK62" i="196"/>
  <c r="B71" i="254"/>
  <c r="Z72" i="248" s="1"/>
  <c r="T38" i="196"/>
  <c r="AB38" i="196" l="1"/>
  <c r="DE34" i="196"/>
  <c r="EM33" i="196"/>
  <c r="EW33" i="196" s="1"/>
  <c r="AL39" i="248"/>
  <c r="BS39" i="196"/>
  <c r="CI38" i="196" s="1"/>
  <c r="ET39" i="196"/>
  <c r="AX39" i="248"/>
  <c r="DC64" i="196"/>
  <c r="EK63" i="196"/>
  <c r="B73" i="255"/>
  <c r="B72" i="254"/>
  <c r="Z73" i="248" s="1"/>
  <c r="AO39" i="248"/>
  <c r="BV39" i="196"/>
  <c r="CL38" i="196" s="1"/>
  <c r="E33" i="261"/>
  <c r="AY34" i="248"/>
  <c r="EV10" i="196"/>
  <c r="BW72" i="196"/>
  <c r="AP72" i="248"/>
  <c r="T39" i="196"/>
  <c r="AB39" i="196" l="1"/>
  <c r="B73" i="254"/>
  <c r="Z74" i="248" s="1"/>
  <c r="DU63" i="196"/>
  <c r="EK64" i="196"/>
  <c r="DC65" i="196"/>
  <c r="EV11" i="196"/>
  <c r="D10" i="261" s="1"/>
  <c r="F10" i="261" s="1"/>
  <c r="BW73" i="196"/>
  <c r="AP73" i="248"/>
  <c r="E34" i="261"/>
  <c r="AY35" i="248"/>
  <c r="AL40" i="248"/>
  <c r="BS40" i="196"/>
  <c r="CI39" i="196" s="1"/>
  <c r="AX40" i="248"/>
  <c r="ET40" i="196"/>
  <c r="B74" i="255"/>
  <c r="J73" i="196"/>
  <c r="J74" i="196" s="1"/>
  <c r="BV40" i="196"/>
  <c r="CL39" i="196" s="1"/>
  <c r="AO40" i="248"/>
  <c r="DE35" i="196"/>
  <c r="EM34" i="196"/>
  <c r="EW34" i="196" s="1"/>
  <c r="T40" i="196"/>
  <c r="AB40" i="196" l="1"/>
  <c r="BS41" i="196"/>
  <c r="CI40" i="196" s="1"/>
  <c r="AL41" i="248"/>
  <c r="AX41" i="248"/>
  <c r="ET41" i="196"/>
  <c r="B74" i="254"/>
  <c r="Z75" i="248" s="1"/>
  <c r="J75" i="196" s="1"/>
  <c r="DU64" i="196"/>
  <c r="DC66" i="196"/>
  <c r="DU65" i="196" s="1"/>
  <c r="EK65" i="196"/>
  <c r="AP74" i="248"/>
  <c r="BW74" i="196"/>
  <c r="BV41" i="196"/>
  <c r="AO41" i="248"/>
  <c r="EV12" i="196"/>
  <c r="D11" i="261"/>
  <c r="F11" i="261" s="1"/>
  <c r="D3" i="261"/>
  <c r="F3" i="261" s="1"/>
  <c r="D4" i="261"/>
  <c r="F4" i="261" s="1"/>
  <c r="D5" i="261"/>
  <c r="F5" i="261" s="1"/>
  <c r="D6" i="261"/>
  <c r="F6" i="261" s="1"/>
  <c r="D7" i="261"/>
  <c r="F7" i="261" s="1"/>
  <c r="D8" i="261"/>
  <c r="F8" i="261" s="1"/>
  <c r="D9" i="261"/>
  <c r="F9" i="261" s="1"/>
  <c r="EM35" i="196"/>
  <c r="EW35" i="196" s="1"/>
  <c r="DE36" i="196"/>
  <c r="B75" i="255"/>
  <c r="AY36" i="248"/>
  <c r="E35" i="261"/>
  <c r="T41" i="196"/>
  <c r="AB41" i="196" l="1"/>
  <c r="B76" i="255"/>
  <c r="EK66" i="196"/>
  <c r="DC67" i="196"/>
  <c r="EV13" i="196"/>
  <c r="D12" i="261"/>
  <c r="F12" i="261" s="1"/>
  <c r="AP75" i="248"/>
  <c r="BW75" i="196"/>
  <c r="DE37" i="196"/>
  <c r="EM36" i="196"/>
  <c r="EW36" i="196" s="1"/>
  <c r="AY37" i="248"/>
  <c r="E36" i="261"/>
  <c r="CL40" i="196"/>
  <c r="BS42" i="196"/>
  <c r="CI41" i="196" s="1"/>
  <c r="AL42" i="248"/>
  <c r="AX42" i="248"/>
  <c r="ET42" i="196"/>
  <c r="B75" i="254"/>
  <c r="Z76" i="248" s="1"/>
  <c r="BV42" i="196"/>
  <c r="CL41" i="196" s="1"/>
  <c r="AO42" i="248"/>
  <c r="T42" i="196"/>
  <c r="AB42" i="196" l="1"/>
  <c r="DU66" i="196"/>
  <c r="DC68" i="196"/>
  <c r="EK67" i="196"/>
  <c r="B77" i="255"/>
  <c r="B77" i="254"/>
  <c r="AY38" i="248"/>
  <c r="E37" i="261"/>
  <c r="B76" i="254"/>
  <c r="Z77" i="248" s="1"/>
  <c r="DE38" i="196"/>
  <c r="EM37" i="196"/>
  <c r="EW37" i="196" s="1"/>
  <c r="J76" i="196"/>
  <c r="J77" i="196" s="1"/>
  <c r="J78" i="196" s="1"/>
  <c r="J79" i="196" s="1"/>
  <c r="J80" i="196" s="1"/>
  <c r="J81" i="196" s="1"/>
  <c r="J82" i="196" s="1"/>
  <c r="J83" i="196" s="1"/>
  <c r="J84" i="196" s="1"/>
  <c r="J85" i="196" s="1"/>
  <c r="J86" i="196" s="1"/>
  <c r="J87" i="196" s="1"/>
  <c r="J88" i="196" s="1"/>
  <c r="J89" i="196" s="1"/>
  <c r="J90" i="196" s="1"/>
  <c r="J91" i="196" s="1"/>
  <c r="J92" i="196" s="1"/>
  <c r="J93" i="196" s="1"/>
  <c r="J94" i="196" s="1"/>
  <c r="J95" i="196" s="1"/>
  <c r="J96" i="196" s="1"/>
  <c r="J97" i="196" s="1"/>
  <c r="J98" i="196" s="1"/>
  <c r="J99" i="196" s="1"/>
  <c r="J100" i="196" s="1"/>
  <c r="J101" i="196" s="1"/>
  <c r="J102" i="196" s="1"/>
  <c r="J103" i="196" s="1"/>
  <c r="J104" i="196" s="1"/>
  <c r="J105" i="196" s="1"/>
  <c r="J106" i="196" s="1"/>
  <c r="J107" i="196" s="1"/>
  <c r="J108" i="196" s="1"/>
  <c r="J109" i="196" s="1"/>
  <c r="J110" i="196" s="1"/>
  <c r="J111" i="196" s="1"/>
  <c r="J112" i="196" s="1"/>
  <c r="J113" i="196" s="1"/>
  <c r="J114" i="196" s="1"/>
  <c r="J115" i="196" s="1"/>
  <c r="J116" i="196" s="1"/>
  <c r="J117" i="196" s="1"/>
  <c r="J118" i="196" s="1"/>
  <c r="J119" i="196" s="1"/>
  <c r="J120" i="196" s="1"/>
  <c r="J121" i="196" s="1"/>
  <c r="J122" i="196" s="1"/>
  <c r="J123" i="196" s="1"/>
  <c r="AP76" i="248"/>
  <c r="BW76" i="196"/>
  <c r="BS43" i="196"/>
  <c r="CI42" i="196" s="1"/>
  <c r="AL43" i="248"/>
  <c r="AX43" i="248"/>
  <c r="ET43" i="196"/>
  <c r="AO43" i="248"/>
  <c r="BV43" i="196"/>
  <c r="CL42" i="196" s="1"/>
  <c r="EV14" i="196"/>
  <c r="D13" i="261"/>
  <c r="F13" i="261" s="1"/>
  <c r="T43" i="196"/>
  <c r="AB43" i="196" l="1"/>
  <c r="AO44" i="248"/>
  <c r="BV44" i="196"/>
  <c r="CL43" i="196" s="1"/>
  <c r="DU67" i="196"/>
  <c r="DC69" i="196"/>
  <c r="EK68" i="196"/>
  <c r="AL44" i="248"/>
  <c r="BS44" i="196"/>
  <c r="AX44" i="248"/>
  <c r="ET44" i="196"/>
  <c r="AY39" i="248"/>
  <c r="E38" i="261"/>
  <c r="B78" i="255"/>
  <c r="B78" i="254"/>
  <c r="D14" i="261"/>
  <c r="F14" i="261" s="1"/>
  <c r="EV15" i="196"/>
  <c r="DE39" i="196"/>
  <c r="EM38" i="196"/>
  <c r="EW38" i="196" s="1"/>
  <c r="AP77" i="248"/>
  <c r="BW77" i="196"/>
  <c r="T44" i="196"/>
  <c r="AB44" i="196" l="1"/>
  <c r="CI43" i="196"/>
  <c r="DU68" i="196"/>
  <c r="EK69" i="196"/>
  <c r="DC70" i="196"/>
  <c r="D15" i="261"/>
  <c r="F15" i="261" s="1"/>
  <c r="EV16" i="196"/>
  <c r="AO45" i="248"/>
  <c r="BV45" i="196"/>
  <c r="CL44" i="196" s="1"/>
  <c r="AL45" i="248"/>
  <c r="BS45" i="196"/>
  <c r="CI44" i="196" s="1"/>
  <c r="ET45" i="196"/>
  <c r="AX45" i="248"/>
  <c r="B79" i="255"/>
  <c r="B79" i="254"/>
  <c r="EM39" i="196"/>
  <c r="EW39" i="196" s="1"/>
  <c r="DE40" i="196"/>
  <c r="AY40" i="248"/>
  <c r="E39" i="261"/>
  <c r="T45" i="196"/>
  <c r="AB45" i="196" l="1"/>
  <c r="DU69" i="196"/>
  <c r="EK70" i="196"/>
  <c r="DC71" i="196"/>
  <c r="AY41" i="248"/>
  <c r="E40" i="261"/>
  <c r="DE41" i="196"/>
  <c r="EM40" i="196"/>
  <c r="EW40" i="196" s="1"/>
  <c r="B80" i="255"/>
  <c r="B80" i="254"/>
  <c r="BV46" i="196"/>
  <c r="CL45" i="196" s="1"/>
  <c r="AO46" i="248"/>
  <c r="BS46" i="196"/>
  <c r="CI45" i="196" s="1"/>
  <c r="AL46" i="248"/>
  <c r="ET46" i="196"/>
  <c r="AX46" i="248"/>
  <c r="D16" i="261"/>
  <c r="F16" i="261" s="1"/>
  <c r="EV17" i="196"/>
  <c r="T46" i="196"/>
  <c r="AB46" i="196" l="1"/>
  <c r="DU70" i="196"/>
  <c r="EK71" i="196"/>
  <c r="DC72" i="196"/>
  <c r="AL47" i="248"/>
  <c r="BS47" i="196"/>
  <c r="CI46" i="196" s="1"/>
  <c r="ET47" i="196"/>
  <c r="AX47" i="248"/>
  <c r="B81" i="255"/>
  <c r="B81" i="254"/>
  <c r="DE42" i="196"/>
  <c r="EM41" i="196"/>
  <c r="EW41" i="196" s="1"/>
  <c r="E41" i="261"/>
  <c r="AY42" i="248"/>
  <c r="I47" i="196"/>
  <c r="AO47" i="248"/>
  <c r="AO48" i="248"/>
  <c r="CL53" i="196"/>
  <c r="CL46" i="196"/>
  <c r="DB47" i="196" s="1"/>
  <c r="CL119" i="196"/>
  <c r="CL91" i="196"/>
  <c r="CL101" i="196"/>
  <c r="CL64" i="196"/>
  <c r="CL93" i="196"/>
  <c r="CL90" i="196"/>
  <c r="CL100" i="196"/>
  <c r="CL66" i="196"/>
  <c r="CL56" i="196"/>
  <c r="CL106" i="196"/>
  <c r="CL68" i="196"/>
  <c r="CL70" i="196"/>
  <c r="CL104" i="196"/>
  <c r="CL75" i="196"/>
  <c r="CL54" i="196"/>
  <c r="CL49" i="196"/>
  <c r="CL78" i="196"/>
  <c r="CL69" i="196"/>
  <c r="CL89" i="196"/>
  <c r="CL82" i="196"/>
  <c r="CL50" i="196"/>
  <c r="CL98" i="196"/>
  <c r="CL51" i="196"/>
  <c r="CL95" i="196"/>
  <c r="CL77" i="196"/>
  <c r="CL71" i="196"/>
  <c r="CL118" i="196"/>
  <c r="CL58" i="196"/>
  <c r="CL79" i="196"/>
  <c r="CL87" i="196"/>
  <c r="CL108" i="196"/>
  <c r="CL47" i="196"/>
  <c r="CL113" i="196"/>
  <c r="CL111" i="196"/>
  <c r="CL48" i="196"/>
  <c r="CL73" i="196"/>
  <c r="CL60" i="196"/>
  <c r="CL81" i="196"/>
  <c r="CL109" i="196"/>
  <c r="CL116" i="196"/>
  <c r="CL96" i="196"/>
  <c r="CL94" i="196"/>
  <c r="CL76" i="196"/>
  <c r="CL52" i="196"/>
  <c r="CL97" i="196"/>
  <c r="CL63" i="196"/>
  <c r="CL65" i="196"/>
  <c r="CL92" i="196"/>
  <c r="CL112" i="196"/>
  <c r="CL107" i="196"/>
  <c r="CL72" i="196"/>
  <c r="CL88" i="196"/>
  <c r="CL61" i="196"/>
  <c r="CL83" i="196"/>
  <c r="CL57" i="196"/>
  <c r="CL102" i="196"/>
  <c r="CL84" i="196"/>
  <c r="CL115" i="196"/>
  <c r="CL117" i="196"/>
  <c r="CL62" i="196"/>
  <c r="CL110" i="196"/>
  <c r="CL85" i="196"/>
  <c r="CL55" i="196"/>
  <c r="CL99" i="196"/>
  <c r="CL103" i="196"/>
  <c r="CL114" i="196"/>
  <c r="CL86" i="196"/>
  <c r="CL122" i="196"/>
  <c r="CL120" i="196"/>
  <c r="CL67" i="196"/>
  <c r="CL105" i="196"/>
  <c r="CL80" i="196"/>
  <c r="CL121" i="196"/>
  <c r="CL74" i="196"/>
  <c r="CL59" i="196"/>
  <c r="EV18" i="196"/>
  <c r="D17" i="261"/>
  <c r="F17" i="261" s="1"/>
  <c r="T47" i="196"/>
  <c r="AB47" i="196" l="1"/>
  <c r="AL48" i="248"/>
  <c r="BS48" i="196"/>
  <c r="CI47" i="196" s="1"/>
  <c r="AX48" i="248"/>
  <c r="ET48" i="196"/>
  <c r="AY43" i="248"/>
  <c r="E42" i="261"/>
  <c r="AO49" i="248"/>
  <c r="EM42" i="196"/>
  <c r="EW42" i="196" s="1"/>
  <c r="DE43" i="196"/>
  <c r="EV19" i="196"/>
  <c r="D18" i="261"/>
  <c r="F18" i="261" s="1"/>
  <c r="DU71" i="196"/>
  <c r="EK72" i="196"/>
  <c r="DC73" i="196"/>
  <c r="EK73" i="196" s="1"/>
  <c r="EJ47" i="196"/>
  <c r="DB48" i="196"/>
  <c r="DT46" i="196"/>
  <c r="B82" i="255"/>
  <c r="B82" i="254"/>
  <c r="I48" i="196"/>
  <c r="T48" i="196"/>
  <c r="I49" i="196" l="1"/>
  <c r="E43" i="261"/>
  <c r="AY44" i="248"/>
  <c r="AO50" i="248"/>
  <c r="D19" i="261"/>
  <c r="F19" i="261" s="1"/>
  <c r="EV20" i="196"/>
  <c r="AB48" i="196"/>
  <c r="BS49" i="196"/>
  <c r="CI48" i="196" s="1"/>
  <c r="AL49" i="248"/>
  <c r="ET49" i="196"/>
  <c r="AX49" i="248"/>
  <c r="DT47" i="196"/>
  <c r="DB49" i="196"/>
  <c r="DT48" i="196" s="1"/>
  <c r="EJ48" i="196"/>
  <c r="DE44" i="196"/>
  <c r="EM43" i="196"/>
  <c r="EW43" i="196" s="1"/>
  <c r="B83" i="255"/>
  <c r="B83" i="254"/>
  <c r="DU72" i="196"/>
  <c r="T49" i="196"/>
  <c r="AB49" i="196" l="1"/>
  <c r="EJ49" i="196"/>
  <c r="DB50" i="196"/>
  <c r="DT49" i="196" s="1"/>
  <c r="I50" i="196"/>
  <c r="AO51" i="248"/>
  <c r="B84" i="255"/>
  <c r="B84" i="254"/>
  <c r="D20" i="261"/>
  <c r="F20" i="261" s="1"/>
  <c r="EV21" i="196"/>
  <c r="BS50" i="196"/>
  <c r="AL50" i="248"/>
  <c r="ET50" i="196"/>
  <c r="AX50" i="248"/>
  <c r="E44" i="261"/>
  <c r="AY45" i="248"/>
  <c r="DU94" i="196"/>
  <c r="DU91" i="196"/>
  <c r="DU119" i="196"/>
  <c r="DU104" i="196"/>
  <c r="DU74" i="196"/>
  <c r="DU117" i="196"/>
  <c r="DU79" i="196"/>
  <c r="DU118" i="196"/>
  <c r="DU80" i="196"/>
  <c r="DU108" i="196"/>
  <c r="DU98" i="196"/>
  <c r="DU109" i="196"/>
  <c r="DU113" i="196"/>
  <c r="DU75" i="196"/>
  <c r="DU81" i="196"/>
  <c r="DU90" i="196"/>
  <c r="DU102" i="196"/>
  <c r="DU83" i="196"/>
  <c r="DU89" i="196"/>
  <c r="DU85" i="196"/>
  <c r="DU99" i="196"/>
  <c r="DU78" i="196"/>
  <c r="DU107" i="196"/>
  <c r="DU100" i="196"/>
  <c r="DU106" i="196"/>
  <c r="DU122" i="196"/>
  <c r="DU103" i="196"/>
  <c r="DU76" i="196"/>
  <c r="DU73" i="196"/>
  <c r="EK74" i="196" s="1"/>
  <c r="EK75" i="196" s="1"/>
  <c r="DU110" i="196"/>
  <c r="DU88" i="196"/>
  <c r="DU77" i="196"/>
  <c r="DU84" i="196"/>
  <c r="DU112" i="196"/>
  <c r="DU95" i="196"/>
  <c r="DU111" i="196"/>
  <c r="DU101" i="196"/>
  <c r="DU82" i="196"/>
  <c r="DU114" i="196"/>
  <c r="DU97" i="196"/>
  <c r="DU121" i="196"/>
  <c r="DU116" i="196"/>
  <c r="DU105" i="196"/>
  <c r="DU120" i="196"/>
  <c r="DU87" i="196"/>
  <c r="DU92" i="196"/>
  <c r="DU93" i="196"/>
  <c r="DU115" i="196"/>
  <c r="DU96" i="196"/>
  <c r="DU86" i="196"/>
  <c r="EM44" i="196"/>
  <c r="EW44" i="196" s="1"/>
  <c r="DE45" i="196"/>
  <c r="T50" i="196"/>
  <c r="EK76" i="196" l="1"/>
  <c r="I51" i="196"/>
  <c r="EK77" i="196"/>
  <c r="EK78" i="196" s="1"/>
  <c r="EK79" i="196" s="1"/>
  <c r="EK80" i="196" s="1"/>
  <c r="EK81" i="196" s="1"/>
  <c r="EK82" i="196" s="1"/>
  <c r="EK83" i="196" s="1"/>
  <c r="EK84" i="196" s="1"/>
  <c r="EK85" i="196" s="1"/>
  <c r="EK86" i="196" s="1"/>
  <c r="EK87" i="196" s="1"/>
  <c r="EK88" i="196" s="1"/>
  <c r="EK89" i="196" s="1"/>
  <c r="EK90" i="196" s="1"/>
  <c r="EK91" i="196" s="1"/>
  <c r="EK92" i="196" s="1"/>
  <c r="EK93" i="196" s="1"/>
  <c r="EK94" i="196" s="1"/>
  <c r="EK95" i="196" s="1"/>
  <c r="EK96" i="196" s="1"/>
  <c r="EK97" i="196" s="1"/>
  <c r="EK98" i="196" s="1"/>
  <c r="EK99" i="196" s="1"/>
  <c r="EK100" i="196" s="1"/>
  <c r="EK101" i="196" s="1"/>
  <c r="EK102" i="196" s="1"/>
  <c r="EK103" i="196" s="1"/>
  <c r="EK104" i="196" s="1"/>
  <c r="EK105" i="196" s="1"/>
  <c r="EK106" i="196" s="1"/>
  <c r="EK107" i="196" s="1"/>
  <c r="EK108" i="196" s="1"/>
  <c r="EK109" i="196" s="1"/>
  <c r="EK110" i="196" s="1"/>
  <c r="EK111" i="196" s="1"/>
  <c r="EK112" i="196" s="1"/>
  <c r="EK113" i="196" s="1"/>
  <c r="EK114" i="196" s="1"/>
  <c r="EK115" i="196" s="1"/>
  <c r="EK116" i="196" s="1"/>
  <c r="EK117" i="196" s="1"/>
  <c r="EK118" i="196" s="1"/>
  <c r="EK119" i="196" s="1"/>
  <c r="EK120" i="196" s="1"/>
  <c r="EK121" i="196" s="1"/>
  <c r="EK122" i="196" s="1"/>
  <c r="EK123" i="196" s="1"/>
  <c r="AB50" i="196"/>
  <c r="AO52" i="248"/>
  <c r="B85" i="255"/>
  <c r="B85" i="254"/>
  <c r="DE46" i="196"/>
  <c r="EM45" i="196"/>
  <c r="EW45" i="196" s="1"/>
  <c r="AL51" i="248"/>
  <c r="BS51" i="196"/>
  <c r="CI50" i="196" s="1"/>
  <c r="ET51" i="196"/>
  <c r="AX51" i="248"/>
  <c r="EV22" i="196"/>
  <c r="D21" i="261"/>
  <c r="F21" i="261" s="1"/>
  <c r="DB51" i="196"/>
  <c r="DT50" i="196" s="1"/>
  <c r="EJ50" i="196"/>
  <c r="AY46" i="248"/>
  <c r="E45" i="261"/>
  <c r="CI49" i="196"/>
  <c r="T51" i="196"/>
  <c r="AB51" i="196" l="1"/>
  <c r="B86" i="254"/>
  <c r="B86" i="255"/>
  <c r="AO53" i="248"/>
  <c r="EV23" i="196"/>
  <c r="D22" i="261"/>
  <c r="F22" i="261" s="1"/>
  <c r="BS52" i="196"/>
  <c r="AL52" i="248"/>
  <c r="ET52" i="196"/>
  <c r="AX52" i="248"/>
  <c r="DE47" i="196"/>
  <c r="EM46" i="196"/>
  <c r="EW46" i="196" s="1"/>
  <c r="AY47" i="248"/>
  <c r="E46" i="261"/>
  <c r="I52" i="196"/>
  <c r="DB52" i="196"/>
  <c r="EJ51" i="196"/>
  <c r="T52" i="196"/>
  <c r="I53" i="196" l="1"/>
  <c r="AB52" i="196"/>
  <c r="DT51" i="196"/>
  <c r="DB53" i="196"/>
  <c r="DT52" i="196" s="1"/>
  <c r="EJ52" i="196"/>
  <c r="D23" i="261"/>
  <c r="F23" i="261" s="1"/>
  <c r="EV24" i="196"/>
  <c r="CI51" i="196"/>
  <c r="AY48" i="248"/>
  <c r="E47" i="261"/>
  <c r="BS53" i="196"/>
  <c r="CI52" i="196" s="1"/>
  <c r="AL53" i="248"/>
  <c r="ET53" i="196"/>
  <c r="AX53" i="248"/>
  <c r="B87" i="255"/>
  <c r="B87" i="254"/>
  <c r="AO54" i="248"/>
  <c r="EM47" i="196"/>
  <c r="EW47" i="196" s="1"/>
  <c r="DE48" i="196"/>
  <c r="T53" i="196"/>
  <c r="I54" i="196" l="1"/>
  <c r="AB53" i="196"/>
  <c r="DE49" i="196"/>
  <c r="EM48" i="196"/>
  <c r="EW48" i="196" s="1"/>
  <c r="E48" i="261"/>
  <c r="AY49" i="248"/>
  <c r="AO55" i="248"/>
  <c r="DB54" i="196"/>
  <c r="DT53" i="196" s="1"/>
  <c r="EJ53" i="196"/>
  <c r="B88" i="255"/>
  <c r="B88" i="254"/>
  <c r="AL54" i="248"/>
  <c r="BS54" i="196"/>
  <c r="CI53" i="196" s="1"/>
  <c r="AX54" i="248"/>
  <c r="ET54" i="196"/>
  <c r="EV25" i="196"/>
  <c r="D24" i="261"/>
  <c r="F24" i="261" s="1"/>
  <c r="T54" i="196"/>
  <c r="AB54" i="196" l="1"/>
  <c r="EM49" i="196"/>
  <c r="EW49" i="196" s="1"/>
  <c r="DE50" i="196"/>
  <c r="AO56" i="248"/>
  <c r="B89" i="254"/>
  <c r="B89" i="255"/>
  <c r="EJ54" i="196"/>
  <c r="DB55" i="196"/>
  <c r="BS55" i="196"/>
  <c r="AL55" i="248"/>
  <c r="AX55" i="248"/>
  <c r="ET55" i="196"/>
  <c r="EV26" i="196"/>
  <c r="D25" i="261"/>
  <c r="F25" i="261" s="1"/>
  <c r="AY50" i="248"/>
  <c r="E49" i="261"/>
  <c r="I55" i="196"/>
  <c r="T55" i="196"/>
  <c r="AB55" i="196" l="1"/>
  <c r="D26" i="261"/>
  <c r="F26" i="261" s="1"/>
  <c r="EV27" i="196"/>
  <c r="E50" i="261"/>
  <c r="AY51" i="248"/>
  <c r="DT54" i="196"/>
  <c r="EJ55" i="196"/>
  <c r="DB56" i="196"/>
  <c r="DE51" i="196"/>
  <c r="EM50" i="196"/>
  <c r="EW50" i="196" s="1"/>
  <c r="B90" i="255"/>
  <c r="B90" i="254"/>
  <c r="CI54" i="196"/>
  <c r="AL56" i="248"/>
  <c r="BS56" i="196"/>
  <c r="CI55" i="196" s="1"/>
  <c r="AX56" i="248"/>
  <c r="ET56" i="196"/>
  <c r="AO57" i="248"/>
  <c r="I56" i="196"/>
  <c r="T56" i="196"/>
  <c r="AL57" i="248" l="1"/>
  <c r="BS57" i="196"/>
  <c r="CI56" i="196" s="1"/>
  <c r="ET57" i="196"/>
  <c r="AX57" i="248"/>
  <c r="I57" i="196"/>
  <c r="I58" i="196" s="1"/>
  <c r="B91" i="254"/>
  <c r="B91" i="255"/>
  <c r="EV28" i="196"/>
  <c r="D27" i="261"/>
  <c r="F27" i="261" s="1"/>
  <c r="I27" i="261" s="1"/>
  <c r="DE52" i="196"/>
  <c r="EM51" i="196"/>
  <c r="EW51" i="196" s="1"/>
  <c r="E51" i="261"/>
  <c r="AY52" i="248"/>
  <c r="AO58" i="248"/>
  <c r="AB56" i="196"/>
  <c r="DT55" i="196"/>
  <c r="EJ56" i="196"/>
  <c r="DB57" i="196"/>
  <c r="T57" i="196"/>
  <c r="AB57" i="196" l="1"/>
  <c r="EM52" i="196"/>
  <c r="EW52" i="196" s="1"/>
  <c r="DE53" i="196"/>
  <c r="AO59" i="248"/>
  <c r="EV29" i="196"/>
  <c r="D28" i="261"/>
  <c r="F28" i="261" s="1"/>
  <c r="I28" i="261" s="1"/>
  <c r="E52" i="261"/>
  <c r="AY53" i="248"/>
  <c r="EJ57" i="196"/>
  <c r="DB58" i="196"/>
  <c r="DT57" i="196" s="1"/>
  <c r="B92" i="255"/>
  <c r="B92" i="254"/>
  <c r="BS58" i="196"/>
  <c r="CI57" i="196" s="1"/>
  <c r="AL58" i="248"/>
  <c r="ET58" i="196"/>
  <c r="AX58" i="248"/>
  <c r="DT56" i="196"/>
  <c r="T58" i="196"/>
  <c r="AB58" i="196" l="1"/>
  <c r="I59" i="196"/>
  <c r="EM53" i="196"/>
  <c r="EW53" i="196" s="1"/>
  <c r="DE54" i="196"/>
  <c r="EJ58" i="196"/>
  <c r="DB59" i="196"/>
  <c r="EV30" i="196"/>
  <c r="D29" i="261"/>
  <c r="F29" i="261" s="1"/>
  <c r="I29" i="261" s="1"/>
  <c r="B93" i="255"/>
  <c r="B93" i="254"/>
  <c r="BS59" i="196"/>
  <c r="CI58" i="196" s="1"/>
  <c r="AL59" i="248"/>
  <c r="ET59" i="196"/>
  <c r="AX59" i="248"/>
  <c r="AY54" i="248"/>
  <c r="E53" i="261"/>
  <c r="AO60" i="248"/>
  <c r="T59" i="196"/>
  <c r="AB59" i="196" l="1"/>
  <c r="EM54" i="196"/>
  <c r="EW54" i="196" s="1"/>
  <c r="DE55" i="196"/>
  <c r="I60" i="196"/>
  <c r="U60" i="196" s="1"/>
  <c r="AO61" i="248"/>
  <c r="B94" i="254"/>
  <c r="B94" i="255"/>
  <c r="AY55" i="248"/>
  <c r="E54" i="261"/>
  <c r="AL60" i="248"/>
  <c r="BS60" i="196"/>
  <c r="CI59" i="196" s="1"/>
  <c r="AX60" i="248"/>
  <c r="ET60" i="196"/>
  <c r="D30" i="261"/>
  <c r="F30" i="261" s="1"/>
  <c r="I30" i="261" s="1"/>
  <c r="EV31" i="196"/>
  <c r="DT58" i="196"/>
  <c r="DB60" i="196"/>
  <c r="DT59" i="196" s="1"/>
  <c r="EJ59" i="196"/>
  <c r="T60" i="196"/>
  <c r="U61" i="196" l="1"/>
  <c r="AB60" i="196"/>
  <c r="EJ60" i="196"/>
  <c r="DB61" i="196"/>
  <c r="DT60" i="196" s="1"/>
  <c r="E55" i="261"/>
  <c r="AY56" i="248"/>
  <c r="F61" i="196"/>
  <c r="AL61" i="248"/>
  <c r="ET61" i="196"/>
  <c r="AX61" i="248"/>
  <c r="EM55" i="196"/>
  <c r="EW55" i="196" s="1"/>
  <c r="DE56" i="196"/>
  <c r="AO62" i="248"/>
  <c r="CI114" i="196"/>
  <c r="CI90" i="196"/>
  <c r="CI69" i="196"/>
  <c r="CI81" i="196"/>
  <c r="CI92" i="196"/>
  <c r="CI86" i="196"/>
  <c r="CI67" i="196"/>
  <c r="CI91" i="196"/>
  <c r="CI101" i="196"/>
  <c r="CI98" i="196"/>
  <c r="CI84" i="196"/>
  <c r="CI118" i="196"/>
  <c r="CI93" i="196"/>
  <c r="CI102" i="196"/>
  <c r="CI79" i="196"/>
  <c r="CI103" i="196"/>
  <c r="CI65" i="196"/>
  <c r="CI87" i="196"/>
  <c r="CI71" i="196"/>
  <c r="CI94" i="196"/>
  <c r="CI63" i="196"/>
  <c r="CI73" i="196"/>
  <c r="CI115" i="196"/>
  <c r="CI83" i="196"/>
  <c r="CI116" i="196"/>
  <c r="CI61" i="196"/>
  <c r="CI68" i="196"/>
  <c r="CI122" i="196"/>
  <c r="CI96" i="196"/>
  <c r="CI121" i="196"/>
  <c r="CI105" i="196"/>
  <c r="CI77" i="196"/>
  <c r="CI110" i="196"/>
  <c r="CI120" i="196"/>
  <c r="CI104" i="196"/>
  <c r="CI119" i="196"/>
  <c r="CI82" i="196"/>
  <c r="CI97" i="196"/>
  <c r="CI80" i="196"/>
  <c r="CI70" i="196"/>
  <c r="CI89" i="196"/>
  <c r="CI88" i="196"/>
  <c r="CI107" i="196"/>
  <c r="CI113" i="196"/>
  <c r="CI106" i="196"/>
  <c r="CI111" i="196"/>
  <c r="CI100" i="196"/>
  <c r="CI74" i="196"/>
  <c r="CI66" i="196"/>
  <c r="CI78" i="196"/>
  <c r="CI72" i="196"/>
  <c r="CI108" i="196"/>
  <c r="CI109" i="196"/>
  <c r="CI112" i="196"/>
  <c r="CI76" i="196"/>
  <c r="CI99" i="196"/>
  <c r="CI60" i="196"/>
  <c r="CY61" i="196" s="1"/>
  <c r="CI75" i="196"/>
  <c r="CI62" i="196"/>
  <c r="CI95" i="196"/>
  <c r="CI64" i="196"/>
  <c r="CI117" i="196"/>
  <c r="CI85" i="196"/>
  <c r="EV32" i="196"/>
  <c r="D31" i="261"/>
  <c r="F31" i="261" s="1"/>
  <c r="I31" i="261" s="1"/>
  <c r="B95" i="255"/>
  <c r="B95" i="254"/>
  <c r="I61" i="196"/>
  <c r="I62" i="196" s="1"/>
  <c r="U11" i="196"/>
  <c r="U6" i="196"/>
  <c r="U21" i="196"/>
  <c r="U16" i="196"/>
  <c r="U9" i="196"/>
  <c r="U7" i="196"/>
  <c r="U5" i="196"/>
  <c r="U14" i="196"/>
  <c r="U12" i="196"/>
  <c r="U13" i="196"/>
  <c r="U15" i="196"/>
  <c r="U10" i="196"/>
  <c r="U8" i="196"/>
  <c r="U3" i="196"/>
  <c r="U4" i="196"/>
  <c r="U17" i="196"/>
  <c r="U19" i="196"/>
  <c r="U20" i="196"/>
  <c r="U22" i="196"/>
  <c r="U18" i="196"/>
  <c r="U23" i="196"/>
  <c r="U24" i="196"/>
  <c r="U25" i="196"/>
  <c r="U26" i="196"/>
  <c r="U27" i="196"/>
  <c r="U28" i="196"/>
  <c r="U29" i="196"/>
  <c r="U30" i="196"/>
  <c r="U31" i="196"/>
  <c r="U32" i="196"/>
  <c r="U33" i="196"/>
  <c r="U34" i="196"/>
  <c r="U35" i="196"/>
  <c r="U36" i="196"/>
  <c r="U37" i="196"/>
  <c r="U38" i="196"/>
  <c r="U39" i="196"/>
  <c r="U40" i="196"/>
  <c r="U41" i="196"/>
  <c r="U42" i="196"/>
  <c r="U43" i="196"/>
  <c r="U44" i="196"/>
  <c r="U45" i="196"/>
  <c r="U46" i="196"/>
  <c r="U47" i="196"/>
  <c r="U48" i="196"/>
  <c r="U49" i="196"/>
  <c r="U50" i="196"/>
  <c r="U51" i="196"/>
  <c r="U52" i="196"/>
  <c r="U53" i="196"/>
  <c r="U54" i="196"/>
  <c r="U55" i="196"/>
  <c r="U56" i="196"/>
  <c r="U57" i="196"/>
  <c r="U58" i="196"/>
  <c r="U59" i="196"/>
  <c r="T61" i="196"/>
  <c r="U62" i="196" l="1"/>
  <c r="AB61" i="196"/>
  <c r="AC4" i="196"/>
  <c r="AC5" i="196" s="1"/>
  <c r="AC6" i="196" s="1"/>
  <c r="AC7" i="196" s="1"/>
  <c r="AC8" i="196" s="1"/>
  <c r="AC9" i="196" s="1"/>
  <c r="AC10" i="196" s="1"/>
  <c r="AC11" i="196" s="1"/>
  <c r="AC12" i="196" s="1"/>
  <c r="AC13" i="196" s="1"/>
  <c r="AC14" i="196" s="1"/>
  <c r="AC15" i="196" s="1"/>
  <c r="AC16" i="196" s="1"/>
  <c r="AC17" i="196" s="1"/>
  <c r="AC18" i="196" s="1"/>
  <c r="AC19" i="196" s="1"/>
  <c r="AC20" i="196" s="1"/>
  <c r="AC21" i="196" s="1"/>
  <c r="AC22" i="196" s="1"/>
  <c r="AC23" i="196" s="1"/>
  <c r="AC24" i="196" s="1"/>
  <c r="AC25" i="196" s="1"/>
  <c r="AC26" i="196" s="1"/>
  <c r="AC27" i="196" s="1"/>
  <c r="AC28" i="196" s="1"/>
  <c r="AC29" i="196" s="1"/>
  <c r="AC30" i="196" s="1"/>
  <c r="AC31" i="196" s="1"/>
  <c r="AC32" i="196" s="1"/>
  <c r="AC33" i="196" s="1"/>
  <c r="AC34" i="196" s="1"/>
  <c r="AC35" i="196" s="1"/>
  <c r="AC36" i="196" s="1"/>
  <c r="AC37" i="196" s="1"/>
  <c r="AC38" i="196" s="1"/>
  <c r="AC39" i="196" s="1"/>
  <c r="AC40" i="196" s="1"/>
  <c r="AC41" i="196" s="1"/>
  <c r="AC42" i="196" s="1"/>
  <c r="AC43" i="196" s="1"/>
  <c r="AC44" i="196" s="1"/>
  <c r="AC45" i="196" s="1"/>
  <c r="AC46" i="196" s="1"/>
  <c r="AC47" i="196" s="1"/>
  <c r="AC48" i="196" s="1"/>
  <c r="AC49" i="196" s="1"/>
  <c r="AC50" i="196" s="1"/>
  <c r="AC51" i="196" s="1"/>
  <c r="AC52" i="196" s="1"/>
  <c r="AC53" i="196" s="1"/>
  <c r="AC54" i="196" s="1"/>
  <c r="AC55" i="196" s="1"/>
  <c r="AC56" i="196" s="1"/>
  <c r="AC57" i="196" s="1"/>
  <c r="AC58" i="196" s="1"/>
  <c r="AC59" i="196" s="1"/>
  <c r="AC60" i="196" s="1"/>
  <c r="AC61" i="196" s="1"/>
  <c r="AL62" i="248"/>
  <c r="ET62" i="196"/>
  <c r="AX62" i="248"/>
  <c r="DB62" i="196"/>
  <c r="DT61" i="196" s="1"/>
  <c r="EJ61" i="196"/>
  <c r="EV33" i="196"/>
  <c r="D33" i="261" s="1"/>
  <c r="F33" i="261" s="1"/>
  <c r="D32" i="261"/>
  <c r="F32" i="261" s="1"/>
  <c r="I32" i="261" s="1"/>
  <c r="CY62" i="196"/>
  <c r="DQ60" i="196"/>
  <c r="EG61" i="196"/>
  <c r="F62" i="196"/>
  <c r="B96" i="254"/>
  <c r="B96" i="255"/>
  <c r="AY57" i="248"/>
  <c r="E56" i="261"/>
  <c r="AO63" i="248"/>
  <c r="EM56" i="196"/>
  <c r="EW56" i="196" s="1"/>
  <c r="DE57" i="196"/>
  <c r="T62" i="196"/>
  <c r="F63" i="196" l="1"/>
  <c r="AB62" i="196"/>
  <c r="AC62" i="196"/>
  <c r="AO64" i="248"/>
  <c r="CY63" i="196"/>
  <c r="DQ62" i="196" s="1"/>
  <c r="EG62" i="196"/>
  <c r="I33" i="261"/>
  <c r="B97" i="255"/>
  <c r="B97" i="254"/>
  <c r="I63" i="196"/>
  <c r="E57" i="261"/>
  <c r="AY58" i="248"/>
  <c r="DQ61" i="196"/>
  <c r="AL63" i="248"/>
  <c r="ET63" i="196"/>
  <c r="AX63" i="248"/>
  <c r="EJ62" i="196"/>
  <c r="DB63" i="196"/>
  <c r="U64" i="196"/>
  <c r="EM57" i="196"/>
  <c r="EW57" i="196" s="1"/>
  <c r="DE58" i="196"/>
  <c r="U63" i="196"/>
  <c r="T63" i="196"/>
  <c r="AB63" i="196" l="1"/>
  <c r="AC63" i="196"/>
  <c r="AL64" i="248"/>
  <c r="ET64" i="196"/>
  <c r="AX64" i="248"/>
  <c r="F64" i="196"/>
  <c r="DT62" i="196"/>
  <c r="EJ63" i="196"/>
  <c r="DB64" i="196"/>
  <c r="DT63" i="196" s="1"/>
  <c r="E58" i="261"/>
  <c r="AY59" i="248"/>
  <c r="DE59" i="196"/>
  <c r="EM58" i="196"/>
  <c r="EW58" i="196" s="1"/>
  <c r="AO65" i="248"/>
  <c r="I64" i="196"/>
  <c r="B98" i="255"/>
  <c r="B98" i="254"/>
  <c r="EG63" i="196"/>
  <c r="CY64" i="196"/>
  <c r="DQ63" i="196" s="1"/>
  <c r="T64" i="196"/>
  <c r="U65" i="196" l="1"/>
  <c r="AB64" i="196"/>
  <c r="DE60" i="196"/>
  <c r="EM59" i="196"/>
  <c r="EW59" i="196" s="1"/>
  <c r="AO66" i="248"/>
  <c r="AY60" i="248"/>
  <c r="E59" i="261"/>
  <c r="F65" i="196"/>
  <c r="EG64" i="196"/>
  <c r="CY65" i="196"/>
  <c r="AL65" i="248"/>
  <c r="ET65" i="196"/>
  <c r="AX65" i="248"/>
  <c r="DB65" i="196"/>
  <c r="EJ64" i="196"/>
  <c r="I65" i="196"/>
  <c r="AC64" i="196"/>
  <c r="B99" i="254"/>
  <c r="B99" i="255"/>
  <c r="T65" i="196"/>
  <c r="AC65" i="196" l="1"/>
  <c r="I66" i="196"/>
  <c r="AB65" i="196"/>
  <c r="U66" i="196"/>
  <c r="DB66" i="196"/>
  <c r="DT65" i="196" s="1"/>
  <c r="EJ65" i="196"/>
  <c r="CY66" i="196"/>
  <c r="EG65" i="196"/>
  <c r="F66" i="196"/>
  <c r="AO67" i="248"/>
  <c r="B100" i="254"/>
  <c r="B100" i="255"/>
  <c r="DT64" i="196"/>
  <c r="AL66" i="248"/>
  <c r="ET66" i="196"/>
  <c r="AX66" i="248"/>
  <c r="DQ64" i="196"/>
  <c r="AY61" i="248"/>
  <c r="E60" i="261"/>
  <c r="EM60" i="196"/>
  <c r="EW60" i="196" s="1"/>
  <c r="DE61" i="196"/>
  <c r="F67" i="196" l="1"/>
  <c r="U67" i="196"/>
  <c r="AC66" i="196"/>
  <c r="DQ65" i="196"/>
  <c r="CY67" i="196"/>
  <c r="EG66" i="196"/>
  <c r="B101" i="255"/>
  <c r="B101" i="254"/>
  <c r="DB67" i="196"/>
  <c r="EJ66" i="196"/>
  <c r="AY62" i="248"/>
  <c r="E61" i="261"/>
  <c r="DE62" i="196"/>
  <c r="EM61" i="196"/>
  <c r="EW61" i="196" s="1"/>
  <c r="AO68" i="248"/>
  <c r="AL67" i="248"/>
  <c r="ET67" i="196"/>
  <c r="AX67" i="248"/>
  <c r="I67" i="196"/>
  <c r="F68" i="196" l="1"/>
  <c r="I68" i="196"/>
  <c r="DE63" i="196"/>
  <c r="EM62" i="196"/>
  <c r="EW62" i="196" s="1"/>
  <c r="DT66" i="196"/>
  <c r="DB68" i="196"/>
  <c r="EJ67" i="196"/>
  <c r="DQ66" i="196"/>
  <c r="CY68" i="196"/>
  <c r="DQ67" i="196" s="1"/>
  <c r="EG67" i="196"/>
  <c r="AL68" i="248"/>
  <c r="AX68" i="248"/>
  <c r="ET68" i="196"/>
  <c r="E62" i="261"/>
  <c r="AY63" i="248"/>
  <c r="AO69" i="248"/>
  <c r="B102" i="254"/>
  <c r="B102" i="255"/>
  <c r="U68" i="196"/>
  <c r="AC67" i="196"/>
  <c r="I69" i="196" l="1"/>
  <c r="AC68" i="196"/>
  <c r="T68" i="196"/>
  <c r="DE64" i="196"/>
  <c r="EM63" i="196"/>
  <c r="EW63" i="196" s="1"/>
  <c r="U69" i="196"/>
  <c r="AL69" i="248"/>
  <c r="ET69" i="196"/>
  <c r="AX69" i="248"/>
  <c r="AO70" i="248"/>
  <c r="EG68" i="196"/>
  <c r="CY69" i="196"/>
  <c r="E63" i="261"/>
  <c r="AY64" i="248"/>
  <c r="B103" i="255"/>
  <c r="B103" i="254"/>
  <c r="F69" i="196"/>
  <c r="DT67" i="196"/>
  <c r="DB69" i="196"/>
  <c r="DT68" i="196" s="1"/>
  <c r="EJ68" i="196"/>
  <c r="T69" i="196"/>
  <c r="F70" i="196" l="1"/>
  <c r="I70" i="196"/>
  <c r="AC69" i="196"/>
  <c r="T67" i="196"/>
  <c r="AO71" i="248"/>
  <c r="DQ68" i="196"/>
  <c r="CY70" i="196"/>
  <c r="DQ69" i="196" s="1"/>
  <c r="EG69" i="196"/>
  <c r="T66" i="196"/>
  <c r="AB66" i="196" s="1"/>
  <c r="EM64" i="196"/>
  <c r="EW64" i="196" s="1"/>
  <c r="DE65" i="196"/>
  <c r="AL70" i="248"/>
  <c r="ET70" i="196"/>
  <c r="AX70" i="248"/>
  <c r="B104" i="254"/>
  <c r="B104" i="255"/>
  <c r="F71" i="196"/>
  <c r="EJ69" i="196"/>
  <c r="DB70" i="196"/>
  <c r="DT69" i="196" s="1"/>
  <c r="AY65" i="248"/>
  <c r="E64" i="261"/>
  <c r="U70" i="196"/>
  <c r="I71" i="196" l="1"/>
  <c r="AC70" i="196"/>
  <c r="AB67" i="196"/>
  <c r="AB68" i="196" s="1"/>
  <c r="AB69" i="196" s="1"/>
  <c r="DE66" i="196"/>
  <c r="EM65" i="196"/>
  <c r="EW65" i="196" s="1"/>
  <c r="EG70" i="196"/>
  <c r="CY71" i="196"/>
  <c r="DQ70" i="196" s="1"/>
  <c r="B105" i="254"/>
  <c r="B105" i="255"/>
  <c r="AL71" i="248"/>
  <c r="ET71" i="196"/>
  <c r="AX71" i="248"/>
  <c r="AO72" i="248"/>
  <c r="U71" i="196"/>
  <c r="E65" i="261"/>
  <c r="AY66" i="248"/>
  <c r="DB71" i="196"/>
  <c r="EJ70" i="196"/>
  <c r="U72" i="196"/>
  <c r="AC71" i="196" l="1"/>
  <c r="AY67" i="248"/>
  <c r="E66" i="261"/>
  <c r="U73" i="196"/>
  <c r="EM66" i="196"/>
  <c r="EW66" i="196" s="1"/>
  <c r="DE67" i="196"/>
  <c r="B106" i="255"/>
  <c r="B106" i="254"/>
  <c r="I72" i="196"/>
  <c r="AO73" i="248"/>
  <c r="AL72" i="248"/>
  <c r="AX72" i="248"/>
  <c r="ET72" i="196"/>
  <c r="CY72" i="196"/>
  <c r="DQ71" i="196" s="1"/>
  <c r="EG71" i="196"/>
  <c r="F72" i="196"/>
  <c r="DT70" i="196"/>
  <c r="EJ71" i="196"/>
  <c r="DB72" i="196"/>
  <c r="F73" i="196" l="1"/>
  <c r="I73" i="196"/>
  <c r="V22" i="196" s="1"/>
  <c r="EG72" i="196"/>
  <c r="CY73" i="196"/>
  <c r="AY68" i="248"/>
  <c r="E67" i="261"/>
  <c r="DB73" i="196"/>
  <c r="EJ72" i="196"/>
  <c r="DT71" i="196"/>
  <c r="DE68" i="196"/>
  <c r="EM67" i="196"/>
  <c r="EW67" i="196" s="1"/>
  <c r="AL74" i="248"/>
  <c r="AL73" i="248"/>
  <c r="ET73" i="196"/>
  <c r="AX73" i="248"/>
  <c r="B107" i="255"/>
  <c r="B107" i="254"/>
  <c r="AO74" i="248"/>
  <c r="AC72" i="196"/>
  <c r="AC73" i="196" s="1"/>
  <c r="V9" i="196" l="1"/>
  <c r="V62" i="196"/>
  <c r="V23" i="196"/>
  <c r="V57" i="196"/>
  <c r="V17" i="196"/>
  <c r="V4" i="196"/>
  <c r="V54" i="196"/>
  <c r="V42" i="196"/>
  <c r="V26" i="196"/>
  <c r="V52" i="196"/>
  <c r="V60" i="196"/>
  <c r="V48" i="196"/>
  <c r="V64" i="196"/>
  <c r="V13" i="196"/>
  <c r="V47" i="196"/>
  <c r="V14" i="196"/>
  <c r="V50" i="196"/>
  <c r="V16" i="196"/>
  <c r="V33" i="196"/>
  <c r="V72" i="196"/>
  <c r="V15" i="196"/>
  <c r="V10" i="196"/>
  <c r="V36" i="196"/>
  <c r="V40" i="196"/>
  <c r="V32" i="196"/>
  <c r="V20" i="196"/>
  <c r="V67" i="196"/>
  <c r="V69" i="196"/>
  <c r="V43" i="196"/>
  <c r="V37" i="196"/>
  <c r="V38" i="196"/>
  <c r="V45" i="196"/>
  <c r="V41" i="196"/>
  <c r="V46" i="196"/>
  <c r="V55" i="196"/>
  <c r="V65" i="196"/>
  <c r="V27" i="196"/>
  <c r="V68" i="196"/>
  <c r="V53" i="196"/>
  <c r="V28" i="196"/>
  <c r="V59" i="196"/>
  <c r="V44" i="196"/>
  <c r="V25" i="196"/>
  <c r="V8" i="196"/>
  <c r="V70" i="196"/>
  <c r="V5" i="196"/>
  <c r="V58" i="196"/>
  <c r="V7" i="196"/>
  <c r="V35" i="196"/>
  <c r="V24" i="196"/>
  <c r="V3" i="196"/>
  <c r="AD4" i="196" s="1"/>
  <c r="V56" i="196"/>
  <c r="V31" i="196"/>
  <c r="V11" i="196"/>
  <c r="V73" i="196"/>
  <c r="V30" i="196"/>
  <c r="V12" i="196"/>
  <c r="V49" i="196"/>
  <c r="V71" i="196"/>
  <c r="V29" i="196"/>
  <c r="V34" i="196"/>
  <c r="V66" i="196"/>
  <c r="V63" i="196"/>
  <c r="V39" i="196"/>
  <c r="V21" i="196"/>
  <c r="V6" i="196"/>
  <c r="V51" i="196"/>
  <c r="V61" i="196"/>
  <c r="V18" i="196"/>
  <c r="V19" i="196"/>
  <c r="U74" i="196"/>
  <c r="V74" i="196"/>
  <c r="DT72" i="196"/>
  <c r="DB74" i="196"/>
  <c r="DT73" i="196" s="1"/>
  <c r="EJ73" i="196"/>
  <c r="CX74" i="196"/>
  <c r="AK74" i="248"/>
  <c r="E74" i="196"/>
  <c r="ET74" i="196"/>
  <c r="AX74" i="248"/>
  <c r="I74" i="196"/>
  <c r="AO75" i="248"/>
  <c r="AY69" i="248"/>
  <c r="E68" i="261"/>
  <c r="B108" i="255"/>
  <c r="B108" i="254"/>
  <c r="DE69" i="196"/>
  <c r="EM68" i="196"/>
  <c r="EW68" i="196" s="1"/>
  <c r="DQ72" i="196"/>
  <c r="CY74" i="196"/>
  <c r="EG73" i="196"/>
  <c r="AL75" i="248"/>
  <c r="F74" i="196"/>
  <c r="AD5" i="196" l="1"/>
  <c r="AD6" i="196" s="1"/>
  <c r="AD7" i="196" s="1"/>
  <c r="AD8" i="196" s="1"/>
  <c r="AD9" i="196" s="1"/>
  <c r="AD10" i="196" s="1"/>
  <c r="AD11" i="196" s="1"/>
  <c r="AD12" i="196" s="1"/>
  <c r="AD13" i="196" s="1"/>
  <c r="AD14" i="196" s="1"/>
  <c r="AD15" i="196" s="1"/>
  <c r="AD16" i="196" s="1"/>
  <c r="AD17" i="196" s="1"/>
  <c r="AD18" i="196" s="1"/>
  <c r="AD19" i="196" s="1"/>
  <c r="AD20" i="196" s="1"/>
  <c r="AD21" i="196" s="1"/>
  <c r="AD22" i="196" s="1"/>
  <c r="AD23" i="196" s="1"/>
  <c r="AD24" i="196" s="1"/>
  <c r="AD25" i="196" s="1"/>
  <c r="AD26" i="196" s="1"/>
  <c r="AD27" i="196" s="1"/>
  <c r="AD28" i="196" s="1"/>
  <c r="AD29" i="196" s="1"/>
  <c r="AD30" i="196" s="1"/>
  <c r="AD31" i="196" s="1"/>
  <c r="AD32" i="196" s="1"/>
  <c r="AD33" i="196" s="1"/>
  <c r="AD34" i="196" s="1"/>
  <c r="AD35" i="196" s="1"/>
  <c r="AD36" i="196" s="1"/>
  <c r="AD37" i="196" s="1"/>
  <c r="AD38" i="196" s="1"/>
  <c r="AD39" i="196" s="1"/>
  <c r="AD40" i="196" s="1"/>
  <c r="AD41" i="196" s="1"/>
  <c r="AD42" i="196" s="1"/>
  <c r="AD43" i="196" s="1"/>
  <c r="AD44" i="196" s="1"/>
  <c r="AD45" i="196" s="1"/>
  <c r="AD46" i="196" s="1"/>
  <c r="AD47" i="196" s="1"/>
  <c r="AD48" i="196" s="1"/>
  <c r="AD49" i="196" s="1"/>
  <c r="AD50" i="196" s="1"/>
  <c r="AD51" i="196" s="1"/>
  <c r="AD52" i="196" s="1"/>
  <c r="AD53" i="196" s="1"/>
  <c r="AD54" i="196" s="1"/>
  <c r="AD55" i="196" s="1"/>
  <c r="AD56" i="196" s="1"/>
  <c r="AD57" i="196" s="1"/>
  <c r="AD58" i="196" s="1"/>
  <c r="AD59" i="196" s="1"/>
  <c r="AD60" i="196" s="1"/>
  <c r="AD61" i="196" s="1"/>
  <c r="AD62" i="196" s="1"/>
  <c r="AD63" i="196" s="1"/>
  <c r="AD64" i="196" s="1"/>
  <c r="AD65" i="196" s="1"/>
  <c r="AD66" i="196" s="1"/>
  <c r="AD67" i="196" s="1"/>
  <c r="AD68" i="196" s="1"/>
  <c r="AD69" i="196" s="1"/>
  <c r="AD70" i="196" s="1"/>
  <c r="AD71" i="196" s="1"/>
  <c r="AD72" i="196" s="1"/>
  <c r="AD73" i="196" s="1"/>
  <c r="AD74" i="196" s="1"/>
  <c r="I75" i="196"/>
  <c r="AC74" i="196"/>
  <c r="AO76" i="248"/>
  <c r="F75" i="196"/>
  <c r="EG74" i="196"/>
  <c r="CY75" i="196"/>
  <c r="AK75" i="248"/>
  <c r="ET75" i="196"/>
  <c r="AX75" i="248"/>
  <c r="AY70" i="248"/>
  <c r="E69" i="261"/>
  <c r="I76" i="196"/>
  <c r="EM69" i="196"/>
  <c r="EW69" i="196" s="1"/>
  <c r="DE70" i="196"/>
  <c r="E75" i="196"/>
  <c r="E76" i="196" s="1"/>
  <c r="B109" i="255"/>
  <c r="B109" i="254"/>
  <c r="DQ73" i="196"/>
  <c r="AL76" i="248"/>
  <c r="U75" i="196"/>
  <c r="V75" i="196"/>
  <c r="DP73" i="196"/>
  <c r="EF74" i="196"/>
  <c r="CX75" i="196"/>
  <c r="EJ74" i="196"/>
  <c r="DB75" i="196"/>
  <c r="DT74" i="196" s="1"/>
  <c r="DE71" i="196" l="1"/>
  <c r="EM70" i="196"/>
  <c r="EW70" i="196" s="1"/>
  <c r="E70" i="261"/>
  <c r="AY71" i="248"/>
  <c r="F76" i="196"/>
  <c r="U76" i="196"/>
  <c r="V76" i="196"/>
  <c r="DB76" i="196"/>
  <c r="DT75" i="196" s="1"/>
  <c r="EJ75" i="196"/>
  <c r="AK76" i="248"/>
  <c r="ET76" i="196"/>
  <c r="AX76" i="248"/>
  <c r="DP74" i="196"/>
  <c r="EF75" i="196"/>
  <c r="CX76" i="196"/>
  <c r="DP75" i="196" s="1"/>
  <c r="AD75" i="196"/>
  <c r="B110" i="255"/>
  <c r="B110" i="254"/>
  <c r="AL77" i="248"/>
  <c r="AO77" i="248"/>
  <c r="DQ74" i="196"/>
  <c r="CY76" i="196"/>
  <c r="DQ75" i="196" s="1"/>
  <c r="EG75" i="196"/>
  <c r="AC75" i="196"/>
  <c r="T76" i="196"/>
  <c r="F77" i="196" l="1"/>
  <c r="AC76" i="196"/>
  <c r="U77" i="196"/>
  <c r="V77" i="196"/>
  <c r="T71" i="196"/>
  <c r="T70" i="196"/>
  <c r="AB70" i="196" s="1"/>
  <c r="CY77" i="196"/>
  <c r="DQ76" i="196" s="1"/>
  <c r="EG76" i="196"/>
  <c r="T75" i="196"/>
  <c r="AY72" i="248"/>
  <c r="E71" i="261"/>
  <c r="AO78" i="248"/>
  <c r="AL78" i="248"/>
  <c r="B111" i="255"/>
  <c r="B111" i="254"/>
  <c r="I77" i="196"/>
  <c r="AD76" i="196"/>
  <c r="DB77" i="196"/>
  <c r="DT76" i="196" s="1"/>
  <c r="EJ76" i="196"/>
  <c r="T74" i="196"/>
  <c r="T73" i="196"/>
  <c r="EM71" i="196"/>
  <c r="EW71" i="196" s="1"/>
  <c r="DE72" i="196"/>
  <c r="CX77" i="196"/>
  <c r="DP76" i="196" s="1"/>
  <c r="EF76" i="196"/>
  <c r="E77" i="196"/>
  <c r="AK77" i="248"/>
  <c r="AX77" i="248"/>
  <c r="ET77" i="196"/>
  <c r="T72" i="196"/>
  <c r="E78" i="196" l="1"/>
  <c r="CX78" i="196"/>
  <c r="EF77" i="196"/>
  <c r="DP77" i="196"/>
  <c r="DB78" i="196"/>
  <c r="EJ77" i="196"/>
  <c r="AL79" i="248"/>
  <c r="DE73" i="196"/>
  <c r="EM72" i="196"/>
  <c r="EW72" i="196" s="1"/>
  <c r="U78" i="196"/>
  <c r="V78" i="196"/>
  <c r="EG77" i="196"/>
  <c r="CY78" i="196"/>
  <c r="AD77" i="196"/>
  <c r="AK78" i="248"/>
  <c r="ET78" i="196"/>
  <c r="AX78" i="248"/>
  <c r="AY73" i="248"/>
  <c r="E72" i="261"/>
  <c r="F78" i="196"/>
  <c r="AC77" i="196"/>
  <c r="B112" i="254"/>
  <c r="B112" i="255"/>
  <c r="AO79" i="248"/>
  <c r="I78" i="196"/>
  <c r="I79" i="196" s="1"/>
  <c r="E79" i="196"/>
  <c r="AB71" i="196"/>
  <c r="AB72" i="196" s="1"/>
  <c r="AB73" i="196" s="1"/>
  <c r="AB74" i="196" s="1"/>
  <c r="AB75" i="196" s="1"/>
  <c r="AB76" i="196" s="1"/>
  <c r="AC78" i="196" l="1"/>
  <c r="AD78" i="196"/>
  <c r="EM73" i="196"/>
  <c r="EW73" i="196" s="1"/>
  <c r="DE74" i="196"/>
  <c r="V79" i="196"/>
  <c r="U79" i="196"/>
  <c r="AY74" i="248"/>
  <c r="E73" i="261"/>
  <c r="DQ77" i="196"/>
  <c r="CY79" i="196"/>
  <c r="DQ78" i="196" s="1"/>
  <c r="EG78" i="196"/>
  <c r="AK79" i="248"/>
  <c r="ET79" i="196"/>
  <c r="AX79" i="248"/>
  <c r="E80" i="196"/>
  <c r="B113" i="255"/>
  <c r="B113" i="254"/>
  <c r="CX79" i="196"/>
  <c r="DP78" i="196" s="1"/>
  <c r="EF78" i="196"/>
  <c r="AO80" i="248"/>
  <c r="AL80" i="248"/>
  <c r="F79" i="196"/>
  <c r="DT77" i="196"/>
  <c r="EJ78" i="196"/>
  <c r="DB79" i="196"/>
  <c r="DT78" i="196" s="1"/>
  <c r="F80" i="196" l="1"/>
  <c r="AD79" i="196"/>
  <c r="I80" i="196"/>
  <c r="AL81" i="248"/>
  <c r="DE75" i="196"/>
  <c r="EM74" i="196"/>
  <c r="EW74" i="196" s="1"/>
  <c r="AO81" i="248"/>
  <c r="CX80" i="196"/>
  <c r="DP79" i="196" s="1"/>
  <c r="EF79" i="196"/>
  <c r="AC79" i="196"/>
  <c r="U80" i="196"/>
  <c r="V80" i="196"/>
  <c r="EG79" i="196"/>
  <c r="CY80" i="196"/>
  <c r="DQ79" i="196" s="1"/>
  <c r="DB80" i="196"/>
  <c r="DT79" i="196" s="1"/>
  <c r="EJ79" i="196"/>
  <c r="B114" i="254"/>
  <c r="B114" i="255"/>
  <c r="AK80" i="248"/>
  <c r="AX80" i="248"/>
  <c r="ET80" i="196"/>
  <c r="E74" i="261"/>
  <c r="AY75" i="248"/>
  <c r="E81" i="196"/>
  <c r="AC80" i="196" l="1"/>
  <c r="AD80" i="196"/>
  <c r="I81" i="196"/>
  <c r="AY76" i="248"/>
  <c r="E75" i="261"/>
  <c r="DE76" i="196"/>
  <c r="EM75" i="196"/>
  <c r="EW75" i="196" s="1"/>
  <c r="I82" i="196"/>
  <c r="CX81" i="196"/>
  <c r="DP80" i="196" s="1"/>
  <c r="EF80" i="196"/>
  <c r="B115" i="255"/>
  <c r="B115" i="254"/>
  <c r="V81" i="196"/>
  <c r="U81" i="196"/>
  <c r="EJ80" i="196"/>
  <c r="DB81" i="196"/>
  <c r="F81" i="196"/>
  <c r="AL82" i="248"/>
  <c r="AK81" i="248"/>
  <c r="ET81" i="196"/>
  <c r="AX81" i="248"/>
  <c r="AO82" i="248"/>
  <c r="EG80" i="196"/>
  <c r="CY81" i="196"/>
  <c r="DQ80" i="196" s="1"/>
  <c r="AD81" i="196" l="1"/>
  <c r="AC81" i="196"/>
  <c r="EM76" i="196"/>
  <c r="EW76" i="196" s="1"/>
  <c r="DE77" i="196"/>
  <c r="EF81" i="196"/>
  <c r="CX82" i="196"/>
  <c r="AY77" i="248"/>
  <c r="E76" i="261"/>
  <c r="DB82" i="196"/>
  <c r="EJ81" i="196"/>
  <c r="B116" i="254"/>
  <c r="B116" i="255"/>
  <c r="AL83" i="248"/>
  <c r="EG81" i="196"/>
  <c r="CY82" i="196"/>
  <c r="DQ81" i="196" s="1"/>
  <c r="F82" i="196"/>
  <c r="F83" i="196" s="1"/>
  <c r="V82" i="196"/>
  <c r="U82" i="196"/>
  <c r="AO83" i="248"/>
  <c r="AK82" i="248"/>
  <c r="AX82" i="248"/>
  <c r="ET82" i="196"/>
  <c r="DT80" i="196"/>
  <c r="E82" i="196"/>
  <c r="AC82" i="196" l="1"/>
  <c r="DE78" i="196"/>
  <c r="EM77" i="196"/>
  <c r="EW77" i="196" s="1"/>
  <c r="V83" i="196"/>
  <c r="U83" i="196"/>
  <c r="E83" i="196"/>
  <c r="AK83" i="248"/>
  <c r="AX83" i="248"/>
  <c r="ET83" i="196"/>
  <c r="CY83" i="196"/>
  <c r="EG82" i="196"/>
  <c r="DQ82" i="196"/>
  <c r="DT81" i="196"/>
  <c r="EJ82" i="196"/>
  <c r="DB83" i="196"/>
  <c r="AL84" i="248"/>
  <c r="AY78" i="248"/>
  <c r="E77" i="261"/>
  <c r="AD82" i="196"/>
  <c r="I83" i="196"/>
  <c r="AO84" i="248"/>
  <c r="B117" i="255"/>
  <c r="B117" i="254"/>
  <c r="DP81" i="196"/>
  <c r="CX83" i="196"/>
  <c r="DP82" i="196" s="1"/>
  <c r="EF82" i="196"/>
  <c r="I84" i="196" l="1"/>
  <c r="F84" i="196"/>
  <c r="AC83" i="196"/>
  <c r="E84" i="196"/>
  <c r="AK84" i="248"/>
  <c r="AX84" i="248"/>
  <c r="ET84" i="196"/>
  <c r="DB84" i="196"/>
  <c r="EJ83" i="196"/>
  <c r="AY79" i="248"/>
  <c r="E78" i="261"/>
  <c r="EM78" i="196"/>
  <c r="EW78" i="196" s="1"/>
  <c r="DE79" i="196"/>
  <c r="EF83" i="196"/>
  <c r="CX84" i="196"/>
  <c r="DP83" i="196" s="1"/>
  <c r="AO85" i="248"/>
  <c r="CY84" i="196"/>
  <c r="EG83" i="196"/>
  <c r="B118" i="255"/>
  <c r="B118" i="254"/>
  <c r="AL85" i="248"/>
  <c r="AD83" i="196"/>
  <c r="V84" i="196"/>
  <c r="U84" i="196"/>
  <c r="DT82" i="196"/>
  <c r="T83" i="196"/>
  <c r="T84" i="196"/>
  <c r="E85" i="196" l="1"/>
  <c r="AD84" i="196"/>
  <c r="F85" i="196"/>
  <c r="I85" i="196"/>
  <c r="EF84" i="196"/>
  <c r="CX85" i="196"/>
  <c r="DP84" i="196" s="1"/>
  <c r="T78" i="196"/>
  <c r="E79" i="261"/>
  <c r="AY80" i="248"/>
  <c r="T81" i="196"/>
  <c r="AC84" i="196"/>
  <c r="T80" i="196"/>
  <c r="B119" i="254"/>
  <c r="B119" i="255"/>
  <c r="AK85" i="248"/>
  <c r="AX85" i="248"/>
  <c r="ET85" i="196"/>
  <c r="DT83" i="196"/>
  <c r="DB85" i="196"/>
  <c r="DT84" i="196" s="1"/>
  <c r="EJ84" i="196"/>
  <c r="AO86" i="248"/>
  <c r="V85" i="196"/>
  <c r="U85" i="196"/>
  <c r="AL86" i="248"/>
  <c r="T82" i="196"/>
  <c r="DQ83" i="196"/>
  <c r="EG84" i="196"/>
  <c r="CY85" i="196"/>
  <c r="DQ84" i="196" s="1"/>
  <c r="T79" i="196"/>
  <c r="T77" i="196"/>
  <c r="AB77" i="196" s="1"/>
  <c r="DE80" i="196"/>
  <c r="EM79" i="196"/>
  <c r="EW79" i="196" s="1"/>
  <c r="AB78" i="196" l="1"/>
  <c r="AB79" i="196" s="1"/>
  <c r="AB80" i="196" s="1"/>
  <c r="AB81" i="196" s="1"/>
  <c r="AB82" i="196" s="1"/>
  <c r="AB83" i="196" s="1"/>
  <c r="AB84" i="196" s="1"/>
  <c r="AD85" i="196"/>
  <c r="T85" i="196"/>
  <c r="AO88" i="248"/>
  <c r="CY86" i="196"/>
  <c r="DQ85" i="196" s="1"/>
  <c r="EG85" i="196"/>
  <c r="V86" i="196"/>
  <c r="U86" i="196"/>
  <c r="AK87" i="248"/>
  <c r="B120" i="255"/>
  <c r="B120" i="254"/>
  <c r="AK86" i="248"/>
  <c r="ET86" i="196"/>
  <c r="AX86" i="248"/>
  <c r="AY81" i="248"/>
  <c r="E80" i="261"/>
  <c r="CX86" i="196"/>
  <c r="DP85" i="196" s="1"/>
  <c r="EF85" i="196"/>
  <c r="AC85" i="196"/>
  <c r="E86" i="196"/>
  <c r="E87" i="196" s="1"/>
  <c r="AL87" i="248"/>
  <c r="I86" i="196"/>
  <c r="EM80" i="196"/>
  <c r="EW80" i="196" s="1"/>
  <c r="DE81" i="196"/>
  <c r="EJ85" i="196"/>
  <c r="DB86" i="196"/>
  <c r="F86" i="196"/>
  <c r="T86" i="196"/>
  <c r="AC86" i="196" l="1"/>
  <c r="F87" i="196"/>
  <c r="AB85" i="196"/>
  <c r="AB86" i="196" s="1"/>
  <c r="AY82" i="248"/>
  <c r="E81" i="261"/>
  <c r="AO89" i="248"/>
  <c r="DT85" i="196"/>
  <c r="EJ86" i="196"/>
  <c r="AO95" i="248"/>
  <c r="AO97" i="248"/>
  <c r="AO94" i="248"/>
  <c r="EG86" i="196"/>
  <c r="CY87" i="196"/>
  <c r="AK88" i="248"/>
  <c r="B121" i="255"/>
  <c r="B121" i="254"/>
  <c r="AO96" i="248"/>
  <c r="AO90" i="248"/>
  <c r="CX87" i="196"/>
  <c r="DP86" i="196" s="1"/>
  <c r="EF86" i="196"/>
  <c r="AD86" i="196"/>
  <c r="AL88" i="248"/>
  <c r="AO92" i="248"/>
  <c r="AO93" i="248"/>
  <c r="AO91" i="248"/>
  <c r="AO87" i="248"/>
  <c r="EM81" i="196"/>
  <c r="EW81" i="196" s="1"/>
  <c r="DE82" i="196"/>
  <c r="I87" i="196" l="1"/>
  <c r="I88" i="196" s="1"/>
  <c r="I89" i="196" s="1"/>
  <c r="I90" i="196" s="1"/>
  <c r="I91" i="196" s="1"/>
  <c r="I92" i="196" s="1"/>
  <c r="I93" i="196" s="1"/>
  <c r="I94" i="196" s="1"/>
  <c r="I95" i="196" s="1"/>
  <c r="I96" i="196" s="1"/>
  <c r="I97" i="196" s="1"/>
  <c r="I98" i="196" s="1"/>
  <c r="I99" i="196" s="1"/>
  <c r="I100" i="196" s="1"/>
  <c r="I101" i="196" s="1"/>
  <c r="I102" i="196" s="1"/>
  <c r="I103" i="196" s="1"/>
  <c r="I104" i="196" s="1"/>
  <c r="I105" i="196" s="1"/>
  <c r="I106" i="196" s="1"/>
  <c r="I107" i="196" s="1"/>
  <c r="I108" i="196" s="1"/>
  <c r="I109" i="196" s="1"/>
  <c r="I110" i="196" s="1"/>
  <c r="I111" i="196" s="1"/>
  <c r="I112" i="196" s="1"/>
  <c r="I113" i="196" s="1"/>
  <c r="I114" i="196" s="1"/>
  <c r="I115" i="196" s="1"/>
  <c r="I116" i="196" s="1"/>
  <c r="I117" i="196" s="1"/>
  <c r="I118" i="196" s="1"/>
  <c r="I119" i="196" s="1"/>
  <c r="I120" i="196" s="1"/>
  <c r="I121" i="196" s="1"/>
  <c r="I122" i="196" s="1"/>
  <c r="I123" i="196" s="1"/>
  <c r="E88" i="196"/>
  <c r="DB87" i="196"/>
  <c r="AL89" i="248"/>
  <c r="DE83" i="196"/>
  <c r="EM82" i="196"/>
  <c r="EW82" i="196" s="1"/>
  <c r="E82" i="261"/>
  <c r="AY83" i="248"/>
  <c r="DQ86" i="196"/>
  <c r="CY88" i="196"/>
  <c r="EG87" i="196"/>
  <c r="F88" i="196"/>
  <c r="AK89" i="248"/>
  <c r="B122" i="254"/>
  <c r="B122" i="255"/>
  <c r="CX88" i="196"/>
  <c r="DP87" i="196" s="1"/>
  <c r="EF87" i="196"/>
  <c r="AY84" i="248" l="1"/>
  <c r="E83" i="261"/>
  <c r="EG88" i="196"/>
  <c r="CY89" i="196"/>
  <c r="DE84" i="196"/>
  <c r="EM83" i="196"/>
  <c r="EW83" i="196" s="1"/>
  <c r="CX89" i="196"/>
  <c r="DP88" i="196" s="1"/>
  <c r="EF88" i="196"/>
  <c r="AK90" i="248"/>
  <c r="AL90" i="248"/>
  <c r="F89" i="196"/>
  <c r="F90" i="196" s="1"/>
  <c r="DQ87" i="196"/>
  <c r="DB88" i="196"/>
  <c r="EJ87" i="196"/>
  <c r="DT86" i="196"/>
  <c r="E89" i="196"/>
  <c r="E90" i="196" s="1"/>
  <c r="DQ88" i="196" l="1"/>
  <c r="EG89" i="196"/>
  <c r="CY90" i="196"/>
  <c r="DQ89" i="196" s="1"/>
  <c r="AL91" i="248"/>
  <c r="CX90" i="196"/>
  <c r="EF89" i="196"/>
  <c r="DB89" i="196"/>
  <c r="DT88" i="196" s="1"/>
  <c r="EJ88" i="196"/>
  <c r="E84" i="261"/>
  <c r="AY85" i="248"/>
  <c r="AK91" i="248"/>
  <c r="DT87" i="196"/>
  <c r="DE85" i="196"/>
  <c r="EM84" i="196"/>
  <c r="EW84" i="196" s="1"/>
  <c r="EG90" i="196" l="1"/>
  <c r="CY91" i="196"/>
  <c r="DQ90" i="196" s="1"/>
  <c r="AY86" i="248"/>
  <c r="E86" i="261" s="1"/>
  <c r="E85" i="261"/>
  <c r="EJ89" i="196"/>
  <c r="DB90" i="196"/>
  <c r="DT89" i="196" s="1"/>
  <c r="CX91" i="196"/>
  <c r="DP90" i="196" s="1"/>
  <c r="EF90" i="196"/>
  <c r="AK92" i="248"/>
  <c r="DP89" i="196"/>
  <c r="E91" i="196"/>
  <c r="F91" i="196"/>
  <c r="EM85" i="196"/>
  <c r="EW85" i="196" s="1"/>
  <c r="DE86" i="196"/>
  <c r="AL92" i="248"/>
  <c r="AL93" i="248" l="1"/>
  <c r="DE87" i="196"/>
  <c r="EM86" i="196"/>
  <c r="EW86" i="196" s="1"/>
  <c r="F92" i="196"/>
  <c r="E92" i="196"/>
  <c r="E93" i="196" s="1"/>
  <c r="CX92" i="196"/>
  <c r="EF91" i="196"/>
  <c r="CY92" i="196"/>
  <c r="EG91" i="196"/>
  <c r="AK93" i="248"/>
  <c r="EJ90" i="196"/>
  <c r="DB91" i="196"/>
  <c r="DT90" i="196" s="1"/>
  <c r="F93" i="196" l="1"/>
  <c r="EM87" i="196"/>
  <c r="DE88" i="196"/>
  <c r="DQ91" i="196"/>
  <c r="EG92" i="196"/>
  <c r="CY93" i="196"/>
  <c r="DQ92" i="196" s="1"/>
  <c r="AL94" i="248"/>
  <c r="AK94" i="248"/>
  <c r="EJ91" i="196"/>
  <c r="DB92" i="196"/>
  <c r="DT91" i="196" s="1"/>
  <c r="DP91" i="196"/>
  <c r="CX93" i="196"/>
  <c r="DP92" i="196" s="1"/>
  <c r="EF92" i="196"/>
  <c r="CY94" i="196" l="1"/>
  <c r="DQ93" i="196" s="1"/>
  <c r="EG93" i="196"/>
  <c r="E94" i="196"/>
  <c r="AL95" i="248"/>
  <c r="AK95" i="248"/>
  <c r="DE89" i="196"/>
  <c r="EM88" i="196"/>
  <c r="EF93" i="196"/>
  <c r="CX94" i="196"/>
  <c r="DP93" i="196" s="1"/>
  <c r="DB93" i="196"/>
  <c r="DT92" i="196" s="1"/>
  <c r="EJ92" i="196"/>
  <c r="F94" i="196"/>
  <c r="E95" i="196" l="1"/>
  <c r="CX95" i="196"/>
  <c r="EF94" i="196"/>
  <c r="F95" i="196"/>
  <c r="F96" i="196" s="1"/>
  <c r="DE90" i="196"/>
  <c r="EM89" i="196"/>
  <c r="AK96" i="248"/>
  <c r="AL96" i="248"/>
  <c r="EJ93" i="196"/>
  <c r="DB94" i="196"/>
  <c r="EJ94" i="196" s="1"/>
  <c r="EG94" i="196"/>
  <c r="CY95" i="196"/>
  <c r="DQ94" i="196" s="1"/>
  <c r="EG95" i="196" s="1"/>
  <c r="DT93" i="196" l="1"/>
  <c r="AL97" i="248"/>
  <c r="AK97" i="248"/>
  <c r="CY96" i="196"/>
  <c r="DQ95" i="196" s="1"/>
  <c r="DP94" i="196"/>
  <c r="EF95" i="196"/>
  <c r="CX96" i="196"/>
  <c r="DP95" i="196" s="1"/>
  <c r="DE91" i="196"/>
  <c r="EM90" i="196"/>
  <c r="E96" i="196"/>
  <c r="AL98" i="248" l="1"/>
  <c r="EF96" i="196"/>
  <c r="CX97" i="196"/>
  <c r="AK98" i="248"/>
  <c r="DE92" i="196"/>
  <c r="EM91" i="196"/>
  <c r="E97" i="196"/>
  <c r="EG96" i="196"/>
  <c r="CY97" i="196"/>
  <c r="DQ96" i="196" s="1"/>
  <c r="F97" i="196"/>
  <c r="F98" i="196" s="1"/>
  <c r="DT101" i="196"/>
  <c r="DT118" i="196"/>
  <c r="DT122" i="196"/>
  <c r="DT114" i="196"/>
  <c r="DT113" i="196"/>
  <c r="DT120" i="196"/>
  <c r="DT110" i="196"/>
  <c r="DT104" i="196"/>
  <c r="DT116" i="196"/>
  <c r="DT95" i="196"/>
  <c r="DT108" i="196"/>
  <c r="DT96" i="196"/>
  <c r="DT107" i="196"/>
  <c r="DT94" i="196"/>
  <c r="EJ95" i="196" s="1"/>
  <c r="DT106" i="196"/>
  <c r="DT111" i="196"/>
  <c r="DT117" i="196"/>
  <c r="DT100" i="196"/>
  <c r="DT103" i="196"/>
  <c r="DT119" i="196"/>
  <c r="DT121" i="196"/>
  <c r="DT102" i="196"/>
  <c r="DT97" i="196"/>
  <c r="DT105" i="196"/>
  <c r="DT99" i="196"/>
  <c r="DT98" i="196"/>
  <c r="DT115" i="196"/>
  <c r="DT109" i="196"/>
  <c r="DT112" i="196"/>
  <c r="EJ96" i="196" l="1"/>
  <c r="EJ97" i="196" s="1"/>
  <c r="EJ98" i="196" s="1"/>
  <c r="EJ99" i="196" s="1"/>
  <c r="EJ100" i="196" s="1"/>
  <c r="EJ101" i="196" s="1"/>
  <c r="EJ102" i="196" s="1"/>
  <c r="EJ103" i="196" s="1"/>
  <c r="EJ104" i="196" s="1"/>
  <c r="EJ105" i="196" s="1"/>
  <c r="EJ106" i="196" s="1"/>
  <c r="EJ107" i="196" s="1"/>
  <c r="EJ108" i="196" s="1"/>
  <c r="EJ109" i="196" s="1"/>
  <c r="EJ110" i="196" s="1"/>
  <c r="EJ111" i="196" s="1"/>
  <c r="EJ112" i="196" s="1"/>
  <c r="EJ113" i="196" s="1"/>
  <c r="EJ114" i="196" s="1"/>
  <c r="EJ115" i="196" s="1"/>
  <c r="EJ116" i="196" s="1"/>
  <c r="EJ117" i="196" s="1"/>
  <c r="EJ118" i="196" s="1"/>
  <c r="EJ119" i="196" s="1"/>
  <c r="EJ120" i="196" s="1"/>
  <c r="EJ121" i="196" s="1"/>
  <c r="EJ122" i="196" s="1"/>
  <c r="EJ123" i="196" s="1"/>
  <c r="EG97" i="196"/>
  <c r="CY98" i="196"/>
  <c r="DQ97" i="196" s="1"/>
  <c r="DP96" i="196"/>
  <c r="CX98" i="196"/>
  <c r="EF97" i="196"/>
  <c r="E98" i="196"/>
  <c r="AL99" i="248"/>
  <c r="AK99" i="248"/>
  <c r="EM92" i="196"/>
  <c r="DE93" i="196"/>
  <c r="EG98" i="196" l="1"/>
  <c r="CY99" i="196"/>
  <c r="DQ98" i="196" s="1"/>
  <c r="CX99" i="196"/>
  <c r="EF98" i="196"/>
  <c r="DE94" i="196"/>
  <c r="EM93" i="196"/>
  <c r="AL100" i="248"/>
  <c r="AK100" i="248"/>
  <c r="E99" i="196"/>
  <c r="E100" i="196" s="1"/>
  <c r="DP97" i="196"/>
  <c r="F99" i="196"/>
  <c r="F100" i="196" l="1"/>
  <c r="DE95" i="196"/>
  <c r="EM94" i="196"/>
  <c r="EF99" i="196"/>
  <c r="CX100" i="196"/>
  <c r="AL101" i="248"/>
  <c r="EG99" i="196"/>
  <c r="CY100" i="196"/>
  <c r="DQ99" i="196" s="1"/>
  <c r="DP98" i="196"/>
  <c r="AK101" i="248"/>
  <c r="AK102" i="248" l="1"/>
  <c r="F101" i="196"/>
  <c r="CY101" i="196"/>
  <c r="EG100" i="196"/>
  <c r="DE96" i="196"/>
  <c r="EM95" i="196"/>
  <c r="DP99" i="196"/>
  <c r="EF100" i="196"/>
  <c r="CX101" i="196"/>
  <c r="DP100" i="196" s="1"/>
  <c r="AL102" i="248"/>
  <c r="E101" i="196"/>
  <c r="E102" i="196" s="1"/>
  <c r="F102" i="196" l="1"/>
  <c r="CX102" i="196"/>
  <c r="DP101" i="196" s="1"/>
  <c r="EF101" i="196"/>
  <c r="AL103" i="248"/>
  <c r="E103" i="196"/>
  <c r="DE97" i="196"/>
  <c r="EM96" i="196"/>
  <c r="CY102" i="196"/>
  <c r="DQ101" i="196" s="1"/>
  <c r="AK103" i="248"/>
  <c r="DQ100" i="196"/>
  <c r="EG101" i="196" s="1"/>
  <c r="DE98" i="196" l="1"/>
  <c r="EM97" i="196"/>
  <c r="EG102" i="196"/>
  <c r="CY103" i="196"/>
  <c r="AL104" i="248"/>
  <c r="F103" i="196"/>
  <c r="CX103" i="196"/>
  <c r="EF102" i="196"/>
  <c r="F104" i="196" l="1"/>
  <c r="E104" i="196"/>
  <c r="AK104" i="248"/>
  <c r="AL105" i="248"/>
  <c r="DP102" i="196"/>
  <c r="CX104" i="196"/>
  <c r="EF103" i="196"/>
  <c r="DE99" i="196"/>
  <c r="EM98" i="196"/>
  <c r="DQ102" i="196"/>
  <c r="EG103" i="196"/>
  <c r="CY104" i="196"/>
  <c r="DQ103" i="196" s="1"/>
  <c r="EG104" i="196" s="1"/>
  <c r="EF104" i="196" l="1"/>
  <c r="CY105" i="196"/>
  <c r="DQ104" i="196" s="1"/>
  <c r="AL106" i="248"/>
  <c r="F105" i="196"/>
  <c r="DE100" i="196"/>
  <c r="EM99" i="196"/>
  <c r="DP103" i="196"/>
  <c r="DE101" i="196" l="1"/>
  <c r="EM100" i="196"/>
  <c r="EG105" i="196"/>
  <c r="CY106" i="196"/>
  <c r="DQ105" i="196" s="1"/>
  <c r="AL107" i="248"/>
  <c r="F106" i="196"/>
  <c r="AL108" i="248" l="1"/>
  <c r="CY107" i="196"/>
  <c r="DQ106" i="196" s="1"/>
  <c r="EG106" i="196"/>
  <c r="F107" i="196"/>
  <c r="F108" i="196" s="1"/>
  <c r="DE102" i="196"/>
  <c r="EM101" i="196"/>
  <c r="DE103" i="196" l="1"/>
  <c r="EM102" i="196"/>
  <c r="AL109" i="248"/>
  <c r="EG107" i="196"/>
  <c r="CY108" i="196"/>
  <c r="AL123" i="248" l="1"/>
  <c r="AL114" i="248"/>
  <c r="DE104" i="196"/>
  <c r="EM103" i="196"/>
  <c r="DQ107" i="196"/>
  <c r="EG108" i="196"/>
  <c r="CY109" i="196"/>
  <c r="DQ108" i="196" s="1"/>
  <c r="AK109" i="248"/>
  <c r="F109" i="196"/>
  <c r="AL115" i="248" l="1"/>
  <c r="DE105" i="196"/>
  <c r="EM104" i="196"/>
  <c r="AL110" i="248"/>
  <c r="AL116" i="248"/>
  <c r="AL117" i="248"/>
  <c r="AL119" i="248"/>
  <c r="AL113" i="248"/>
  <c r="AL120" i="248"/>
  <c r="AL118" i="248"/>
  <c r="AK106" i="248"/>
  <c r="AL121" i="248"/>
  <c r="AL112" i="248"/>
  <c r="AK107" i="248"/>
  <c r="EG109" i="196"/>
  <c r="AK108" i="248"/>
  <c r="AK114" i="248"/>
  <c r="AL122" i="248"/>
  <c r="AL111" i="248"/>
  <c r="F110" i="196" l="1"/>
  <c r="F111" i="196" s="1"/>
  <c r="F112" i="196" s="1"/>
  <c r="F113" i="196" s="1"/>
  <c r="F114" i="196" s="1"/>
  <c r="F115" i="196" s="1"/>
  <c r="F116" i="196" s="1"/>
  <c r="F117" i="196" s="1"/>
  <c r="F118" i="196" s="1"/>
  <c r="F119" i="196" s="1"/>
  <c r="F120" i="196" s="1"/>
  <c r="F121" i="196" s="1"/>
  <c r="F122" i="196" s="1"/>
  <c r="F123" i="196" s="1"/>
  <c r="CY110" i="196"/>
  <c r="EG110" i="196" s="1"/>
  <c r="AK113" i="248"/>
  <c r="AK111" i="248"/>
  <c r="AK105" i="248"/>
  <c r="E105" i="196"/>
  <c r="E106" i="196" s="1"/>
  <c r="E107" i="196" s="1"/>
  <c r="E108" i="196" s="1"/>
  <c r="E109" i="196" s="1"/>
  <c r="CX105" i="196"/>
  <c r="AK112" i="248"/>
  <c r="DE106" i="196"/>
  <c r="EM105" i="196"/>
  <c r="CY111" i="196"/>
  <c r="AK110" i="248"/>
  <c r="DQ109" i="196"/>
  <c r="DQ110" i="196" l="1"/>
  <c r="CY112" i="196"/>
  <c r="DQ111" i="196" s="1"/>
  <c r="EG111" i="196"/>
  <c r="EF105" i="196"/>
  <c r="CX106" i="196"/>
  <c r="DP104" i="196"/>
  <c r="E110" i="196"/>
  <c r="E111" i="196" s="1"/>
  <c r="E112" i="196" s="1"/>
  <c r="E113" i="196" s="1"/>
  <c r="E114" i="196" s="1"/>
  <c r="EM106" i="196"/>
  <c r="DE107" i="196"/>
  <c r="EF106" i="196" l="1"/>
  <c r="CX107" i="196"/>
  <c r="DP106" i="196" s="1"/>
  <c r="EM107" i="196"/>
  <c r="DE108" i="196"/>
  <c r="CY113" i="196"/>
  <c r="EG112" i="196"/>
  <c r="DP105" i="196"/>
  <c r="CY114" i="196" l="1"/>
  <c r="DQ113" i="196" s="1"/>
  <c r="EG113" i="196"/>
  <c r="EM108" i="196"/>
  <c r="DE109" i="196"/>
  <c r="EF107" i="196"/>
  <c r="CX108" i="196"/>
  <c r="DQ112" i="196"/>
  <c r="EM109" i="196" l="1"/>
  <c r="DE110" i="196"/>
  <c r="EG114" i="196"/>
  <c r="CY115" i="196"/>
  <c r="DQ114" i="196" s="1"/>
  <c r="CX109" i="196"/>
  <c r="DP108" i="196" s="1"/>
  <c r="EF108" i="196"/>
  <c r="DP107" i="196"/>
  <c r="CX110" i="196" l="1"/>
  <c r="DP109" i="196" s="1"/>
  <c r="EF109" i="196"/>
  <c r="EG115" i="196"/>
  <c r="CY116" i="196"/>
  <c r="DQ115" i="196" s="1"/>
  <c r="DE111" i="196"/>
  <c r="EM110" i="196"/>
  <c r="DE112" i="196" l="1"/>
  <c r="EM111" i="196"/>
  <c r="CY117" i="196"/>
  <c r="DQ116" i="196" s="1"/>
  <c r="EG116" i="196"/>
  <c r="CX111" i="196"/>
  <c r="DP110" i="196" s="1"/>
  <c r="EF110" i="196"/>
  <c r="CX112" i="196" l="1"/>
  <c r="DP111" i="196" s="1"/>
  <c r="EF111" i="196"/>
  <c r="CY118" i="196"/>
  <c r="EG117" i="196"/>
  <c r="DE113" i="196"/>
  <c r="EM112" i="196"/>
  <c r="CY119" i="196" l="1"/>
  <c r="DQ118" i="196" s="1"/>
  <c r="DQ117" i="196"/>
  <c r="EG118" i="196"/>
  <c r="DE114" i="196"/>
  <c r="EM113" i="196"/>
  <c r="CX113" i="196"/>
  <c r="EF112" i="196"/>
  <c r="DP112" i="196" l="1"/>
  <c r="EF113" i="196"/>
  <c r="CX114" i="196"/>
  <c r="DE115" i="196"/>
  <c r="EM114" i="196"/>
  <c r="CY120" i="196"/>
  <c r="EG119" i="196"/>
  <c r="DE116" i="196" l="1"/>
  <c r="EM115" i="196"/>
  <c r="EF114" i="196"/>
  <c r="EG120" i="196"/>
  <c r="CY121" i="196"/>
  <c r="DQ120" i="196" s="1"/>
  <c r="EG121" i="196" s="1"/>
  <c r="DP113" i="196"/>
  <c r="DQ119" i="196"/>
  <c r="CY122" i="196" l="1"/>
  <c r="DQ121" i="196" s="1"/>
  <c r="EM116" i="196"/>
  <c r="DE117" i="196"/>
  <c r="DE118" i="196" l="1"/>
  <c r="EM117" i="196"/>
  <c r="EG122" i="196"/>
  <c r="CY123" i="196"/>
  <c r="DQ122" i="196" s="1"/>
  <c r="EG123" i="196" s="1"/>
  <c r="DE119" i="196" l="1"/>
  <c r="EM118" i="196"/>
  <c r="DE120" i="196" l="1"/>
  <c r="EM119" i="196"/>
  <c r="DE121" i="196" l="1"/>
  <c r="EM120" i="196"/>
  <c r="DE122" i="196" l="1"/>
  <c r="EM121" i="196"/>
  <c r="DE123" i="196" l="1"/>
  <c r="EM122" i="196"/>
  <c r="EM123" i="196" l="1"/>
  <c r="AK123" i="248" l="1"/>
  <c r="AK119" i="248" l="1"/>
  <c r="AK117" i="248"/>
  <c r="AK120" i="248"/>
  <c r="AK116" i="248"/>
  <c r="AK122" i="248"/>
  <c r="AK121" i="248"/>
  <c r="AK118" i="248"/>
  <c r="AK115" i="248" l="1"/>
  <c r="E115" i="196"/>
  <c r="E116" i="196" s="1"/>
  <c r="E117" i="196" s="1"/>
  <c r="E118" i="196" s="1"/>
  <c r="E119" i="196" s="1"/>
  <c r="E120" i="196" s="1"/>
  <c r="E121" i="196" s="1"/>
  <c r="E122" i="196" s="1"/>
  <c r="E123" i="196" s="1"/>
  <c r="CX115" i="196"/>
  <c r="EF115" i="196" l="1"/>
  <c r="CX116" i="196"/>
  <c r="DP115" i="196" s="1"/>
  <c r="DP114" i="196"/>
  <c r="EF116" i="196" l="1"/>
  <c r="CX117" i="196"/>
  <c r="DP116" i="196" s="1"/>
  <c r="EF117" i="196" l="1"/>
  <c r="CX118" i="196"/>
  <c r="EF118" i="196" l="1"/>
  <c r="CX119" i="196"/>
  <c r="DP117" i="196"/>
  <c r="EF119" i="196" l="1"/>
  <c r="CX120" i="196"/>
  <c r="DP119" i="196" s="1"/>
  <c r="DP118" i="196"/>
  <c r="EF120" i="196" l="1"/>
  <c r="CX121" i="196"/>
  <c r="DP120" i="196" l="1"/>
  <c r="EF121" i="196"/>
  <c r="CX122" i="196"/>
  <c r="DP121" i="196" s="1"/>
  <c r="CX123" i="196" l="1"/>
  <c r="EF123" i="196" s="1"/>
  <c r="EF122" i="196"/>
  <c r="DP122" i="196" l="1"/>
  <c r="ES34" i="196" l="1"/>
  <c r="EV34" i="196" s="1"/>
  <c r="D34" i="261" s="1"/>
  <c r="F34" i="261" s="1"/>
  <c r="I34" i="261" s="1"/>
  <c r="R34" i="196"/>
  <c r="Z34" i="196" s="1"/>
  <c r="S34" i="196"/>
  <c r="AA34" i="196" s="1"/>
  <c r="AH34" i="196" s="1"/>
  <c r="R35" i="196" l="1"/>
  <c r="Z35" i="196" s="1"/>
  <c r="S35" i="196"/>
  <c r="AA35" i="196" s="1"/>
  <c r="ES35" i="196"/>
  <c r="EV35" i="196" s="1"/>
  <c r="S36" i="196" l="1"/>
  <c r="AA36" i="196" s="1"/>
  <c r="ES36" i="196"/>
  <c r="EV36" i="196" s="1"/>
  <c r="D36" i="261" s="1"/>
  <c r="F36" i="261" s="1"/>
  <c r="R36" i="196"/>
  <c r="Z36" i="196" s="1"/>
  <c r="ES37" i="196"/>
  <c r="R37" i="196"/>
  <c r="S37" i="196"/>
  <c r="D35" i="261"/>
  <c r="F35" i="261" s="1"/>
  <c r="I35" i="261" s="1"/>
  <c r="AH35" i="196"/>
  <c r="I36" i="261" l="1"/>
  <c r="AA37" i="196"/>
  <c r="AH36" i="196"/>
  <c r="AH37" i="196" s="1"/>
  <c r="AH38" i="196" s="1"/>
  <c r="AH39" i="196" s="1"/>
  <c r="AH40" i="196" s="1"/>
  <c r="AH41" i="196" s="1"/>
  <c r="AH42" i="196" s="1"/>
  <c r="AH43" i="196" s="1"/>
  <c r="AH44" i="196" s="1"/>
  <c r="AH45" i="196" s="1"/>
  <c r="AH46" i="196" s="1"/>
  <c r="AH47" i="196" s="1"/>
  <c r="AH48" i="196" s="1"/>
  <c r="AH49" i="196" s="1"/>
  <c r="AH50" i="196" s="1"/>
  <c r="AH51" i="196" s="1"/>
  <c r="AH52" i="196" s="1"/>
  <c r="AH53" i="196" s="1"/>
  <c r="AH54" i="196" s="1"/>
  <c r="AH55" i="196" s="1"/>
  <c r="AH56" i="196" s="1"/>
  <c r="AH57" i="196" s="1"/>
  <c r="AH58" i="196" s="1"/>
  <c r="AH59" i="196" s="1"/>
  <c r="AH60" i="196" s="1"/>
  <c r="AH61" i="196" s="1"/>
  <c r="AH62" i="196" s="1"/>
  <c r="AH63" i="196" s="1"/>
  <c r="AH64" i="196" s="1"/>
  <c r="AH65" i="196" s="1"/>
  <c r="AH66" i="196" s="1"/>
  <c r="AH67" i="196" s="1"/>
  <c r="AH68" i="196" s="1"/>
  <c r="AH69" i="196" s="1"/>
  <c r="AH70" i="196" s="1"/>
  <c r="AH71" i="196" s="1"/>
  <c r="AH72" i="196" s="1"/>
  <c r="AH73" i="196" s="1"/>
  <c r="Z37" i="196"/>
  <c r="R38" i="196"/>
  <c r="ES38" i="196"/>
  <c r="S38" i="196"/>
  <c r="EV37" i="196"/>
  <c r="D37" i="261" s="1"/>
  <c r="F37" i="261" s="1"/>
  <c r="I37" i="261" s="1"/>
  <c r="AA38" i="196" l="1"/>
  <c r="S39" i="196"/>
  <c r="R39" i="196"/>
  <c r="ES39" i="196"/>
  <c r="EV38" i="196"/>
  <c r="D38" i="261" s="1"/>
  <c r="F38" i="261" s="1"/>
  <c r="I38" i="261" s="1"/>
  <c r="Z38" i="196"/>
  <c r="AA39" i="196" l="1"/>
  <c r="EV39" i="196"/>
  <c r="D39" i="261" s="1"/>
  <c r="F39" i="261" s="1"/>
  <c r="I39" i="261" s="1"/>
  <c r="S40" i="196"/>
  <c r="ES40" i="196"/>
  <c r="R40" i="196"/>
  <c r="Z39" i="196"/>
  <c r="AA40" i="196" l="1"/>
  <c r="Z40" i="196"/>
  <c r="S41" i="196"/>
  <c r="ES41" i="196"/>
  <c r="R41" i="196"/>
  <c r="EV40" i="196"/>
  <c r="D40" i="261" s="1"/>
  <c r="F40" i="261" s="1"/>
  <c r="I40" i="261" s="1"/>
  <c r="AA41" i="196" l="1"/>
  <c r="S42" i="196"/>
  <c r="R42" i="196"/>
  <c r="ES42" i="196"/>
  <c r="Z41" i="196"/>
  <c r="EV41" i="196"/>
  <c r="D41" i="261" s="1"/>
  <c r="F41" i="261" s="1"/>
  <c r="I41" i="261" s="1"/>
  <c r="AA42" i="196" l="1"/>
  <c r="R43" i="196"/>
  <c r="S43" i="196"/>
  <c r="ES43" i="196"/>
  <c r="EV42" i="196"/>
  <c r="D42" i="261" s="1"/>
  <c r="F42" i="261" s="1"/>
  <c r="I42" i="261" s="1"/>
  <c r="Z42" i="196"/>
  <c r="AA43" i="196" l="1"/>
  <c r="EV43" i="196"/>
  <c r="D43" i="261" s="1"/>
  <c r="F43" i="261" s="1"/>
  <c r="I43" i="261" s="1"/>
  <c r="S44" i="196"/>
  <c r="ES44" i="196"/>
  <c r="R44" i="196"/>
  <c r="Z43" i="196"/>
  <c r="AA44" i="196" l="1"/>
  <c r="Z44" i="196"/>
  <c r="S45" i="196"/>
  <c r="R45" i="196"/>
  <c r="ES45" i="196"/>
  <c r="EV44" i="196"/>
  <c r="D44" i="261" s="1"/>
  <c r="F44" i="261" s="1"/>
  <c r="I44" i="261" s="1"/>
  <c r="AA45" i="196" l="1"/>
  <c r="EV45" i="196"/>
  <c r="D45" i="261" s="1"/>
  <c r="F45" i="261" s="1"/>
  <c r="I45" i="261" s="1"/>
  <c r="ES46" i="196"/>
  <c r="S46" i="196"/>
  <c r="R46" i="196"/>
  <c r="Z45" i="196"/>
  <c r="AA46" i="196" l="1"/>
  <c r="S47" i="196"/>
  <c r="ES47" i="196"/>
  <c r="R47" i="196"/>
  <c r="Z46" i="196"/>
  <c r="EV46" i="196"/>
  <c r="D46" i="261" s="1"/>
  <c r="F46" i="261" s="1"/>
  <c r="I46" i="261" s="1"/>
  <c r="AA47" i="196" l="1"/>
  <c r="S48" i="196"/>
  <c r="ES48" i="196"/>
  <c r="R48" i="196"/>
  <c r="Z47" i="196"/>
  <c r="EV47" i="196"/>
  <c r="D47" i="261" s="1"/>
  <c r="F47" i="261" s="1"/>
  <c r="I47" i="261" s="1"/>
  <c r="AA48" i="196" l="1"/>
  <c r="Z48" i="196"/>
  <c r="ES49" i="196"/>
  <c r="R49" i="196"/>
  <c r="S49" i="196"/>
  <c r="EV48" i="196"/>
  <c r="D48" i="261" s="1"/>
  <c r="F48" i="261" s="1"/>
  <c r="I48" i="261" s="1"/>
  <c r="AA49" i="196" l="1"/>
  <c r="Z49" i="196"/>
  <c r="S50" i="196"/>
  <c r="R50" i="196"/>
  <c r="ES50" i="196"/>
  <c r="EV49" i="196"/>
  <c r="D49" i="261" s="1"/>
  <c r="F49" i="261" s="1"/>
  <c r="I49" i="261" s="1"/>
  <c r="AA50" i="196" l="1"/>
  <c r="EV50" i="196"/>
  <c r="D50" i="261" s="1"/>
  <c r="F50" i="261" s="1"/>
  <c r="I50" i="261" s="1"/>
  <c r="Z50" i="196"/>
  <c r="ES51" i="196"/>
  <c r="R51" i="196"/>
  <c r="S51" i="196"/>
  <c r="AA51" i="196" l="1"/>
  <c r="EV51" i="196"/>
  <c r="D51" i="261" s="1"/>
  <c r="F51" i="261" s="1"/>
  <c r="I51" i="261" s="1"/>
  <c r="Z51" i="196"/>
  <c r="S52" i="196"/>
  <c r="ES52" i="196"/>
  <c r="R52" i="196"/>
  <c r="AA52" i="196" l="1"/>
  <c r="EV52" i="196"/>
  <c r="D52" i="261" s="1"/>
  <c r="F52" i="261" s="1"/>
  <c r="I52" i="261" s="1"/>
  <c r="ES53" i="196"/>
  <c r="S53" i="196"/>
  <c r="R53" i="196"/>
  <c r="Z52" i="196"/>
  <c r="AA53" i="196" l="1"/>
  <c r="EV53" i="196"/>
  <c r="D53" i="261" s="1"/>
  <c r="F53" i="261" s="1"/>
  <c r="I53" i="261" s="1"/>
  <c r="Z53" i="196"/>
  <c r="R54" i="196"/>
  <c r="S54" i="196"/>
  <c r="ES54" i="196"/>
  <c r="AA54" i="196" l="1"/>
  <c r="EV54" i="196"/>
  <c r="D54" i="261" s="1"/>
  <c r="F54" i="261" s="1"/>
  <c r="I54" i="261" s="1"/>
  <c r="S55" i="196"/>
  <c r="ES55" i="196"/>
  <c r="R55" i="196"/>
  <c r="Z54" i="196"/>
  <c r="AA55" i="196" l="1"/>
  <c r="EV55" i="196"/>
  <c r="D55" i="261" s="1"/>
  <c r="F55" i="261" s="1"/>
  <c r="I55" i="261" s="1"/>
  <c r="Z55" i="196"/>
  <c r="ES56" i="196"/>
  <c r="S56" i="196"/>
  <c r="R56" i="196"/>
  <c r="AA56" i="196" l="1"/>
  <c r="EV56" i="196"/>
  <c r="D56" i="261" s="1"/>
  <c r="F56" i="261" s="1"/>
  <c r="I56" i="261" s="1"/>
  <c r="Z56" i="196"/>
  <c r="S57" i="196"/>
  <c r="R57" i="196"/>
  <c r="ES57" i="196"/>
  <c r="AA57" i="196" l="1"/>
  <c r="EV57" i="196"/>
  <c r="D57" i="261" s="1"/>
  <c r="F57" i="261" s="1"/>
  <c r="I57" i="261" s="1"/>
  <c r="Z57" i="196"/>
  <c r="R58" i="196"/>
  <c r="S58" i="196"/>
  <c r="ES58" i="196"/>
  <c r="AA58" i="196" l="1"/>
  <c r="EV58" i="196"/>
  <c r="D58" i="261" s="1"/>
  <c r="F58" i="261" s="1"/>
  <c r="I58" i="261" s="1"/>
  <c r="Z58" i="196"/>
  <c r="R59" i="196"/>
  <c r="S59" i="196"/>
  <c r="ES59" i="196"/>
  <c r="AA59" i="196" l="1"/>
  <c r="EV59" i="196"/>
  <c r="D59" i="261" s="1"/>
  <c r="F59" i="261" s="1"/>
  <c r="I59" i="261" s="1"/>
  <c r="S60" i="196"/>
  <c r="ES60" i="196"/>
  <c r="R60" i="196"/>
  <c r="Z59" i="196"/>
  <c r="AA60" i="196" l="1"/>
  <c r="EV60" i="196"/>
  <c r="D60" i="261" s="1"/>
  <c r="F60" i="261" s="1"/>
  <c r="I60" i="261" s="1"/>
  <c r="ES61" i="196"/>
  <c r="R61" i="196"/>
  <c r="S61" i="196"/>
  <c r="Z60" i="196"/>
  <c r="AA61" i="196" l="1"/>
  <c r="EV61" i="196"/>
  <c r="D61" i="261" s="1"/>
  <c r="F61" i="261" s="1"/>
  <c r="I61" i="261" s="1"/>
  <c r="Z61" i="196"/>
  <c r="S62" i="196"/>
  <c r="ES62" i="196"/>
  <c r="R62" i="196"/>
  <c r="AA62" i="196" l="1"/>
  <c r="EV62" i="196"/>
  <c r="D62" i="261" s="1"/>
  <c r="F62" i="261" s="1"/>
  <c r="I62" i="261" s="1"/>
  <c r="Z62" i="196"/>
  <c r="S63" i="196"/>
  <c r="ES63" i="196"/>
  <c r="R63" i="196"/>
  <c r="AA63" i="196" l="1"/>
  <c r="EV63" i="196"/>
  <c r="D63" i="261" s="1"/>
  <c r="F63" i="261" s="1"/>
  <c r="I63" i="261" s="1"/>
  <c r="S64" i="196"/>
  <c r="R64" i="196"/>
  <c r="ES64" i="196"/>
  <c r="Z63" i="196"/>
  <c r="AA64" i="196" l="1"/>
  <c r="EV64" i="196"/>
  <c r="D64" i="261" s="1"/>
  <c r="F64" i="261" s="1"/>
  <c r="I64" i="261" s="1"/>
  <c r="R65" i="196"/>
  <c r="S65" i="196"/>
  <c r="ES65" i="196"/>
  <c r="Z64" i="196"/>
  <c r="AA65" i="196" l="1"/>
  <c r="EV65" i="196"/>
  <c r="D65" i="261" s="1"/>
  <c r="F65" i="261" s="1"/>
  <c r="I65" i="261" s="1"/>
  <c r="R66" i="196"/>
  <c r="ES66" i="196"/>
  <c r="S66" i="196"/>
  <c r="Z65" i="196"/>
  <c r="AA66" i="196" l="1"/>
  <c r="EV66" i="196"/>
  <c r="D66" i="261" s="1"/>
  <c r="F66" i="261" s="1"/>
  <c r="I66" i="261" s="1"/>
  <c r="S67" i="196"/>
  <c r="R67" i="196"/>
  <c r="ES67" i="196"/>
  <c r="Z66" i="196"/>
  <c r="AA67" i="196" l="1"/>
  <c r="EV67" i="196"/>
  <c r="D67" i="261" s="1"/>
  <c r="F67" i="261" s="1"/>
  <c r="I67" i="261" s="1"/>
  <c r="S68" i="196"/>
  <c r="ES68" i="196"/>
  <c r="R68" i="196"/>
  <c r="Z67" i="196"/>
  <c r="AA68" i="196" l="1"/>
  <c r="EV68" i="196"/>
  <c r="D68" i="261" s="1"/>
  <c r="F68" i="261" s="1"/>
  <c r="I68" i="261" s="1"/>
  <c r="Z68" i="196"/>
  <c r="ES69" i="196"/>
  <c r="R69" i="196"/>
  <c r="S69" i="196"/>
  <c r="AA69" i="196" l="1"/>
  <c r="EV69" i="196"/>
  <c r="D69" i="261" s="1"/>
  <c r="F69" i="261" s="1"/>
  <c r="I69" i="261" s="1"/>
  <c r="Z69" i="196"/>
  <c r="ES70" i="196"/>
  <c r="R70" i="196"/>
  <c r="S70" i="196"/>
  <c r="AA70" i="196" l="1"/>
  <c r="EV70" i="196"/>
  <c r="D70" i="261" s="1"/>
  <c r="F70" i="261" s="1"/>
  <c r="I70" i="261" s="1"/>
  <c r="Z70" i="196"/>
  <c r="S71" i="196"/>
  <c r="R71" i="196"/>
  <c r="ES71" i="196"/>
  <c r="AA71" i="196" l="1"/>
  <c r="EV71" i="196"/>
  <c r="D71" i="261" s="1"/>
  <c r="F71" i="261" s="1"/>
  <c r="I71" i="261" s="1"/>
  <c r="ES72" i="196"/>
  <c r="S72" i="196"/>
  <c r="R72" i="196"/>
  <c r="Z71" i="196"/>
  <c r="AA72" i="196" l="1"/>
  <c r="EV72" i="196"/>
  <c r="D72" i="261" s="1"/>
  <c r="F72" i="261" s="1"/>
  <c r="I72" i="261" s="1"/>
  <c r="Z72" i="196"/>
  <c r="ES73" i="196"/>
  <c r="R73" i="196"/>
  <c r="S73" i="196"/>
  <c r="AA73" i="196" l="1"/>
  <c r="EV73" i="196"/>
  <c r="D73" i="261" s="1"/>
  <c r="F73" i="261" s="1"/>
  <c r="I73" i="261" s="1"/>
  <c r="Z73" i="196"/>
  <c r="S83" i="196" l="1"/>
  <c r="ES83" i="196"/>
  <c r="R83" i="196"/>
  <c r="R84" i="196" l="1"/>
  <c r="S84" i="196"/>
  <c r="ES84" i="196"/>
  <c r="S85" i="196" l="1"/>
  <c r="R85" i="196"/>
  <c r="ES85" i="196"/>
  <c r="S86" i="196" l="1"/>
  <c r="R86" i="196"/>
  <c r="ES86" i="196"/>
  <c r="V88" i="196" l="1"/>
  <c r="U88" i="196" l="1"/>
  <c r="ES88" i="196"/>
  <c r="S88" i="196"/>
  <c r="R88" i="196"/>
  <c r="T88" i="196"/>
  <c r="AH87" i="248"/>
  <c r="ET87" i="196"/>
  <c r="AX87" i="248"/>
  <c r="AY87" i="248" s="1"/>
  <c r="B87" i="196"/>
  <c r="B88" i="196" s="1"/>
  <c r="CU87" i="196"/>
  <c r="T87" i="196"/>
  <c r="ES87" i="196"/>
  <c r="R87" i="196"/>
  <c r="U87" i="196"/>
  <c r="S87" i="196"/>
  <c r="V87" i="196"/>
  <c r="AD87" i="196" s="1"/>
  <c r="AD88" i="196" s="1"/>
  <c r="AH88" i="248"/>
  <c r="ET88" i="196"/>
  <c r="AX88" i="248"/>
  <c r="AB87" i="196" l="1"/>
  <c r="AB88" i="196" s="1"/>
  <c r="AC87" i="196"/>
  <c r="AC88" i="196" s="1"/>
  <c r="EC87" i="196"/>
  <c r="CU88" i="196"/>
  <c r="DM87" i="196" s="1"/>
  <c r="DM86" i="196"/>
  <c r="AY88" i="248"/>
  <c r="E87" i="261"/>
  <c r="EW87" i="196" l="1"/>
  <c r="EC88" i="196"/>
  <c r="E88" i="261"/>
  <c r="EW88" i="196" l="1"/>
  <c r="S91" i="196"/>
  <c r="AH92" i="248"/>
  <c r="ET92" i="196"/>
  <c r="AX92" i="248"/>
  <c r="AH91" i="248"/>
  <c r="ET91" i="196"/>
  <c r="AX91" i="248"/>
  <c r="ES91" i="196"/>
  <c r="T91" i="196" l="1"/>
  <c r="R91" i="196"/>
  <c r="T92" i="196"/>
  <c r="U92" i="196"/>
  <c r="ES92" i="196"/>
  <c r="V91" i="196"/>
  <c r="R92" i="196"/>
  <c r="U91" i="196"/>
  <c r="V93" i="196"/>
  <c r="V92" i="196"/>
  <c r="S92" i="196"/>
  <c r="T90" i="196"/>
  <c r="U90" i="196"/>
  <c r="ES90" i="196"/>
  <c r="R90" i="196"/>
  <c r="S90" i="196"/>
  <c r="V90" i="196"/>
  <c r="AH90" i="248"/>
  <c r="AX90" i="248"/>
  <c r="ET90" i="196"/>
  <c r="U93" i="196" l="1"/>
  <c r="S93" i="196"/>
  <c r="ES93" i="196"/>
  <c r="R93" i="196"/>
  <c r="AH94" i="248"/>
  <c r="ET94" i="196"/>
  <c r="AX94" i="248"/>
  <c r="AH93" i="248"/>
  <c r="ET93" i="196"/>
  <c r="AX93" i="248"/>
  <c r="AH89" i="248"/>
  <c r="ET89" i="196"/>
  <c r="AX89" i="248"/>
  <c r="AY89" i="248" s="1"/>
  <c r="B89" i="196"/>
  <c r="B90" i="196" s="1"/>
  <c r="B91" i="196" s="1"/>
  <c r="B92" i="196" s="1"/>
  <c r="B93" i="196" s="1"/>
  <c r="B94" i="196" s="1"/>
  <c r="CU89" i="196"/>
  <c r="S94" i="196"/>
  <c r="U94" i="196"/>
  <c r="ES94" i="196"/>
  <c r="T94" i="196"/>
  <c r="R94" i="196"/>
  <c r="V94" i="196"/>
  <c r="T93" i="196"/>
  <c r="U89" i="196"/>
  <c r="AC89" i="196" s="1"/>
  <c r="R89" i="196"/>
  <c r="T89" i="196"/>
  <c r="ES89" i="196"/>
  <c r="S89" i="196"/>
  <c r="V89" i="196"/>
  <c r="AD89" i="196" s="1"/>
  <c r="AC90" i="196" l="1"/>
  <c r="AC91" i="196" s="1"/>
  <c r="AC92" i="196" s="1"/>
  <c r="AC93" i="196" s="1"/>
  <c r="AC94" i="196" s="1"/>
  <c r="AD90" i="196"/>
  <c r="AD91" i="196" s="1"/>
  <c r="AD92" i="196" s="1"/>
  <c r="AD93" i="196" s="1"/>
  <c r="AD94" i="196" s="1"/>
  <c r="AB89" i="196"/>
  <c r="AB90" i="196" s="1"/>
  <c r="AB91" i="196" s="1"/>
  <c r="AB92" i="196" s="1"/>
  <c r="AB93" i="196" s="1"/>
  <c r="AB94" i="196" s="1"/>
  <c r="B95" i="196"/>
  <c r="W96" i="196"/>
  <c r="EC89" i="196"/>
  <c r="EW89" i="196" s="1"/>
  <c r="CU90" i="196"/>
  <c r="DM89" i="196" s="1"/>
  <c r="DM88" i="196"/>
  <c r="W30" i="196"/>
  <c r="W78" i="196"/>
  <c r="W65" i="196"/>
  <c r="W10" i="196"/>
  <c r="W73" i="196"/>
  <c r="W8" i="196"/>
  <c r="W43" i="196"/>
  <c r="W46" i="196"/>
  <c r="W47" i="196"/>
  <c r="W18" i="196"/>
  <c r="W82" i="196"/>
  <c r="W58" i="196"/>
  <c r="W53" i="196"/>
  <c r="W69" i="196"/>
  <c r="W51" i="196"/>
  <c r="W70" i="196"/>
  <c r="W25" i="196"/>
  <c r="W88" i="196"/>
  <c r="W39" i="196"/>
  <c r="W50" i="196"/>
  <c r="W34" i="196"/>
  <c r="W33" i="196"/>
  <c r="W52" i="196"/>
  <c r="W41" i="196"/>
  <c r="W38" i="196"/>
  <c r="W21" i="196"/>
  <c r="W75" i="196"/>
  <c r="W56" i="196"/>
  <c r="W13" i="196"/>
  <c r="W94" i="196"/>
  <c r="W19" i="196"/>
  <c r="W64" i="196"/>
  <c r="W95" i="196"/>
  <c r="W28" i="196"/>
  <c r="W22" i="196"/>
  <c r="W86" i="196"/>
  <c r="W11" i="196"/>
  <c r="W4" i="196"/>
  <c r="W14" i="196"/>
  <c r="W61" i="196"/>
  <c r="W48" i="196"/>
  <c r="W23" i="196"/>
  <c r="W35" i="196"/>
  <c r="W72" i="196"/>
  <c r="W45" i="196"/>
  <c r="W63" i="196"/>
  <c r="W44" i="196"/>
  <c r="W37" i="196"/>
  <c r="W16" i="196"/>
  <c r="W55" i="196"/>
  <c r="W9" i="196"/>
  <c r="W67" i="196"/>
  <c r="W62" i="196"/>
  <c r="W7" i="196"/>
  <c r="W36" i="196"/>
  <c r="W42" i="196"/>
  <c r="W85" i="196"/>
  <c r="W20" i="196"/>
  <c r="W15" i="196"/>
  <c r="W68" i="196"/>
  <c r="W17" i="196"/>
  <c r="W93" i="196"/>
  <c r="W27" i="196"/>
  <c r="W59" i="196"/>
  <c r="W6" i="196"/>
  <c r="W31" i="196"/>
  <c r="W66" i="196"/>
  <c r="W77" i="196"/>
  <c r="W57" i="196"/>
  <c r="W54" i="196"/>
  <c r="W71" i="196"/>
  <c r="W3" i="196"/>
  <c r="W83" i="196"/>
  <c r="W29" i="196"/>
  <c r="W49" i="196"/>
  <c r="W81" i="196"/>
  <c r="W40" i="196"/>
  <c r="W89" i="196"/>
  <c r="W80" i="196"/>
  <c r="W79" i="196"/>
  <c r="W60" i="196"/>
  <c r="W84" i="196"/>
  <c r="W90" i="196"/>
  <c r="W91" i="196"/>
  <c r="W5" i="196"/>
  <c r="W26" i="196"/>
  <c r="W24" i="196"/>
  <c r="W12" i="196"/>
  <c r="W76" i="196"/>
  <c r="W74" i="196"/>
  <c r="W92" i="196"/>
  <c r="W32" i="196"/>
  <c r="W87" i="196"/>
  <c r="E89" i="261"/>
  <c r="AY90" i="248"/>
  <c r="B96" i="196" l="1"/>
  <c r="AE4" i="196"/>
  <c r="AE5" i="196" s="1"/>
  <c r="AE6" i="196" s="1"/>
  <c r="AE7" i="196" s="1"/>
  <c r="AE8" i="196" s="1"/>
  <c r="AE9" i="196" s="1"/>
  <c r="AE10" i="196" s="1"/>
  <c r="AE11" i="196" s="1"/>
  <c r="AE12" i="196" s="1"/>
  <c r="AE13" i="196" s="1"/>
  <c r="AE14" i="196" s="1"/>
  <c r="AE15" i="196" s="1"/>
  <c r="AE16" i="196" s="1"/>
  <c r="AE17" i="196" s="1"/>
  <c r="AE18" i="196" s="1"/>
  <c r="AE19" i="196" s="1"/>
  <c r="AE20" i="196" s="1"/>
  <c r="AE21" i="196" s="1"/>
  <c r="AE22" i="196" s="1"/>
  <c r="AE23" i="196" s="1"/>
  <c r="AE24" i="196" s="1"/>
  <c r="AE25" i="196" s="1"/>
  <c r="AE26" i="196" s="1"/>
  <c r="AE27" i="196" s="1"/>
  <c r="AE28" i="196" s="1"/>
  <c r="AE29" i="196" s="1"/>
  <c r="AE30" i="196" s="1"/>
  <c r="AE31" i="196" s="1"/>
  <c r="AE32" i="196" s="1"/>
  <c r="AE33" i="196" s="1"/>
  <c r="AE34" i="196" s="1"/>
  <c r="AE35" i="196" s="1"/>
  <c r="AE36" i="196" s="1"/>
  <c r="AE37" i="196" s="1"/>
  <c r="AE38" i="196" s="1"/>
  <c r="AE39" i="196" s="1"/>
  <c r="AE40" i="196" s="1"/>
  <c r="AE41" i="196" s="1"/>
  <c r="AE42" i="196" s="1"/>
  <c r="AE43" i="196" s="1"/>
  <c r="AE44" i="196" s="1"/>
  <c r="AE45" i="196" s="1"/>
  <c r="AE46" i="196" s="1"/>
  <c r="AE47" i="196" s="1"/>
  <c r="AE48" i="196" s="1"/>
  <c r="AE49" i="196" s="1"/>
  <c r="AE50" i="196" s="1"/>
  <c r="AE51" i="196" s="1"/>
  <c r="AE52" i="196" s="1"/>
  <c r="AE53" i="196" s="1"/>
  <c r="AE54" i="196" s="1"/>
  <c r="AE55" i="196" s="1"/>
  <c r="AE56" i="196" s="1"/>
  <c r="AE57" i="196" s="1"/>
  <c r="AE58" i="196" s="1"/>
  <c r="AE59" i="196" s="1"/>
  <c r="AE60" i="196" s="1"/>
  <c r="AE61" i="196" s="1"/>
  <c r="AE62" i="196" s="1"/>
  <c r="AE63" i="196" s="1"/>
  <c r="AE64" i="196" s="1"/>
  <c r="AE65" i="196" s="1"/>
  <c r="AE66" i="196" s="1"/>
  <c r="AE67" i="196" s="1"/>
  <c r="AE68" i="196" s="1"/>
  <c r="AE69" i="196" s="1"/>
  <c r="AE70" i="196" s="1"/>
  <c r="AE71" i="196" s="1"/>
  <c r="AE72" i="196" s="1"/>
  <c r="AE73" i="196" s="1"/>
  <c r="AE74" i="196" s="1"/>
  <c r="AE75" i="196" s="1"/>
  <c r="AE76" i="196" s="1"/>
  <c r="AE77" i="196" s="1"/>
  <c r="AE78" i="196" s="1"/>
  <c r="AE79" i="196" s="1"/>
  <c r="AE80" i="196" s="1"/>
  <c r="AE81" i="196" s="1"/>
  <c r="AE82" i="196" s="1"/>
  <c r="AE83" i="196" s="1"/>
  <c r="AE84" i="196" s="1"/>
  <c r="AE85" i="196" s="1"/>
  <c r="AE86" i="196" s="1"/>
  <c r="AE87" i="196" s="1"/>
  <c r="AE88" i="196" s="1"/>
  <c r="AE89" i="196" s="1"/>
  <c r="AE90" i="196" s="1"/>
  <c r="AE91" i="196" s="1"/>
  <c r="AE92" i="196" s="1"/>
  <c r="AE93" i="196" s="1"/>
  <c r="AE94" i="196" s="1"/>
  <c r="AE95" i="196" s="1"/>
  <c r="AE96" i="196" s="1"/>
  <c r="AH95" i="248"/>
  <c r="ET95" i="196"/>
  <c r="AX95" i="248"/>
  <c r="EC90" i="196"/>
  <c r="EW90" i="196" s="1"/>
  <c r="CU91" i="196"/>
  <c r="U96" i="196"/>
  <c r="ES96" i="196"/>
  <c r="S96" i="196"/>
  <c r="T96" i="196"/>
  <c r="R96" i="196"/>
  <c r="V96" i="196"/>
  <c r="ES95" i="196"/>
  <c r="R95" i="196"/>
  <c r="T95" i="196"/>
  <c r="AB95" i="196" s="1"/>
  <c r="S95" i="196"/>
  <c r="U95" i="196"/>
  <c r="AC95" i="196" s="1"/>
  <c r="V95" i="196"/>
  <c r="AD95" i="196" s="1"/>
  <c r="AY91" i="248"/>
  <c r="E90" i="261"/>
  <c r="AH96" i="248"/>
  <c r="ET96" i="196"/>
  <c r="AX96" i="248"/>
  <c r="AB96" i="196" l="1"/>
  <c r="AC96" i="196"/>
  <c r="AD96" i="196"/>
  <c r="AH74" i="196"/>
  <c r="AH75" i="196" s="1"/>
  <c r="AH76" i="196" s="1"/>
  <c r="AH77" i="196" s="1"/>
  <c r="AH78" i="196" s="1"/>
  <c r="AH79" i="196" s="1"/>
  <c r="AH80" i="196" s="1"/>
  <c r="AH81" i="196" s="1"/>
  <c r="AH82" i="196" s="1"/>
  <c r="AH83" i="196" s="1"/>
  <c r="AH84" i="196" s="1"/>
  <c r="AH85" i="196" s="1"/>
  <c r="AH86" i="196" s="1"/>
  <c r="AH87" i="196" s="1"/>
  <c r="AH88" i="196" s="1"/>
  <c r="AH89" i="196" s="1"/>
  <c r="AH90" i="196" s="1"/>
  <c r="AH91" i="196" s="1"/>
  <c r="AH92" i="196" s="1"/>
  <c r="AH93" i="196" s="1"/>
  <c r="AH94" i="196" s="1"/>
  <c r="V97" i="196"/>
  <c r="W97" i="196"/>
  <c r="DM90" i="196"/>
  <c r="CU92" i="196"/>
  <c r="DM91" i="196" s="1"/>
  <c r="EC91" i="196"/>
  <c r="EW91" i="196" s="1"/>
  <c r="E91" i="261"/>
  <c r="AY92" i="248"/>
  <c r="T97" i="196" l="1"/>
  <c r="S97" i="196"/>
  <c r="R97" i="196"/>
  <c r="EC92" i="196"/>
  <c r="EW92" i="196" s="1"/>
  <c r="CU93" i="196"/>
  <c r="DM92" i="196" s="1"/>
  <c r="AH97" i="248"/>
  <c r="AX97" i="248"/>
  <c r="ET97" i="196"/>
  <c r="B97" i="196"/>
  <c r="U98" i="196"/>
  <c r="S98" i="196"/>
  <c r="ES98" i="196"/>
  <c r="T98" i="196"/>
  <c r="R98" i="196"/>
  <c r="V98" i="196"/>
  <c r="W98" i="196"/>
  <c r="AY93" i="248"/>
  <c r="E92" i="261"/>
  <c r="ES97" i="196"/>
  <c r="U97" i="196"/>
  <c r="AH98" i="248"/>
  <c r="ET98" i="196"/>
  <c r="AX98" i="248"/>
  <c r="AC97" i="196" l="1"/>
  <c r="E93" i="261"/>
  <c r="AY94" i="248"/>
  <c r="EC93" i="196"/>
  <c r="EW93" i="196" s="1"/>
  <c r="CU94" i="196"/>
  <c r="DM93" i="196" s="1"/>
  <c r="B98" i="196"/>
  <c r="AD97" i="196"/>
  <c r="AD98" i="196" s="1"/>
  <c r="AE97" i="196"/>
  <c r="AB97" i="196"/>
  <c r="AB98" i="196" l="1"/>
  <c r="AC98" i="196"/>
  <c r="U100" i="196"/>
  <c r="AX100" i="248"/>
  <c r="V100" i="196"/>
  <c r="W100" i="196"/>
  <c r="EC94" i="196"/>
  <c r="EW94" i="196" s="1"/>
  <c r="CU95" i="196"/>
  <c r="E94" i="261"/>
  <c r="AY95" i="248"/>
  <c r="AE98" i="196"/>
  <c r="B99" i="196"/>
  <c r="S100" i="196" l="1"/>
  <c r="B100" i="196"/>
  <c r="ET100" i="196"/>
  <c r="AH100" i="248"/>
  <c r="T100" i="196"/>
  <c r="R100" i="196"/>
  <c r="AY96" i="248"/>
  <c r="E95" i="261"/>
  <c r="ES100" i="196"/>
  <c r="T99" i="196"/>
  <c r="AB99" i="196" s="1"/>
  <c r="S99" i="196"/>
  <c r="ES99" i="196"/>
  <c r="R99" i="196"/>
  <c r="U99" i="196"/>
  <c r="AC99" i="196" s="1"/>
  <c r="V99" i="196"/>
  <c r="AD99" i="196" s="1"/>
  <c r="AD100" i="196" s="1"/>
  <c r="W99" i="196"/>
  <c r="AE99" i="196" s="1"/>
  <c r="AE100" i="196" s="1"/>
  <c r="DM94" i="196"/>
  <c r="CU96" i="196"/>
  <c r="DM95" i="196" s="1"/>
  <c r="EC95" i="196"/>
  <c r="EW95" i="196" s="1"/>
  <c r="AH99" i="248"/>
  <c r="ET99" i="196"/>
  <c r="AX99" i="248"/>
  <c r="AB100" i="196" l="1"/>
  <c r="AC100" i="196"/>
  <c r="W102" i="196"/>
  <c r="AH102" i="248"/>
  <c r="ES101" i="196"/>
  <c r="U101" i="196"/>
  <c r="T101" i="196"/>
  <c r="S101" i="196"/>
  <c r="R101" i="196"/>
  <c r="V101" i="196"/>
  <c r="W101" i="196"/>
  <c r="EC96" i="196"/>
  <c r="EW96" i="196" s="1"/>
  <c r="CU97" i="196"/>
  <c r="E96" i="261"/>
  <c r="AY97" i="248"/>
  <c r="T102" i="196"/>
  <c r="V102" i="196"/>
  <c r="U102" i="196" l="1"/>
  <c r="AX102" i="248"/>
  <c r="ET102" i="196"/>
  <c r="S102" i="196"/>
  <c r="B101" i="196"/>
  <c r="AH101" i="248"/>
  <c r="ET101" i="196"/>
  <c r="AX101" i="248"/>
  <c r="R102" i="196"/>
  <c r="DM96" i="196"/>
  <c r="CU98" i="196"/>
  <c r="DM97" i="196" s="1"/>
  <c r="EC97" i="196"/>
  <c r="EW97" i="196" s="1"/>
  <c r="AY98" i="248"/>
  <c r="E97" i="261"/>
  <c r="ES102" i="196"/>
  <c r="V103" i="196" l="1"/>
  <c r="ES104" i="196"/>
  <c r="AD101" i="196"/>
  <c r="B102" i="196"/>
  <c r="AC101" i="196"/>
  <c r="AB101" i="196"/>
  <c r="AE101" i="196"/>
  <c r="U103" i="196"/>
  <c r="R103" i="196"/>
  <c r="ET104" i="196"/>
  <c r="W104" i="196"/>
  <c r="E98" i="261"/>
  <c r="AY99" i="248"/>
  <c r="EC98" i="196"/>
  <c r="EW98" i="196" s="1"/>
  <c r="CU99" i="196"/>
  <c r="DM98" i="196" s="1"/>
  <c r="W103" i="196"/>
  <c r="AD102" i="196" l="1"/>
  <c r="T104" i="196"/>
  <c r="AB102" i="196"/>
  <c r="S104" i="196"/>
  <c r="V104" i="196"/>
  <c r="U104" i="196"/>
  <c r="R104" i="196"/>
  <c r="AE102" i="196"/>
  <c r="AC102" i="196"/>
  <c r="ES103" i="196"/>
  <c r="T103" i="196"/>
  <c r="S103" i="196"/>
  <c r="AH103" i="248"/>
  <c r="ET103" i="196"/>
  <c r="AX103" i="248"/>
  <c r="B103" i="196"/>
  <c r="B104" i="196" s="1"/>
  <c r="AH104" i="248"/>
  <c r="AX104" i="248"/>
  <c r="EC99" i="196"/>
  <c r="EW99" i="196" s="1"/>
  <c r="CU100" i="196"/>
  <c r="E99" i="261"/>
  <c r="AY100" i="248"/>
  <c r="AE103" i="196" l="1"/>
  <c r="AE104" i="196" s="1"/>
  <c r="AC103" i="196"/>
  <c r="AC104" i="196" s="1"/>
  <c r="AD103" i="196"/>
  <c r="AD104" i="196" s="1"/>
  <c r="AB103" i="196"/>
  <c r="AB104" i="196" s="1"/>
  <c r="DM99" i="196"/>
  <c r="EC100" i="196"/>
  <c r="EW100" i="196" s="1"/>
  <c r="CU101" i="196"/>
  <c r="DM100" i="196" s="1"/>
  <c r="AY101" i="248"/>
  <c r="E100" i="261"/>
  <c r="EC101" i="196" l="1"/>
  <c r="EW101" i="196" s="1"/>
  <c r="CU102" i="196"/>
  <c r="AY102" i="248"/>
  <c r="E101" i="261"/>
  <c r="AY103" i="248" l="1"/>
  <c r="E102" i="261"/>
  <c r="DM101" i="196"/>
  <c r="EC102" i="196"/>
  <c r="EW102" i="196" s="1"/>
  <c r="CU103" i="196"/>
  <c r="V109" i="196" l="1"/>
  <c r="AH109" i="248"/>
  <c r="ET109" i="196"/>
  <c r="AX109" i="248"/>
  <c r="CU104" i="196"/>
  <c r="DM103" i="196" s="1"/>
  <c r="EC103" i="196"/>
  <c r="EW103" i="196" s="1"/>
  <c r="E103" i="261"/>
  <c r="AY104" i="248"/>
  <c r="E104" i="261" s="1"/>
  <c r="DM102" i="196"/>
  <c r="T109" i="196"/>
  <c r="U109" i="196"/>
  <c r="W109" i="196"/>
  <c r="S109" i="196" l="1"/>
  <c r="R109" i="196"/>
  <c r="ES109" i="196"/>
  <c r="EC104" i="196"/>
  <c r="EW104" i="196" s="1"/>
  <c r="W108" i="196" l="1"/>
  <c r="U108" i="196"/>
  <c r="S108" i="196"/>
  <c r="T108" i="196"/>
  <c r="R108" i="196"/>
  <c r="ES108" i="196"/>
  <c r="V108" i="196"/>
  <c r="AH108" i="248"/>
  <c r="AX108" i="248"/>
  <c r="ET108" i="196"/>
  <c r="U107" i="196" l="1"/>
  <c r="R107" i="196"/>
  <c r="ES107" i="196"/>
  <c r="S107" i="196"/>
  <c r="V107" i="196"/>
  <c r="W107" i="196"/>
  <c r="AH107" i="248"/>
  <c r="ET107" i="196"/>
  <c r="AX107" i="248"/>
  <c r="T107" i="196"/>
  <c r="AH106" i="248" l="1"/>
  <c r="AX106" i="248"/>
  <c r="ET106" i="196"/>
  <c r="U106" i="196"/>
  <c r="T106" i="196"/>
  <c r="R106" i="196"/>
  <c r="ES106" i="196"/>
  <c r="S106" i="196"/>
  <c r="V106" i="196"/>
  <c r="W106" i="196"/>
  <c r="V114" i="196" l="1"/>
  <c r="T105" i="196"/>
  <c r="R105" i="196"/>
  <c r="U105" i="196"/>
  <c r="S105" i="196"/>
  <c r="ES105" i="196"/>
  <c r="V105" i="196"/>
  <c r="W105" i="196"/>
  <c r="AH114" i="248"/>
  <c r="ET114" i="196"/>
  <c r="AX114" i="248"/>
  <c r="AH105" i="248"/>
  <c r="AX105" i="248"/>
  <c r="AY105" i="248" s="1"/>
  <c r="E105" i="261" s="1"/>
  <c r="ET105" i="196"/>
  <c r="B105" i="196"/>
  <c r="B106" i="196" s="1"/>
  <c r="B107" i="196" s="1"/>
  <c r="B108" i="196" s="1"/>
  <c r="B109" i="196" s="1"/>
  <c r="CU105" i="196"/>
  <c r="T114" i="196" l="1"/>
  <c r="W114" i="196"/>
  <c r="S114" i="196"/>
  <c r="AD105" i="196"/>
  <c r="AD106" i="196" s="1"/>
  <c r="AD107" i="196" s="1"/>
  <c r="AD108" i="196" s="1"/>
  <c r="AD109" i="196" s="1"/>
  <c r="ES114" i="196"/>
  <c r="AC105" i="196"/>
  <c r="AC106" i="196" s="1"/>
  <c r="AC107" i="196" s="1"/>
  <c r="AC108" i="196" s="1"/>
  <c r="AC109" i="196" s="1"/>
  <c r="R114" i="196"/>
  <c r="U114" i="196"/>
  <c r="AB105" i="196"/>
  <c r="AB106" i="196" s="1"/>
  <c r="AB107" i="196" s="1"/>
  <c r="AB108" i="196" s="1"/>
  <c r="AB109" i="196" s="1"/>
  <c r="U113" i="196"/>
  <c r="S113" i="196"/>
  <c r="T113" i="196"/>
  <c r="ES113" i="196"/>
  <c r="R113" i="196"/>
  <c r="V113" i="196"/>
  <c r="W113" i="196"/>
  <c r="AH113" i="248"/>
  <c r="ET113" i="196"/>
  <c r="AX113" i="248"/>
  <c r="AY106" i="248"/>
  <c r="EC105" i="196"/>
  <c r="CU106" i="196"/>
  <c r="DM105" i="196" s="1"/>
  <c r="DM104" i="196"/>
  <c r="AE105" i="196"/>
  <c r="AE106" i="196" s="1"/>
  <c r="AE107" i="196" s="1"/>
  <c r="AE108" i="196" s="1"/>
  <c r="AE109" i="196" s="1"/>
  <c r="T112" i="196" l="1"/>
  <c r="E106" i="261"/>
  <c r="AY107" i="248"/>
  <c r="U115" i="196"/>
  <c r="ES115" i="196"/>
  <c r="R115" i="196"/>
  <c r="T115" i="196"/>
  <c r="S115" i="196"/>
  <c r="V115" i="196"/>
  <c r="W115" i="196"/>
  <c r="EW105" i="196"/>
  <c r="AH115" i="248"/>
  <c r="ET115" i="196"/>
  <c r="AX115" i="248"/>
  <c r="S116" i="196"/>
  <c r="CU107" i="196"/>
  <c r="DM106" i="196" s="1"/>
  <c r="EC106" i="196"/>
  <c r="U116" i="196"/>
  <c r="T116" i="196"/>
  <c r="R116" i="196"/>
  <c r="V116" i="196"/>
  <c r="W116" i="196"/>
  <c r="AH116" i="248"/>
  <c r="AX116" i="248"/>
  <c r="ET116" i="196"/>
  <c r="AH112" i="248"/>
  <c r="AX112" i="248"/>
  <c r="ET112" i="196"/>
  <c r="U112" i="196"/>
  <c r="R112" i="196"/>
  <c r="ES112" i="196"/>
  <c r="S112" i="196"/>
  <c r="V112" i="196"/>
  <c r="W112" i="196"/>
  <c r="EW106" i="196" l="1"/>
  <c r="AH117" i="248"/>
  <c r="ET117" i="196"/>
  <c r="AX117" i="248"/>
  <c r="AH111" i="248"/>
  <c r="AX111" i="248"/>
  <c r="ET111" i="196"/>
  <c r="EC107" i="196"/>
  <c r="CU108" i="196"/>
  <c r="E107" i="261"/>
  <c r="AY108" i="248"/>
  <c r="ES116" i="196"/>
  <c r="T111" i="196"/>
  <c r="U111" i="196"/>
  <c r="R111" i="196"/>
  <c r="ES111" i="196"/>
  <c r="S111" i="196"/>
  <c r="V111" i="196"/>
  <c r="W111" i="196"/>
  <c r="U117" i="196"/>
  <c r="R117" i="196"/>
  <c r="T117" i="196"/>
  <c r="S117" i="196"/>
  <c r="ES117" i="196"/>
  <c r="V117" i="196"/>
  <c r="W117" i="196"/>
  <c r="R118" i="196" l="1"/>
  <c r="CU109" i="196"/>
  <c r="EC108" i="196"/>
  <c r="AH118" i="248"/>
  <c r="AX118" i="248"/>
  <c r="ET118" i="196"/>
  <c r="AH110" i="248"/>
  <c r="ET110" i="196"/>
  <c r="AX110" i="248"/>
  <c r="B110" i="196"/>
  <c r="B111" i="196" s="1"/>
  <c r="B112" i="196" s="1"/>
  <c r="B113" i="196" s="1"/>
  <c r="B114" i="196" s="1"/>
  <c r="B115" i="196" s="1"/>
  <c r="B116" i="196" s="1"/>
  <c r="B117" i="196" s="1"/>
  <c r="B118" i="196" s="1"/>
  <c r="E108" i="261"/>
  <c r="AY109" i="248"/>
  <c r="E109" i="261" s="1"/>
  <c r="EW107" i="196"/>
  <c r="U118" i="196"/>
  <c r="T118" i="196"/>
  <c r="V118" i="196"/>
  <c r="W118" i="196"/>
  <c r="U110" i="196"/>
  <c r="ES110" i="196"/>
  <c r="T110" i="196"/>
  <c r="R110" i="196"/>
  <c r="S110" i="196"/>
  <c r="V110" i="196"/>
  <c r="W110" i="196"/>
  <c r="DM107" i="196"/>
  <c r="S118" i="196" l="1"/>
  <c r="ES118" i="196"/>
  <c r="AC110" i="196"/>
  <c r="AC111" i="196" s="1"/>
  <c r="AC112" i="196" s="1"/>
  <c r="AC113" i="196" s="1"/>
  <c r="AC114" i="196" s="1"/>
  <c r="AC115" i="196" s="1"/>
  <c r="AC116" i="196" s="1"/>
  <c r="AC117" i="196" s="1"/>
  <c r="AC118" i="196" s="1"/>
  <c r="EW108" i="196"/>
  <c r="AD110" i="196"/>
  <c r="AD111" i="196" s="1"/>
  <c r="AD112" i="196" s="1"/>
  <c r="AD113" i="196" s="1"/>
  <c r="AD114" i="196" s="1"/>
  <c r="AD115" i="196" s="1"/>
  <c r="AD116" i="196" s="1"/>
  <c r="AD117" i="196" s="1"/>
  <c r="AD118" i="196" s="1"/>
  <c r="AB110" i="196"/>
  <c r="AB111" i="196" s="1"/>
  <c r="AB112" i="196" s="1"/>
  <c r="AB113" i="196" s="1"/>
  <c r="AB114" i="196" s="1"/>
  <c r="AB115" i="196" s="1"/>
  <c r="AB116" i="196" s="1"/>
  <c r="AB117" i="196" s="1"/>
  <c r="AB118" i="196" s="1"/>
  <c r="B119" i="196"/>
  <c r="AY110" i="248"/>
  <c r="E110" i="261" s="1"/>
  <c r="U119" i="196"/>
  <c r="T119" i="196"/>
  <c r="R119" i="196"/>
  <c r="ES119" i="196"/>
  <c r="S119" i="196"/>
  <c r="V119" i="196"/>
  <c r="W119" i="196"/>
  <c r="AH119" i="248"/>
  <c r="ET119" i="196"/>
  <c r="AX119" i="248"/>
  <c r="DM108" i="196"/>
  <c r="EC109" i="196"/>
  <c r="CU110" i="196"/>
  <c r="AE110" i="196"/>
  <c r="AE111" i="196" s="1"/>
  <c r="AE112" i="196" s="1"/>
  <c r="AE113" i="196" s="1"/>
  <c r="AE114" i="196" s="1"/>
  <c r="AE115" i="196" s="1"/>
  <c r="AE116" i="196" s="1"/>
  <c r="AE117" i="196" s="1"/>
  <c r="AE118" i="196" s="1"/>
  <c r="AD119" i="196" l="1"/>
  <c r="AY111" i="248"/>
  <c r="AY112" i="248" s="1"/>
  <c r="B120" i="196"/>
  <c r="AC119" i="196"/>
  <c r="S120" i="196"/>
  <c r="AB119" i="196"/>
  <c r="U120" i="196"/>
  <c r="T120" i="196"/>
  <c r="V120" i="196"/>
  <c r="W120" i="196"/>
  <c r="DM109" i="196"/>
  <c r="EC110" i="196"/>
  <c r="CU111" i="196"/>
  <c r="E111" i="261"/>
  <c r="AH120" i="248"/>
  <c r="AX120" i="248"/>
  <c r="ET120" i="196"/>
  <c r="AE119" i="196"/>
  <c r="EW109" i="196"/>
  <c r="AD120" i="196" l="1"/>
  <c r="EW110" i="196"/>
  <c r="R120" i="196"/>
  <c r="AC120" i="196"/>
  <c r="ES120" i="196"/>
  <c r="AH121" i="248"/>
  <c r="ET121" i="196"/>
  <c r="AX121" i="248"/>
  <c r="AB120" i="196"/>
  <c r="AE120" i="196"/>
  <c r="E112" i="261"/>
  <c r="AY113" i="248"/>
  <c r="DM110" i="196"/>
  <c r="EC111" i="196"/>
  <c r="CU112" i="196"/>
  <c r="U121" i="196"/>
  <c r="ES121" i="196"/>
  <c r="R121" i="196"/>
  <c r="T121" i="196"/>
  <c r="S121" i="196"/>
  <c r="V121" i="196"/>
  <c r="W121" i="196"/>
  <c r="B121" i="196"/>
  <c r="B122" i="196" s="1"/>
  <c r="AD121" i="196" l="1"/>
  <c r="AC121" i="196"/>
  <c r="AE121" i="196"/>
  <c r="E113" i="261"/>
  <c r="AY114" i="248"/>
  <c r="U122" i="196"/>
  <c r="T122" i="196"/>
  <c r="R122" i="196"/>
  <c r="S122" i="196"/>
  <c r="ES122" i="196"/>
  <c r="V122" i="196"/>
  <c r="W122" i="196"/>
  <c r="AH122" i="248"/>
  <c r="AX122" i="248"/>
  <c r="ET122" i="196"/>
  <c r="B123" i="196"/>
  <c r="DM111" i="196"/>
  <c r="EC112" i="196"/>
  <c r="CU113" i="196"/>
  <c r="DM112" i="196" s="1"/>
  <c r="EW111" i="196"/>
  <c r="AB121" i="196"/>
  <c r="AD122" i="196" l="1"/>
  <c r="AC122" i="196"/>
  <c r="EW112" i="196"/>
  <c r="AE122" i="196"/>
  <c r="X59" i="196"/>
  <c r="X28" i="196"/>
  <c r="X90" i="196"/>
  <c r="X46" i="196"/>
  <c r="X56" i="196"/>
  <c r="X102" i="196"/>
  <c r="X24" i="196"/>
  <c r="X75" i="196"/>
  <c r="X44" i="196"/>
  <c r="X45" i="196"/>
  <c r="X76" i="196"/>
  <c r="X12" i="196"/>
  <c r="X80" i="196"/>
  <c r="X74" i="196"/>
  <c r="X101" i="196"/>
  <c r="X96" i="196"/>
  <c r="X110" i="196"/>
  <c r="X33" i="196"/>
  <c r="X3" i="196"/>
  <c r="X19" i="196"/>
  <c r="X53" i="196"/>
  <c r="X72" i="196"/>
  <c r="X103" i="196"/>
  <c r="X79" i="196"/>
  <c r="X29" i="196"/>
  <c r="X78" i="196"/>
  <c r="X40" i="196"/>
  <c r="X26" i="196"/>
  <c r="X88" i="196"/>
  <c r="X83" i="196"/>
  <c r="X109" i="196"/>
  <c r="X39" i="196"/>
  <c r="X108" i="196"/>
  <c r="X13" i="196"/>
  <c r="X42" i="196"/>
  <c r="X114" i="196"/>
  <c r="X94" i="196"/>
  <c r="X117" i="196"/>
  <c r="X9" i="196"/>
  <c r="X63" i="196"/>
  <c r="X15" i="196"/>
  <c r="X77" i="196"/>
  <c r="X93" i="196"/>
  <c r="X100" i="196"/>
  <c r="X27" i="196"/>
  <c r="X20" i="196"/>
  <c r="X47" i="196"/>
  <c r="X52" i="196"/>
  <c r="X35" i="196"/>
  <c r="X16" i="196"/>
  <c r="X17" i="196"/>
  <c r="X105" i="196"/>
  <c r="X55" i="196"/>
  <c r="X73" i="196"/>
  <c r="X6" i="196"/>
  <c r="X43" i="196"/>
  <c r="X121" i="196"/>
  <c r="X30" i="196"/>
  <c r="X23" i="196"/>
  <c r="X85" i="196"/>
  <c r="X112" i="196"/>
  <c r="X38" i="196"/>
  <c r="X118" i="196"/>
  <c r="X66" i="196"/>
  <c r="X51" i="196"/>
  <c r="X68" i="196"/>
  <c r="X81" i="196"/>
  <c r="X120" i="196"/>
  <c r="X86" i="196"/>
  <c r="X21" i="196"/>
  <c r="X70" i="196"/>
  <c r="X116" i="196"/>
  <c r="X32" i="196"/>
  <c r="X97" i="196"/>
  <c r="X82" i="196"/>
  <c r="X111" i="196"/>
  <c r="X50" i="196"/>
  <c r="X60" i="196"/>
  <c r="X87" i="196"/>
  <c r="X22" i="196"/>
  <c r="X54" i="196"/>
  <c r="X65" i="196"/>
  <c r="X48" i="196"/>
  <c r="X98" i="196"/>
  <c r="X5" i="196"/>
  <c r="X67" i="196"/>
  <c r="X36" i="196"/>
  <c r="X41" i="196"/>
  <c r="X104" i="196"/>
  <c r="X64" i="196"/>
  <c r="X8" i="196"/>
  <c r="X123" i="196"/>
  <c r="X91" i="196"/>
  <c r="X58" i="196"/>
  <c r="X14" i="196"/>
  <c r="X71" i="196"/>
  <c r="X84" i="196"/>
  <c r="X31" i="196"/>
  <c r="X37" i="196"/>
  <c r="X4" i="196"/>
  <c r="X34" i="196"/>
  <c r="X106" i="196"/>
  <c r="X92" i="196"/>
  <c r="X18" i="196"/>
  <c r="X57" i="196"/>
  <c r="X122" i="196"/>
  <c r="X95" i="196"/>
  <c r="X115" i="196"/>
  <c r="X119" i="196"/>
  <c r="X25" i="196"/>
  <c r="X113" i="196"/>
  <c r="X69" i="196"/>
  <c r="X49" i="196"/>
  <c r="X62" i="196"/>
  <c r="X107" i="196"/>
  <c r="X10" i="196"/>
  <c r="X89" i="196"/>
  <c r="X61" i="196"/>
  <c r="X99" i="196"/>
  <c r="X11" i="196"/>
  <c r="X7" i="196"/>
  <c r="U123" i="196"/>
  <c r="T123" i="196"/>
  <c r="S123" i="196"/>
  <c r="ES123" i="196"/>
  <c r="R123" i="196"/>
  <c r="V123" i="196"/>
  <c r="W123" i="196"/>
  <c r="E114" i="261"/>
  <c r="AY115" i="248"/>
  <c r="EC113" i="196"/>
  <c r="CU114" i="196"/>
  <c r="AX123" i="248"/>
  <c r="ET123" i="196"/>
  <c r="AB122" i="196"/>
  <c r="AD123" i="196" l="1"/>
  <c r="AC123" i="196"/>
  <c r="AE123" i="196"/>
  <c r="AF4" i="196"/>
  <c r="AF5" i="196" s="1"/>
  <c r="AF6" i="196" s="1"/>
  <c r="AF7" i="196" s="1"/>
  <c r="AF8" i="196" s="1"/>
  <c r="AF9" i="196" s="1"/>
  <c r="AF10" i="196" s="1"/>
  <c r="AF11" i="196" s="1"/>
  <c r="AF12" i="196" s="1"/>
  <c r="AF13" i="196" s="1"/>
  <c r="AF14" i="196" s="1"/>
  <c r="AF15" i="196" s="1"/>
  <c r="AF16" i="196" s="1"/>
  <c r="AF17" i="196" s="1"/>
  <c r="AF18" i="196" s="1"/>
  <c r="AF19" i="196" s="1"/>
  <c r="AF20" i="196" s="1"/>
  <c r="AF21" i="196" s="1"/>
  <c r="AF22" i="196" s="1"/>
  <c r="AF23" i="196" s="1"/>
  <c r="AF24" i="196" s="1"/>
  <c r="AF25" i="196" s="1"/>
  <c r="AF26" i="196" s="1"/>
  <c r="AF27" i="196" s="1"/>
  <c r="AF28" i="196" s="1"/>
  <c r="AF29" i="196" s="1"/>
  <c r="AF30" i="196" s="1"/>
  <c r="AF31" i="196" s="1"/>
  <c r="AF32" i="196" s="1"/>
  <c r="AF33" i="196" s="1"/>
  <c r="AF34" i="196" s="1"/>
  <c r="AF35" i="196" s="1"/>
  <c r="AF36" i="196" s="1"/>
  <c r="AF37" i="196" s="1"/>
  <c r="AF38" i="196" s="1"/>
  <c r="AF39" i="196" s="1"/>
  <c r="AF40" i="196" s="1"/>
  <c r="AF41" i="196" s="1"/>
  <c r="AF42" i="196" s="1"/>
  <c r="AF43" i="196" s="1"/>
  <c r="AF44" i="196" s="1"/>
  <c r="AF45" i="196" s="1"/>
  <c r="AF46" i="196" s="1"/>
  <c r="AF47" i="196" s="1"/>
  <c r="AF48" i="196" s="1"/>
  <c r="AF49" i="196" s="1"/>
  <c r="AF50" i="196" s="1"/>
  <c r="AF51" i="196" s="1"/>
  <c r="AF52" i="196" s="1"/>
  <c r="AF53" i="196" s="1"/>
  <c r="AF54" i="196" s="1"/>
  <c r="AF55" i="196" s="1"/>
  <c r="AF56" i="196" s="1"/>
  <c r="AF57" i="196" s="1"/>
  <c r="AF58" i="196" s="1"/>
  <c r="AF59" i="196" s="1"/>
  <c r="AF60" i="196" s="1"/>
  <c r="AF61" i="196" s="1"/>
  <c r="AF62" i="196" s="1"/>
  <c r="AF63" i="196" s="1"/>
  <c r="AF64" i="196" s="1"/>
  <c r="AF65" i="196" s="1"/>
  <c r="AF66" i="196" s="1"/>
  <c r="AF67" i="196" s="1"/>
  <c r="AF68" i="196" s="1"/>
  <c r="AF69" i="196" s="1"/>
  <c r="AF70" i="196" s="1"/>
  <c r="AF71" i="196" s="1"/>
  <c r="AF72" i="196" s="1"/>
  <c r="AF73" i="196" s="1"/>
  <c r="AF74" i="196" s="1"/>
  <c r="AF75" i="196" s="1"/>
  <c r="AF76" i="196" s="1"/>
  <c r="AF77" i="196" s="1"/>
  <c r="AF78" i="196" s="1"/>
  <c r="AF79" i="196" s="1"/>
  <c r="AF80" i="196" s="1"/>
  <c r="AF81" i="196" s="1"/>
  <c r="AF82" i="196" s="1"/>
  <c r="AF83" i="196" s="1"/>
  <c r="AF84" i="196" s="1"/>
  <c r="AF85" i="196" s="1"/>
  <c r="AF86" i="196" s="1"/>
  <c r="AF87" i="196" s="1"/>
  <c r="AF88" i="196" s="1"/>
  <c r="AF89" i="196" s="1"/>
  <c r="AF90" i="196" s="1"/>
  <c r="AF91" i="196" s="1"/>
  <c r="AF92" i="196" s="1"/>
  <c r="AF93" i="196" s="1"/>
  <c r="AF94" i="196" s="1"/>
  <c r="AF95" i="196" s="1"/>
  <c r="AF96" i="196" s="1"/>
  <c r="AF97" i="196" s="1"/>
  <c r="AF98" i="196" s="1"/>
  <c r="AF99" i="196" s="1"/>
  <c r="AF100" i="196" s="1"/>
  <c r="AF101" i="196" s="1"/>
  <c r="AF102" i="196" s="1"/>
  <c r="AF103" i="196" s="1"/>
  <c r="AF104" i="196" s="1"/>
  <c r="AF105" i="196" s="1"/>
  <c r="AF106" i="196" s="1"/>
  <c r="AF107" i="196" s="1"/>
  <c r="AF108" i="196" s="1"/>
  <c r="AF109" i="196" s="1"/>
  <c r="AF110" i="196" s="1"/>
  <c r="AF111" i="196" s="1"/>
  <c r="AF112" i="196" s="1"/>
  <c r="AF113" i="196" s="1"/>
  <c r="AF114" i="196" s="1"/>
  <c r="AF115" i="196" s="1"/>
  <c r="AF116" i="196" s="1"/>
  <c r="AF117" i="196" s="1"/>
  <c r="AF118" i="196" s="1"/>
  <c r="AF119" i="196" s="1"/>
  <c r="AF120" i="196" s="1"/>
  <c r="AF121" i="196" s="1"/>
  <c r="AF122" i="196" s="1"/>
  <c r="AF123" i="196" s="1"/>
  <c r="EW113" i="196"/>
  <c r="AB123" i="196"/>
  <c r="E115" i="261"/>
  <c r="AY116" i="248"/>
  <c r="DM113" i="196"/>
  <c r="EC114" i="196"/>
  <c r="CU115" i="196"/>
  <c r="DM114" i="196" s="1"/>
  <c r="EW114" i="196" l="1"/>
  <c r="AH95" i="196"/>
  <c r="AH96" i="196" s="1"/>
  <c r="AH97" i="196" s="1"/>
  <c r="AH98" i="196" s="1"/>
  <c r="AH99" i="196" s="1"/>
  <c r="AH100" i="196" s="1"/>
  <c r="AH101" i="196" s="1"/>
  <c r="AH102" i="196" s="1"/>
  <c r="AH103" i="196" s="1"/>
  <c r="AH104" i="196" s="1"/>
  <c r="AH105" i="196" s="1"/>
  <c r="AH106" i="196" s="1"/>
  <c r="AH107" i="196" s="1"/>
  <c r="AH108" i="196" s="1"/>
  <c r="AH109" i="196" s="1"/>
  <c r="AH110" i="196" s="1"/>
  <c r="AH111" i="196" s="1"/>
  <c r="AH112" i="196" s="1"/>
  <c r="AH113" i="196" s="1"/>
  <c r="AH114" i="196" s="1"/>
  <c r="AH115" i="196" s="1"/>
  <c r="AH116" i="196" s="1"/>
  <c r="AH117" i="196" s="1"/>
  <c r="AH118" i="196" s="1"/>
  <c r="AH119" i="196" s="1"/>
  <c r="AH120" i="196" s="1"/>
  <c r="AH121" i="196" s="1"/>
  <c r="AH122" i="196" s="1"/>
  <c r="AH123" i="196" s="1"/>
  <c r="EC115" i="196"/>
  <c r="CU116" i="196"/>
  <c r="E116" i="261"/>
  <c r="AY117" i="248"/>
  <c r="EW115" i="196" l="1"/>
  <c r="DM115" i="196"/>
  <c r="CU117" i="196"/>
  <c r="DM116" i="196" s="1"/>
  <c r="EC116" i="196"/>
  <c r="E117" i="261"/>
  <c r="AY118" i="248"/>
  <c r="EW116" i="196" l="1"/>
  <c r="E118" i="261"/>
  <c r="AY119" i="248"/>
  <c r="EC117" i="196"/>
  <c r="CU118" i="196"/>
  <c r="EW117" i="196" l="1"/>
  <c r="DM117" i="196"/>
  <c r="EC118" i="196"/>
  <c r="CU119" i="196"/>
  <c r="E119" i="261"/>
  <c r="AY120" i="248"/>
  <c r="EW118" i="196" l="1"/>
  <c r="E120" i="261"/>
  <c r="AY121" i="248"/>
  <c r="DM118" i="196"/>
  <c r="CU120" i="196"/>
  <c r="EC119" i="196"/>
  <c r="EW119" i="196" l="1"/>
  <c r="CU121" i="196"/>
  <c r="EC120" i="196"/>
  <c r="E121" i="261"/>
  <c r="AY122" i="248"/>
  <c r="DM119" i="196"/>
  <c r="EW120" i="196" l="1"/>
  <c r="E122" i="261"/>
  <c r="AY123" i="248"/>
  <c r="E123" i="261" s="1"/>
  <c r="DM120" i="196"/>
  <c r="EC121" i="196"/>
  <c r="CU122" i="196"/>
  <c r="DM121" i="196" s="1"/>
  <c r="EW121" i="196" l="1"/>
  <c r="EC122" i="196"/>
  <c r="CU123" i="196"/>
  <c r="EW122" i="196" l="1"/>
  <c r="DM122" i="196"/>
  <c r="EC123" i="196"/>
  <c r="EW123" i="196" l="1"/>
  <c r="S74" i="196" l="1"/>
  <c r="AA74" i="196" s="1"/>
  <c r="ES74" i="196"/>
  <c r="EV74" i="196" s="1"/>
  <c r="ES75" i="196" l="1"/>
  <c r="EV75" i="196" s="1"/>
  <c r="R75" i="196"/>
  <c r="S75" i="196"/>
  <c r="AA75" i="196" s="1"/>
  <c r="D74" i="261"/>
  <c r="F74" i="261" s="1"/>
  <c r="I74" i="261" s="1"/>
  <c r="R74" i="196"/>
  <c r="Z74" i="196" s="1"/>
  <c r="Z75" i="196" l="1"/>
  <c r="D75" i="261"/>
  <c r="F75" i="261" s="1"/>
  <c r="I75" i="261" s="1"/>
  <c r="ES76" i="196" l="1"/>
  <c r="EV76" i="196" s="1"/>
  <c r="S76" i="196"/>
  <c r="AA76" i="196" s="1"/>
  <c r="R76" i="196"/>
  <c r="Z76" i="196" s="1"/>
  <c r="D76" i="261" l="1"/>
  <c r="F76" i="261" s="1"/>
  <c r="I76" i="261" s="1"/>
  <c r="ES77" i="196"/>
  <c r="EV77" i="196" s="1"/>
  <c r="S77" i="196"/>
  <c r="AA77" i="196" s="1"/>
  <c r="R77" i="196"/>
  <c r="Z77" i="196" s="1"/>
  <c r="D77" i="261" l="1"/>
  <c r="F77" i="261" s="1"/>
  <c r="I77" i="261" s="1"/>
  <c r="ES78" i="196"/>
  <c r="EV78" i="196" s="1"/>
  <c r="R78" i="196"/>
  <c r="Z78" i="196" s="1"/>
  <c r="S78" i="196"/>
  <c r="AA78" i="196" s="1"/>
  <c r="ES79" i="196" l="1"/>
  <c r="EV79" i="196" s="1"/>
  <c r="S79" i="196"/>
  <c r="AA79" i="196" s="1"/>
  <c r="R79" i="196"/>
  <c r="Z79" i="196" s="1"/>
  <c r="D78" i="261"/>
  <c r="F78" i="261" s="1"/>
  <c r="I78" i="261" s="1"/>
  <c r="D79" i="261" l="1"/>
  <c r="F79" i="261" s="1"/>
  <c r="I79" i="261" s="1"/>
  <c r="R80" i="196"/>
  <c r="Z80" i="196" s="1"/>
  <c r="ES80" i="196"/>
  <c r="EV80" i="196" s="1"/>
  <c r="S80" i="196"/>
  <c r="AA80" i="196" s="1"/>
  <c r="D80" i="261" l="1"/>
  <c r="F80" i="261" s="1"/>
  <c r="I80" i="261" s="1"/>
  <c r="ES81" i="196"/>
  <c r="EV81" i="196" s="1"/>
  <c r="R81" i="196"/>
  <c r="Z81" i="196" s="1"/>
  <c r="S81" i="196"/>
  <c r="AA81" i="196" s="1"/>
  <c r="D81" i="261" l="1"/>
  <c r="F81" i="261" s="1"/>
  <c r="I81" i="261" s="1"/>
  <c r="R82" i="196"/>
  <c r="Z82" i="196" s="1"/>
  <c r="Z83" i="196" s="1"/>
  <c r="Z84" i="196" s="1"/>
  <c r="Z85" i="196" s="1"/>
  <c r="Z86" i="196" s="1"/>
  <c r="Z87" i="196" s="1"/>
  <c r="Z88" i="196" s="1"/>
  <c r="Z89" i="196" s="1"/>
  <c r="Z90" i="196" s="1"/>
  <c r="Z91" i="196" s="1"/>
  <c r="Z92" i="196" s="1"/>
  <c r="Z93" i="196" s="1"/>
  <c r="Z94" i="196" s="1"/>
  <c r="Z95" i="196" s="1"/>
  <c r="Z96" i="196" s="1"/>
  <c r="Z97" i="196" s="1"/>
  <c r="Z98" i="196" s="1"/>
  <c r="Z99" i="196" s="1"/>
  <c r="Z100" i="196" s="1"/>
  <c r="Z101" i="196" s="1"/>
  <c r="Z102" i="196" s="1"/>
  <c r="Z103" i="196" s="1"/>
  <c r="Z104" i="196" s="1"/>
  <c r="Z105" i="196" s="1"/>
  <c r="Z106" i="196" s="1"/>
  <c r="Z107" i="196" s="1"/>
  <c r="Z108" i="196" s="1"/>
  <c r="Z109" i="196" s="1"/>
  <c r="Z110" i="196" s="1"/>
  <c r="Z111" i="196" s="1"/>
  <c r="Z112" i="196" s="1"/>
  <c r="Z113" i="196" s="1"/>
  <c r="Z114" i="196" s="1"/>
  <c r="Z115" i="196" s="1"/>
  <c r="Z116" i="196" s="1"/>
  <c r="Z117" i="196" s="1"/>
  <c r="Z118" i="196" s="1"/>
  <c r="Z119" i="196" s="1"/>
  <c r="Z120" i="196" s="1"/>
  <c r="Z121" i="196" s="1"/>
  <c r="Z122" i="196" s="1"/>
  <c r="Z123" i="196" s="1"/>
  <c r="ES82" i="196"/>
  <c r="EV82" i="196" s="1"/>
  <c r="S82" i="196"/>
  <c r="AA82" i="196" s="1"/>
  <c r="AA83" i="196" s="1"/>
  <c r="AA84" i="196" s="1"/>
  <c r="AA85" i="196" s="1"/>
  <c r="AA86" i="196" s="1"/>
  <c r="AA87" i="196" s="1"/>
  <c r="AA88" i="196" s="1"/>
  <c r="AA89" i="196" s="1"/>
  <c r="AA90" i="196" s="1"/>
  <c r="AA91" i="196" s="1"/>
  <c r="AA92" i="196" s="1"/>
  <c r="AA93" i="196" s="1"/>
  <c r="AA94" i="196" s="1"/>
  <c r="AA95" i="196" s="1"/>
  <c r="AA96" i="196" s="1"/>
  <c r="AA97" i="196" s="1"/>
  <c r="AA98" i="196" s="1"/>
  <c r="AA99" i="196" s="1"/>
  <c r="AA100" i="196" s="1"/>
  <c r="AA101" i="196" s="1"/>
  <c r="AA102" i="196" s="1"/>
  <c r="AA103" i="196" s="1"/>
  <c r="AA104" i="196" s="1"/>
  <c r="AA105" i="196" s="1"/>
  <c r="AA106" i="196" s="1"/>
  <c r="AA107" i="196" s="1"/>
  <c r="AA108" i="196" s="1"/>
  <c r="AA109" i="196" s="1"/>
  <c r="AA110" i="196" s="1"/>
  <c r="AA111" i="196" s="1"/>
  <c r="AA112" i="196" s="1"/>
  <c r="AA113" i="196" s="1"/>
  <c r="AA114" i="196" s="1"/>
  <c r="AA115" i="196" s="1"/>
  <c r="AA116" i="196" s="1"/>
  <c r="AA117" i="196" s="1"/>
  <c r="AA118" i="196" s="1"/>
  <c r="AA119" i="196" s="1"/>
  <c r="AA120" i="196" s="1"/>
  <c r="AA121" i="196" s="1"/>
  <c r="AA122" i="196" s="1"/>
  <c r="AA123" i="196" s="1"/>
  <c r="EV83" i="196" l="1"/>
  <c r="D82" i="261"/>
  <c r="F82" i="261" s="1"/>
  <c r="I82" i="261" s="1"/>
  <c r="D83" i="261" l="1"/>
  <c r="F83" i="261" s="1"/>
  <c r="I83" i="261" s="1"/>
  <c r="EV84" i="196"/>
  <c r="D84" i="261" l="1"/>
  <c r="F84" i="261" s="1"/>
  <c r="I84" i="261" s="1"/>
  <c r="EV85" i="196"/>
  <c r="EV86" i="196" l="1"/>
  <c r="D85" i="261"/>
  <c r="F85" i="261" s="1"/>
  <c r="I85" i="261" s="1"/>
  <c r="D86" i="261" l="1"/>
  <c r="F86" i="261" s="1"/>
  <c r="I86" i="261" s="1"/>
  <c r="EV87" i="196"/>
  <c r="EV88" i="196" l="1"/>
  <c r="D87" i="261"/>
  <c r="F87" i="261" s="1"/>
  <c r="I87" i="261" s="1"/>
  <c r="EV89" i="196" l="1"/>
  <c r="D88" i="261"/>
  <c r="F88" i="261" s="1"/>
  <c r="I88" i="261" s="1"/>
  <c r="D89" i="261" l="1"/>
  <c r="F89" i="261" s="1"/>
  <c r="I89" i="261" s="1"/>
  <c r="EV90" i="196"/>
  <c r="EV91" i="196" l="1"/>
  <c r="D90" i="261"/>
  <c r="F90" i="261" s="1"/>
  <c r="I90" i="261" s="1"/>
  <c r="D91" i="261" l="1"/>
  <c r="F91" i="261" s="1"/>
  <c r="I91" i="261" s="1"/>
  <c r="EV92" i="196"/>
  <c r="D92" i="261" l="1"/>
  <c r="F92" i="261" s="1"/>
  <c r="I92" i="261" s="1"/>
  <c r="EV93" i="196"/>
  <c r="EV94" i="196" l="1"/>
  <c r="D93" i="261"/>
  <c r="F93" i="261" s="1"/>
  <c r="I93" i="261" s="1"/>
  <c r="D94" i="261" l="1"/>
  <c r="F94" i="261" s="1"/>
  <c r="I94" i="261" s="1"/>
  <c r="EV95" i="196"/>
  <c r="EV96" i="196" l="1"/>
  <c r="D95" i="261"/>
  <c r="F95" i="261" s="1"/>
  <c r="I95" i="261" s="1"/>
  <c r="EV97" i="196" l="1"/>
  <c r="D96" i="261"/>
  <c r="F96" i="261" s="1"/>
  <c r="I96" i="261" s="1"/>
  <c r="D97" i="261" l="1"/>
  <c r="F97" i="261" s="1"/>
  <c r="I97" i="261" s="1"/>
  <c r="EV98" i="196"/>
  <c r="EV99" i="196" l="1"/>
  <c r="D98" i="261"/>
  <c r="F98" i="261" s="1"/>
  <c r="I98" i="261" s="1"/>
  <c r="D99" i="261" l="1"/>
  <c r="F99" i="261" s="1"/>
  <c r="I99" i="261" s="1"/>
  <c r="EV100" i="196"/>
  <c r="D100" i="261" l="1"/>
  <c r="F100" i="261" s="1"/>
  <c r="I100" i="261" s="1"/>
  <c r="EV101" i="196"/>
  <c r="EV102" i="196" l="1"/>
  <c r="D101" i="261"/>
  <c r="F101" i="261" s="1"/>
  <c r="I101" i="261" s="1"/>
  <c r="D102" i="261" l="1"/>
  <c r="F102" i="261" s="1"/>
  <c r="I102" i="261" s="1"/>
  <c r="EV103" i="196"/>
  <c r="EV104" i="196" l="1"/>
  <c r="D103" i="261"/>
  <c r="F103" i="261" s="1"/>
  <c r="I103" i="261" s="1"/>
  <c r="EV105" i="196" l="1"/>
  <c r="D104" i="261"/>
  <c r="F104" i="261" s="1"/>
  <c r="I104" i="261" s="1"/>
  <c r="D105" i="261" l="1"/>
  <c r="F105" i="261" s="1"/>
  <c r="I105" i="261" s="1"/>
  <c r="EV106" i="196"/>
  <c r="EV107" i="196" l="1"/>
  <c r="D106" i="261"/>
  <c r="F106" i="261" s="1"/>
  <c r="I106" i="261" s="1"/>
  <c r="D107" i="261" l="1"/>
  <c r="F107" i="261" s="1"/>
  <c r="I107" i="261" s="1"/>
  <c r="EV108" i="196"/>
  <c r="D108" i="261" l="1"/>
  <c r="F108" i="261" s="1"/>
  <c r="I108" i="261" s="1"/>
  <c r="EV109" i="196"/>
  <c r="EV110" i="196" l="1"/>
  <c r="D109" i="261"/>
  <c r="F109" i="261" s="1"/>
  <c r="I109" i="261" s="1"/>
  <c r="D110" i="261" l="1"/>
  <c r="F110" i="261" s="1"/>
  <c r="I110" i="261" s="1"/>
  <c r="EV111" i="196"/>
  <c r="EV112" i="196" l="1"/>
  <c r="D111" i="261"/>
  <c r="F111" i="261" s="1"/>
  <c r="I111" i="261" s="1"/>
  <c r="D112" i="261" l="1"/>
  <c r="F112" i="261" s="1"/>
  <c r="I112" i="261" s="1"/>
  <c r="EV113" i="196"/>
  <c r="D113" i="261" l="1"/>
  <c r="F113" i="261" s="1"/>
  <c r="I113" i="261" s="1"/>
  <c r="EV114" i="196"/>
  <c r="D114" i="261" l="1"/>
  <c r="F114" i="261" s="1"/>
  <c r="I114" i="261" s="1"/>
  <c r="EV115" i="196"/>
  <c r="EV116" i="196" l="1"/>
  <c r="D115" i="261"/>
  <c r="F115" i="261" s="1"/>
  <c r="I115" i="261" s="1"/>
  <c r="D116" i="261" l="1"/>
  <c r="F116" i="261" s="1"/>
  <c r="I116" i="261" s="1"/>
  <c r="EV117" i="196"/>
  <c r="EV118" i="196" l="1"/>
  <c r="D117" i="261"/>
  <c r="F117" i="261" s="1"/>
  <c r="I117" i="261" s="1"/>
  <c r="EV119" i="196" l="1"/>
  <c r="D118" i="261"/>
  <c r="F118" i="261" s="1"/>
  <c r="I118" i="261" s="1"/>
  <c r="D119" i="261" l="1"/>
  <c r="F119" i="261" s="1"/>
  <c r="I119" i="261" s="1"/>
  <c r="EV120" i="196"/>
  <c r="EV121" i="196" l="1"/>
  <c r="D120" i="261"/>
  <c r="F120" i="261" s="1"/>
  <c r="I120" i="261" s="1"/>
  <c r="D121" i="261" l="1"/>
  <c r="F121" i="261" s="1"/>
  <c r="I121" i="261" s="1"/>
  <c r="EV122" i="196"/>
  <c r="D122" i="261" l="1"/>
  <c r="F122" i="261" s="1"/>
  <c r="I122" i="261" s="1"/>
  <c r="EV123" i="196"/>
  <c r="D123" i="261" s="1"/>
  <c r="F123" i="261" s="1"/>
  <c r="I123" i="261" l="1"/>
  <c r="I124" i="261" s="1"/>
  <c r="I125" i="261" s="1"/>
  <c r="I126" i="261" s="1"/>
  <c r="I127" i="261" s="1"/>
  <c r="I128" i="261" s="1"/>
  <c r="I129" i="261" s="1"/>
  <c r="I130" i="261" s="1"/>
  <c r="I131" i="261" s="1"/>
  <c r="I132" i="261" s="1"/>
  <c r="I133" i="261" s="1"/>
  <c r="I134" i="261" s="1"/>
  <c r="I135" i="261" s="1"/>
  <c r="I136" i="261" s="1"/>
  <c r="I137" i="261" s="1"/>
  <c r="I138" i="261" s="1"/>
  <c r="I139" i="261" s="1"/>
  <c r="I140" i="261" s="1"/>
  <c r="I141" i="261" s="1"/>
  <c r="I142" i="261" s="1"/>
  <c r="I143" i="261" s="1"/>
  <c r="I144" i="261" s="1"/>
  <c r="I145" i="261" s="1"/>
  <c r="I146" i="261" s="1"/>
  <c r="I147" i="261" s="1"/>
  <c r="I148" i="261" s="1"/>
  <c r="I149" i="261" s="1"/>
  <c r="I150" i="261" s="1"/>
  <c r="I151" i="261" s="1"/>
  <c r="I152" i="261" s="1"/>
  <c r="I153" i="261" s="1"/>
  <c r="I154" i="261" s="1"/>
  <c r="I155" i="261" s="1"/>
  <c r="I156" i="2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N2" authorId="0" shapeId="0" xr:uid="{4470A6BC-1BE6-4F54-AF86-AF01BF863FD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AD2" authorId="0" shapeId="0" xr:uid="{E83B6FD2-C840-4311-99B6-2668FA4E716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N2" authorId="0" shapeId="0" xr:uid="{EB0265D4-79C4-4C2B-8031-EE7581BC5A8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AD2" authorId="0" shapeId="0" xr:uid="{2E16C504-89D8-4FC4-9144-B2E089264C9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AT2" authorId="0" shapeId="0" xr:uid="{896792B1-EB8A-460E-8940-44151C39172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N2" authorId="0" shapeId="0" xr:uid="{216D17A9-08CC-45EF-B95F-D5959DD6823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CA2" authorId="0" shapeId="0" xr:uid="{28DDCD1E-E4AC-46A3-9D88-978076EC076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CQ2" authorId="0" shapeId="0" xr:uid="{7DF5A487-46B6-4612-909A-A484C3AEDD2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DG2" authorId="0" shapeId="0" xr:uid="{B68C25D8-A784-448C-84C0-68012AD4112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DY2" authorId="0" shapeId="0" xr:uid="{C1D9519E-6F5B-466F-851B-49474F2A81E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  <comment ref="EO2" authorId="0" shapeId="0" xr:uid="{1F4406AC-7889-498D-B9A6-381C1CC2A11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Note that this industry includes public relations (NAICS 54182) and other industries not covered by the PPI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80C735C9-59E4-4FDE-A025-C4D55F97BAD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https://about.usps.com/newsroom/national-releases/2021/1110-usps-reports-fiscal-year-2021-results.htm</t>
        </r>
      </text>
    </comment>
    <comment ref="D3" authorId="0" shapeId="0" xr:uid="{F4E8D83F-4D73-4F00-B8B4-50E1D63D7F9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https://about.usps.com/newsroom/national-releases/2020/1113-usps-reports-fiscal-year-2020-results.htm</t>
        </r>
      </text>
    </comment>
    <comment ref="D4" authorId="0" shapeId="0" xr:uid="{DF28F3C0-80A2-468F-B3E7-E068C949A3C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https://about.usps.com/newsroom/national-releases/2019/1114-usps-reports-fiscal-year-2019-results.htm</t>
        </r>
      </text>
    </comment>
    <comment ref="D5" authorId="0" shapeId="0" xr:uid="{37138F0B-7BD3-4E22-A8EE-AC43C0AE167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https://about.usps.com/news/national-releases/2018/pr18_093.htm</t>
        </r>
      </text>
    </comment>
    <comment ref="D6" authorId="0" shapeId="0" xr:uid="{ABCD0BEA-B105-46FB-9057-0FFF1008AB8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https://about.usps.com/news/national-releases/2017/pr17_069.htm</t>
        </r>
      </text>
    </comment>
    <comment ref="D7" authorId="0" shapeId="0" xr:uid="{9EC82CF1-0D26-4350-8DA4-5BD93C400B6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https://about.usps.com/news/national-releases/2016/pr16_092.htm</t>
        </r>
      </text>
    </comment>
    <comment ref="D8" authorId="0" shapeId="0" xr:uid="{A8D86401-508B-4B79-9AA8-6E16EAB8B20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https://about.usps.com/what/financials/revenue-pieces-weight-reports/fy2015.pdf</t>
        </r>
      </text>
    </comment>
    <comment ref="D9" authorId="0" shapeId="0" xr:uid="{8C5B0185-BEAD-4C99-A250-91E9577D988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https://about.usps.com/what/financials/revenue-pieces-weight-reports/fy2014.pdf</t>
        </r>
      </text>
    </comment>
    <comment ref="D10" authorId="0" shapeId="0" xr:uid="{45FD4B1C-AC8D-474C-9BD8-01C49625342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https://about.usps.com/what/financials/revenue-pieces-weight-reports/fy2013.pdf</t>
        </r>
      </text>
    </comment>
    <comment ref="D11" authorId="0" shapeId="0" xr:uid="{353C73BF-91C5-4691-AE20-BBA2E4D55B2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https://about.usps.com/what/financials/revenue-pieces-weight-reports/fy2012.pdf</t>
        </r>
      </text>
    </comment>
    <comment ref="D12" authorId="0" shapeId="0" xr:uid="{C94008C0-215B-49D3-BDC3-B45FF08E5CA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https://about.usps.com/what/financials/revenue-pieces-weight-reports/fy2011.pdf</t>
        </r>
      </text>
    </comment>
    <comment ref="D13" authorId="0" shapeId="0" xr:uid="{F77DD8C7-2274-448F-86B4-A1390307E02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https://about.usps.com/what/financials/revenue-pieces-weight-reports/fy2010.pdf</t>
        </r>
      </text>
    </comment>
    <comment ref="D14" authorId="0" shapeId="0" xr:uid="{806CAA67-0C00-4A8D-BA7A-31A004572AD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https://about.usps.com/what/financials/revenue-pieces-weight-reports/fy2009.pdf</t>
        </r>
      </text>
    </comment>
    <comment ref="D15" authorId="0" shapeId="0" xr:uid="{D462674B-1FF0-4006-B021-E55EA77963C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https://about.usps.com/what/financials/revenue-pieces-weight-reports/fy2008.pdf</t>
        </r>
      </text>
    </comment>
    <comment ref="D16" authorId="0" shapeId="0" xr:uid="{D2782E73-0C81-4F04-8C18-CAB0CDA7EA0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https://about.usps.com/what/financials/revenue-pieces-weight-reports/fy2007.pdf</t>
        </r>
      </text>
    </comment>
    <comment ref="D17" authorId="0" shapeId="0" xr:uid="{21A90CC0-717B-4735-886B-AD9389DF36F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https://about.usps.com/what/financials/revenue-pieces-weight-reports/fy2006.pdf</t>
        </r>
      </text>
    </comment>
    <comment ref="D18" authorId="0" shapeId="0" xr:uid="{CDC60307-DE71-4C68-AA7D-5DD8CAFC5E7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https://about.usps.com/what/financials/revenue-pieces-weight-reports/fy2005.pdf</t>
        </r>
      </text>
    </comment>
    <comment ref="D19" authorId="0" shapeId="0" xr:uid="{D328BDED-972C-4C72-8E1E-089CB6486B2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https://about.usps.com/what/financials/revenue-pieces-weight-reports/fy2004.pdf</t>
        </r>
      </text>
    </comment>
    <comment ref="D20" authorId="0" shapeId="0" xr:uid="{93E46F04-482F-47B9-A375-30BE78D0E8B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https://about.usps.com/what/financials/revenue-pieces-weight-reports/fy2003.pdf</t>
        </r>
      </text>
    </comment>
    <comment ref="D21" authorId="0" shapeId="0" xr:uid="{67DD4DE2-0ADA-4656-B8CE-F9D27C1E9C6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https://about.usps.com/what/financials/revenue-pieces-weight-reports/fy2002.pdf</t>
        </r>
      </text>
    </comment>
    <comment ref="D22" authorId="0" shapeId="0" xr:uid="{4D911A7C-66E0-4D04-877B-3255C523888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https://about.usps.com/what/financials/revenue-pieces-weight-reports/fy2001.pdf</t>
        </r>
      </text>
    </comment>
    <comment ref="E22" authorId="0" shapeId="0" xr:uid="{64D9DC8B-7D77-4D4F-9E35-B2F2C916F6B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https://www.gao.gov/assets/gao-02-355.pdf</t>
        </r>
      </text>
    </comment>
    <comment ref="E23" authorId="0" shapeId="0" xr:uid="{8ABEF781-E695-4AA6-A247-956E57FF626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F23" authorId="0" shapeId="0" xr:uid="{044115D2-1E34-4818-97FA-DDAA1E88AA4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E24" authorId="0" shapeId="0" xr:uid="{B5951E3C-CA7A-4A61-9F8E-7CAFEBC4DAD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F24" authorId="0" shapeId="0" xr:uid="{6DC65818-598D-4992-B6C2-82E782BB449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E25" authorId="0" shapeId="0" xr:uid="{7CDA7870-9BDC-44B6-B7FB-5874328B95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F25" authorId="0" shapeId="0" xr:uid="{9B770771-D9A4-47B3-B750-2B63F912C41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E26" authorId="0" shapeId="0" xr:uid="{8548F6A6-C679-481F-BE95-AB6BC3C1E53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F26" authorId="0" shapeId="0" xr:uid="{FE24D406-D59D-4F66-9847-FD03518C7AD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E27" authorId="0" shapeId="0" xr:uid="{F150365F-22F7-4902-A9F9-B70379EF0C7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F27" authorId="0" shapeId="0" xr:uid="{CE918355-A61F-4387-AF0B-CBAEF46178E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https://www.prc.gov/docs/20/20553/1999-annual-report.pdf</t>
        </r>
      </text>
    </comment>
    <comment ref="E28" authorId="0" shapeId="0" xr:uid="{9F52DAD5-6111-4C14-9DEA-45CB13281BD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https://www2.census.gov/library/publications/1996/compendia/statab/116ed/tables/communic.pdf</t>
        </r>
      </text>
    </comment>
    <comment ref="F28" authorId="0" shapeId="0" xr:uid="{2B45684A-BBAD-4618-9FCD-6FC35309A27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https://www2.census.gov/library/publications/1996/compendia/statab/116ed/tables/communic.pdf</t>
        </r>
      </text>
    </comment>
    <comment ref="E29" authorId="0" shapeId="0" xr:uid="{B687908E-2B9C-4D97-BFAC-6B37F54284C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https://www2.census.gov/library/publications/1996/compendia/statab/116ed/tables/communic.pdf</t>
        </r>
      </text>
    </comment>
    <comment ref="F29" authorId="0" shapeId="0" xr:uid="{4718B8D5-8E67-436E-B5C8-4A43F8BB9C2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https://www2.census.gov/library/publications/1996/compendia/statab/116ed/tables/communic.pdf</t>
        </r>
      </text>
    </comment>
    <comment ref="E30" authorId="0" shapeId="0" xr:uid="{CAB03018-9E49-4CAE-84C8-58EFBF1BF8D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https://www2.census.gov/library/publications/1995/compendia/statab/115ed/tables/communic.pdf</t>
        </r>
      </text>
    </comment>
    <comment ref="F30" authorId="0" shapeId="0" xr:uid="{5C45B61B-3019-4DD0-BBEF-B8F18B60A63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https://www2.census.gov/library/publications/1995/compendia/statab/115ed/tables/communic.pdf</t>
        </r>
      </text>
    </comment>
    <comment ref="E31" authorId="0" shapeId="0" xr:uid="{BFF72C1A-9BC5-4C1F-8218-394ED9C15C8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F31" authorId="0" shapeId="0" xr:uid="{AEECA955-9809-4D74-A601-6D3493C3FCD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E32" authorId="0" shapeId="0" xr:uid="{BFE3E9D4-6F43-47EA-AB2C-F141FF4032E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F32" authorId="0" shapeId="0" xr:uid="{03152D01-A069-4B16-B9BC-4B956C11564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E33" authorId="0" shapeId="0" xr:uid="{E07CE650-ABBD-4298-A6DB-E9B50159F32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F33" authorId="0" shapeId="0" xr:uid="{BA7F35E4-9260-4EAB-B87A-7843C72A61D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https://www2.census.gov/library/publications/1994/compendia/statab/114ed/1994-05.pdf</t>
        </r>
      </text>
    </comment>
    <comment ref="E34" authorId="0" shapeId="0" xr:uid="{7975399A-DC79-43AB-99E4-30797A4BCCF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https://www2.census.gov/library/publications/1991/compendia/statab/111ed/1991-05.pdf</t>
        </r>
      </text>
    </comment>
    <comment ref="F34" authorId="0" shapeId="0" xr:uid="{E13AC6E8-D2DC-4081-B09D-85FD5D95B72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https://www2.census.gov/library/publications/1991/compendia/statab/111ed/1991-05.pdf</t>
        </r>
      </text>
    </comment>
    <comment ref="E35" authorId="0" shapeId="0" xr:uid="{D848F06B-8C6B-4319-8CE1-979E80AACF7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https://www2.census.gov/library/publications/1989/compendia/statab/109ed/1989-05.pdf</t>
        </r>
      </text>
    </comment>
    <comment ref="F35" authorId="0" shapeId="0" xr:uid="{28CDC80B-1209-4DAC-AA7B-423A891071D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https://www2.census.gov/library/publications/1989/compendia/statab/109ed/1989-05.pdf</t>
        </r>
      </text>
    </comment>
    <comment ref="E36" authorId="0" shapeId="0" xr:uid="{F07EDA5B-0025-41BE-B117-5525C537CED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https://www2.census.gov/library/publications/1987/compendia/statab/108ed/1988-05.pdf</t>
        </r>
      </text>
    </comment>
    <comment ref="F36" authorId="0" shapeId="0" xr:uid="{71BEF975-7E7E-401A-A788-8D8DCCDC83F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https://www2.census.gov/library/publications/1987/compendia/statab/108ed/1988-05.pdf</t>
        </r>
      </text>
    </comment>
    <comment ref="E37" authorId="0" shapeId="0" xr:uid="{15332BF1-3968-4C9A-AE0D-B57C7B6C7D3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https://www2.census.gov/library/publications/1989/compendia/statab/109ed/1989-05.pdf</t>
        </r>
      </text>
    </comment>
    <comment ref="F37" authorId="0" shapeId="0" xr:uid="{8547EB2F-8ACB-4418-B6D5-74E1B723395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https://www2.census.gov/library/publications/1989/compendia/statab/109ed/1989-05.pdf</t>
        </r>
      </text>
    </comment>
    <comment ref="E38" authorId="0" shapeId="0" xr:uid="{E575A594-98C1-429A-AAA8-1B085AA68C2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https://www2.census.gov/library/publications/1985/compendia/statab/106ed/1986-06.pdf</t>
        </r>
      </text>
    </comment>
    <comment ref="F38" authorId="0" shapeId="0" xr:uid="{CA08D1C4-21B1-40F5-BF62-8D1B1DA8A5D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https://www2.census.gov/library/publications/1985/compendia/statab/106ed/1986-06.pdf</t>
        </r>
      </text>
    </comment>
    <comment ref="E39" authorId="0" shapeId="0" xr:uid="{8B6A91AD-DA49-4473-9A1B-00D188022E0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https://www2.census.gov/library/publications/1985/compendia/statab/106ed/1986-06.pdf</t>
        </r>
      </text>
    </comment>
    <comment ref="F39" authorId="0" shapeId="0" xr:uid="{45D84276-9EBF-4796-8E6B-F1655D39AE1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https://www2.census.gov/library/publications/1985/compendia/statab/106ed/1986-06.pdf</t>
        </r>
      </text>
    </comment>
    <comment ref="E40" authorId="0" shapeId="0" xr:uid="{DB214C86-D51C-4C52-B554-308BE2B4CB9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F40" authorId="0" shapeId="0" xr:uid="{E475FFE3-1A28-491A-90AF-0970D70C7D8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E41" authorId="0" shapeId="0" xr:uid="{F18A2BE2-4B79-43C5-9202-BAD61B3DDDA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F41" authorId="0" shapeId="0" xr:uid="{A991E562-590A-4BCE-AA26-6A5F66AE90C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E42" authorId="0" shapeId="0" xr:uid="{405F3DD5-4222-4D6A-9288-C941A0AC184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F42" authorId="0" shapeId="0" xr:uid="{916CD654-9DDF-4251-900A-64EF9A7C54F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https://www2.census.gov/library/publications/1983/compendia/statab/104ed/1984-05.pdf</t>
        </r>
      </text>
    </comment>
    <comment ref="E43" authorId="0" shapeId="0" xr:uid="{7D1BE1D6-6DAE-4BA3-B963-65CA4EF6817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https://www2.census.gov/library/publications/1981/compendia/statab/102ed/1981-08.pdf</t>
        </r>
      </text>
    </comment>
    <comment ref="F43" authorId="0" shapeId="0" xr:uid="{8B7C7528-5E10-46C9-ABF5-43686043EA4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https://www2.census.gov/library/publications/1981/compendia/statab/102ed/1981-08.pdf</t>
        </r>
      </text>
    </comment>
    <comment ref="E44" authorId="0" shapeId="0" xr:uid="{BACC80E5-AFC1-4B84-B370-E28CDCA0FE0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https://www2.census.gov/library/publications/1981/compendia/statab/102ed/1981-08.pdf</t>
        </r>
      </text>
    </comment>
    <comment ref="F44" authorId="0" shapeId="0" xr:uid="{8DC02237-28F2-4048-9028-CA83491C733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https://www2.census.gov/library/publications/1981/compendia/statab/102ed/1981-08.pdf</t>
        </r>
      </text>
    </comment>
    <comment ref="E45" authorId="0" shapeId="0" xr:uid="{4B5AEBB9-778A-4439-8B71-6D3F8D3E400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F45" authorId="0" shapeId="0" xr:uid="{AED49B15-4A06-44CD-B343-6C0EA07FA7F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E46" authorId="0" shapeId="0" xr:uid="{EE237362-C8CA-4498-91C4-D512797C60C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F46" authorId="0" shapeId="0" xr:uid="{C2BAC5FD-9140-4BFD-BD3C-A0651126AEC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E47" authorId="0" shapeId="0" xr:uid="{12767DDA-6FA5-4E28-9C09-E7746FA7848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F47" authorId="0" shapeId="0" xr:uid="{DF55CA32-3CAA-4B42-8693-8C3A1E95D56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https://www2.census.gov/library/publications/1979/compendia/statab/100ed/1979-09.pdf</t>
        </r>
      </text>
    </comment>
    <comment ref="E48" authorId="0" shapeId="0" xr:uid="{B737255D-CE28-4EFA-AB61-8E5ED23CCD8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https://www2.census.gov/library/publications/1976/compendia/statab/97ed/1976-06.pdf</t>
        </r>
      </text>
    </comment>
    <comment ref="F48" authorId="0" shapeId="0" xr:uid="{1B9A5532-C803-4B87-897F-573B7DD2C06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https://www2.census.gov/library/publications/1976/compendia/statab/97ed/1976-06.pdf</t>
        </r>
      </text>
    </comment>
    <comment ref="E49" authorId="0" shapeId="0" xr:uid="{188D7611-B619-418C-BC07-73347AFEAF0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https://www2.census.gov/library/publications/1976/compendia/statab/97ed/1976-06.pdf</t>
        </r>
      </text>
    </comment>
    <comment ref="F49" authorId="0" shapeId="0" xr:uid="{2D77337D-8BC7-4593-AFA2-AD0BBDB5602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https://www2.census.gov/library/publications/1976/compendia/statab/97ed/1976-06.pdf</t>
        </r>
      </text>
    </comment>
    <comment ref="E50" authorId="0" shapeId="0" xr:uid="{0A6DF637-A53F-451F-B637-2F3C2A2FD80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https://www2.census.gov/library/publications/1974/compendia/statab/95ed/1974-08.pdf</t>
        </r>
      </text>
    </comment>
    <comment ref="F50" authorId="0" shapeId="0" xr:uid="{A39E12B2-5792-476C-8C22-E712EEAF622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https://www2.census.gov/library/publications/1974/compendia/statab/95ed/1974-08.pdf</t>
        </r>
      </text>
    </comment>
    <comment ref="E51" authorId="0" shapeId="0" xr:uid="{F647BDA2-69A4-40D4-9FE4-00BCD9EC609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https://www2.census.gov/library/publications/1972/compendia/statab/93ed/1972-07.pdf</t>
        </r>
      </text>
    </comment>
    <comment ref="F51" authorId="0" shapeId="0" xr:uid="{7E956457-2788-4C23-B15B-41CD9F7EAE5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https://www2.census.gov/library/publications/1972/compendia/statab/93ed/1972-07.pdf</t>
        </r>
      </text>
    </comment>
    <comment ref="E52" authorId="0" shapeId="0" xr:uid="{959F00E2-E68C-445B-8AD3-DCDD5D96EE6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https://www2.census.gov/library/publications/1972/compendia/statab/93ed/1972-07.pdf</t>
        </r>
      </text>
    </comment>
    <comment ref="F52" authorId="0" shapeId="0" xr:uid="{663BF5AE-D60F-4A2C-ADD4-7FA877D9DF6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https://www2.census.gov/library/publications/1972/compendia/statab/93ed/1972-07.pdf</t>
        </r>
      </text>
    </comment>
    <comment ref="E53" authorId="0" shapeId="0" xr:uid="{50099D52-C1A2-45CC-8C2C-5155CD98BE0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F53" authorId="0" shapeId="0" xr:uid="{7FD40AAE-4BC1-4E5E-812C-65CFA7BD808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E54" authorId="0" shapeId="0" xr:uid="{6753A5F8-08E6-4673-AECF-3E8EB48AD85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F54" authorId="0" shapeId="0" xr:uid="{E64E4F39-2DFA-49C2-8AE6-7F63F750F82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E55" authorId="0" shapeId="0" xr:uid="{C5CDA553-2F6B-4654-AFB8-EFA38C9C3B2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F55" authorId="0" shapeId="0" xr:uid="{04938763-8B5B-4D48-A613-3B619B990AC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https://www2.census.gov/library/publications/1970/compendia/statab/91ed/1970-06.pdf</t>
        </r>
      </text>
    </comment>
    <comment ref="E56" authorId="0" shapeId="0" xr:uid="{37F760C0-BC08-40F7-8C3C-42F15E6AB85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F56" authorId="0" shapeId="0" xr:uid="{92707D60-F09B-4165-96D3-376DD312906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E57" authorId="0" shapeId="0" xr:uid="{7D557B6D-222E-42BA-88E6-6EB3AB60179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F57" authorId="0" shapeId="0" xr:uid="{16435BA7-3817-4C1A-88B0-6F057C7F6DE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E58" authorId="0" shapeId="0" xr:uid="{44F71869-6552-40B4-9152-EC68188FD8E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F58" authorId="0" shapeId="0" xr:uid="{E30944C5-7A47-41B6-B1DF-54805B4B94E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https://www2.census.gov/library/publications/1968/compendia/statab/89ed/1968-08.pdf</t>
        </r>
      </text>
    </comment>
    <comment ref="E59" authorId="0" shapeId="0" xr:uid="{53D20A14-6BEC-48A3-9E4B-8B67F2883FA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F59" authorId="0" shapeId="0" xr:uid="{6B6E4525-25DF-4E16-82F4-F0ADF349965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E60" authorId="0" shapeId="0" xr:uid="{388BD41E-4F15-4CF7-8F07-39263F9F575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F60" authorId="0" shapeId="0" xr:uid="{165976B9-DDE3-4316-A2C7-3DE2A445794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E61" authorId="0" shapeId="0" xr:uid="{495300EB-FB7D-4A60-B6B3-BFF0BFC2B3F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F61" authorId="0" shapeId="0" xr:uid="{62C2D05D-C0FE-4179-80FC-41EF1E1A046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E62" authorId="0" shapeId="0" xr:uid="{E42E3700-84E4-41BD-BB3C-6C2897E227C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F62" authorId="0" shapeId="0" xr:uid="{4FD31BEB-A063-40DD-B41D-8BB7FA7639E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E63" authorId="0" shapeId="0" xr:uid="{0C157933-51B2-42D9-8147-8CE639187B1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F63" authorId="0" shapeId="0" xr:uid="{C76EF750-EB36-4C70-9C02-0AE86430CD8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https://www2.census.gov/library/publications/1964/compendia/statab/85ed/1964-08.pdf</t>
        </r>
      </text>
    </comment>
    <comment ref="E64" authorId="0" shapeId="0" xr:uid="{969BD892-B45B-452C-8657-F346F79002C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F64" authorId="0" shapeId="0" xr:uid="{8D609B38-DB5F-4729-9AB1-99BCFD67252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E65" authorId="0" shapeId="0" xr:uid="{5FA68B79-2C67-424E-B3A3-4E41DBB2F83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F65" authorId="0" shapeId="0" xr:uid="{BC7287A4-FFA4-4237-81FC-BEF9373E950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E66" authorId="0" shapeId="0" xr:uid="{4E92E20A-DA43-4322-8368-5AB254F6894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F66" authorId="0" shapeId="0" xr:uid="{F6FDE89D-7DE5-42DA-AB9C-E79B5E9E55F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E67" authorId="0" shapeId="0" xr:uid="{482611F2-5DF3-4C3D-B228-153C6BD23BA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F67" authorId="0" shapeId="0" xr:uid="{06FD919B-347D-4237-89F6-30354188695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https://www2.census.gov/library/publications/1960/compendia/statab/81ed/1960-08.pdf</t>
        </r>
      </text>
    </comment>
    <comment ref="E68" authorId="0" shapeId="0" xr:uid="{891AC1AE-F39F-4544-BC60-7D8BB8F9A3A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68" authorId="0" shapeId="0" xr:uid="{F5C43F14-2DCD-4FCA-8BE0-DBC97343EBA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69" authorId="0" shapeId="0" xr:uid="{B8270598-7EBD-4FA9-B252-572BB09DBB2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69" authorId="0" shapeId="0" xr:uid="{4CB7FD2C-612B-44BC-BB2C-E155F93FE35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0" authorId="0" shapeId="0" xr:uid="{AC1575D2-6277-48F2-BF1A-9E737C10300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0" authorId="0" shapeId="0" xr:uid="{760BE09C-E9DC-436F-B2A4-E1E47D5D3B0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1" authorId="0" shapeId="0" xr:uid="{55B4D965-57E4-407A-A732-5B79FFC9978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1" authorId="0" shapeId="0" xr:uid="{5BA2EF00-897E-4A54-A279-CDF9CCAE047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2" authorId="0" shapeId="0" xr:uid="{B54AEDFE-B753-488F-852C-2630A7FC251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2" authorId="0" shapeId="0" xr:uid="{5EA0282E-A7FD-4332-A0DF-4253B392CC7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3" authorId="0" shapeId="0" xr:uid="{ED25C1CA-50C6-44A8-929B-9AC3105589A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3" authorId="0" shapeId="0" xr:uid="{A9530260-CF48-49E4-B92D-9171E266931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4" authorId="0" shapeId="0" xr:uid="{E7C73C04-2EE5-42E7-B646-50814300204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4" authorId="0" shapeId="0" xr:uid="{90655C8E-EA46-4080-BF97-82A3444729D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5" authorId="0" shapeId="0" xr:uid="{2CE98F08-270F-49A3-9EBA-8F05406BBBF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5" authorId="0" shapeId="0" xr:uid="{813C80E6-6794-4F60-B3B8-5BE9D89BB1F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6" authorId="0" shapeId="0" xr:uid="{6FC465E8-EB86-42B5-B95F-447CBE0886C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6" authorId="0" shapeId="0" xr:uid="{22D05D74-A2C6-4DA0-ADB3-C5F16B6740B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7" authorId="0" shapeId="0" xr:uid="{7B4B7824-9270-4AC5-B970-1E3F79E22D9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7" authorId="0" shapeId="0" xr:uid="{BC4B4E3A-17F6-4DFA-AB32-5BE52FF04FE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78" authorId="0" shapeId="0" xr:uid="{82544C65-E9AE-4F2A-9DE5-37A10107613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78" authorId="0" shapeId="0" xr:uid="{CED0AA91-8BF3-43AC-9A3C-D07C53F300C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0" authorId="0" shapeId="0" xr:uid="{211CDD5C-6C35-4370-BA47-9FDA60A0936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0" authorId="0" shapeId="0" xr:uid="{CC7D41E7-E61D-4F20-AA56-1AED46FC7EA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1" authorId="0" shapeId="0" xr:uid="{51DB374E-811A-40D3-A7D7-510DEA3A6D4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1" authorId="0" shapeId="0" xr:uid="{13C3A6C5-B6D5-4EB6-889B-620AA8BE3A2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2" authorId="0" shapeId="0" xr:uid="{D284B247-51FE-4EDE-B107-4CF5BD99FD6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2" authorId="0" shapeId="0" xr:uid="{C6C32AD5-899E-4881-9A30-7AE3A086BAF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3" authorId="0" shapeId="0" xr:uid="{CAD62A45-1962-4C8A-A7EB-FE1B9A3AD24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3" authorId="0" shapeId="0" xr:uid="{D7E833AC-BAB9-4870-B4DE-7ACB5E0FDBF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4" authorId="0" shapeId="0" xr:uid="{99B79088-3A71-4DDE-86B4-9C79DD669C0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4" authorId="0" shapeId="0" xr:uid="{33031453-11AE-4927-8C97-552FE93674F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5" authorId="0" shapeId="0" xr:uid="{D1855FF1-70B3-401B-832F-772F109174E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5" authorId="0" shapeId="0" xr:uid="{5B28F122-FFAB-4EFF-B67E-52BF9FB05D2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6" authorId="0" shapeId="0" xr:uid="{ABD0362D-09A2-4163-A26C-70BD504FC33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6" authorId="0" shapeId="0" xr:uid="{4DDCC207-A1EC-4A67-ABAC-956198CFD48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7" authorId="0" shapeId="0" xr:uid="{F0AB199E-127D-476D-A468-73AA42433A7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7" authorId="0" shapeId="0" xr:uid="{E659E371-80FE-4C47-A23B-3DFF1F01930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8" authorId="0" shapeId="0" xr:uid="{C1CC5F76-4A26-4BA3-8BF1-4D63AC1643B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8" authorId="0" shapeId="0" xr:uid="{47BD9164-C77A-4482-81C6-C1374106733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89" authorId="0" shapeId="0" xr:uid="{19FF0D5E-052A-44C2-99F8-903F7A9E0DF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89" authorId="0" shapeId="0" xr:uid="{3A7D830B-0B2D-4410-8B4E-F6721D3BA67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0" authorId="0" shapeId="0" xr:uid="{CD96B356-0F8D-465A-A7BB-C1C556DFBDD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0" authorId="0" shapeId="0" xr:uid="{1F61ED18-064D-45AF-AAFC-3326261AB43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1" authorId="0" shapeId="0" xr:uid="{6A7BF514-D295-4916-853E-9AAB2E5823D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1" authorId="0" shapeId="0" xr:uid="{B55F78C2-CFCA-4411-B10B-90B309F2D13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2" authorId="0" shapeId="0" xr:uid="{2E7A5CF1-ABDB-4C8F-8596-3B5A800F7B0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2" authorId="0" shapeId="0" xr:uid="{F5D7104B-D987-401D-8DF0-365356EF152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3" authorId="0" shapeId="0" xr:uid="{B17ACC50-0ECA-45B3-A749-E758FC64062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3" authorId="0" shapeId="0" xr:uid="{2F6F5DA3-C4D8-41C2-9B9E-48A87C2DCDF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4" authorId="0" shapeId="0" xr:uid="{818D165C-7DC7-4A09-BA63-E4CAB6144A1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4" authorId="0" shapeId="0" xr:uid="{D3F0FF2F-CFD7-406C-B16B-0EFDBCE09B8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5" authorId="0" shapeId="0" xr:uid="{49138150-A2BA-49A1-9907-DB061E99EE3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5" authorId="0" shapeId="0" xr:uid="{1F3F2243-9398-42A3-B2F6-28E4FE2AC76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  <comment ref="E96" authorId="0" shapeId="0" xr:uid="{1C9B9E3B-D930-43CC-8220-F5A1DC85238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Third Class Mail, R-153 of https://www2.census.gov/library/publications/1960/compendia/hist_stats_colonial-1957/hist_stats_colonial-1957-chR.pdf</t>
        </r>
      </text>
    </comment>
    <comment ref="F96" authorId="0" shapeId="0" xr:uid="{116C0A04-13C6-4C32-9160-A534771275D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Post Office Pieces of Fourth Class Mail, R-154 of https://www2.census.gov/library/publications/1960/compendia/hist_stats_colonial-1957/hist_stats_colonial-1957-chR.pdf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J53" authorId="0" shapeId="0" xr:uid="{BADEECC4-A5EC-4675-B3C6-DE8BE6CE3F9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https://fraser.stlouisfed.org/files/docs/publications/ppi/1980s/ppi_198009.pdf?utm_source=direct_download</t>
        </r>
      </text>
    </comment>
    <comment ref="K53" authorId="0" shapeId="0" xr:uid="{BE390524-82A3-466F-AD0F-FC0539A035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https://fraser.stlouisfed.org/files/docs/publications/ppi/1980s/ppi_198010.pdf?utm_source=direct_download</t>
        </r>
      </text>
    </comment>
    <comment ref="L53" authorId="0" shapeId="0" xr:uid="{9C35F068-5BA8-459C-A903-E859B068A0A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https://fraser.stlouisfed.org/files/docs/publications/ppi/1980s/ppi_198011.pdf?utm_source=direct_download</t>
        </r>
      </text>
    </comment>
    <comment ref="M53" authorId="0" shapeId="0" xr:uid="{451DEAC6-B2DC-4DF9-8F29-FF37F7DDEE5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https://fraser.stlouisfed.org/files/docs/publications/ppi/1980s/ppi_198012.pdf?utm_source=direct_download</t>
        </r>
      </text>
    </comment>
    <comment ref="F54" authorId="0" shapeId="0" xr:uid="{876E27D3-1570-4DE9-AA48-536785FA63D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https://fraser.stlouisfed.org/files/docs/publications/ppi/1980s/ppi_198009.pdf?utm_source=direct_download</t>
        </r>
      </text>
    </comment>
    <comment ref="G54" authorId="0" shapeId="0" xr:uid="{E67B7E26-DB79-4840-969A-4FE42A07FEA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https://fraser.stlouisfed.org/files/docs/publications/ppi/1980s/ppi_198010.pdf?utm_source=direct_download</t>
        </r>
      </text>
    </comment>
    <comment ref="I54" authorId="0" shapeId="0" xr:uid="{365B3CF3-0D08-4199-9CC7-F669B96B9DE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https://fraser.stlouisfed.org/files/docs/publications/ppi/1980s/ppi_198009.pdf?utm_source=direct_download</t>
        </r>
      </text>
    </comment>
    <comment ref="J54" authorId="0" shapeId="0" xr:uid="{BBE1438B-021C-44A0-829F-ED4EE5E6900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https://fraser.stlouisfed.org/files/docs/publications/ppi/1980s/ppi_198010.pdf?utm_source=direct_download</t>
        </r>
      </text>
    </comment>
    <comment ref="K54" authorId="0" shapeId="0" xr:uid="{443ADC16-35C9-4E0E-823B-A33AC227B1E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https://fraser.stlouisfed.org/files/docs/publications/ppi/1980s/ppi_198010.pdf?utm_source=direct_download</t>
        </r>
      </text>
    </comment>
    <comment ref="L54" authorId="0" shapeId="0" xr:uid="{192CC4BF-B782-4539-BE95-17A0F23022B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https://fraser.stlouisfed.org/files/docs/publications/ppi/1980s/ppi_198012.pdf?utm_source=direct_download</t>
        </r>
      </text>
    </comment>
    <comment ref="M54" authorId="0" shapeId="0" xr:uid="{97C4C3BB-DDE3-415C-BA64-0066C4F516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https://fraser.stlouisfed.org/files/docs/publications/ppi/1980s/ppi_198012.pdf?utm_source=direct_download</t>
        </r>
      </text>
    </comment>
    <comment ref="B55" authorId="0" shapeId="0" xr:uid="{9E9A588F-F01C-44E1-B410-FD20912ADF3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https://fraser.stlouisfed.org/files/docs/publications/ppi/1980s/ppi_198102.pdf?utm_source=direct_download</t>
        </r>
      </text>
    </comment>
    <comment ref="C55" authorId="0" shapeId="0" xr:uid="{1C40B5FE-206A-416C-B1D0-A2CFDBB4008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https://fraser.stlouisfed.org/files/docs/publications/ppi/1980s/ppi_198102.pdf?utm_source=direct_download</t>
        </r>
      </text>
    </comment>
    <comment ref="D55" authorId="0" shapeId="0" xr:uid="{AA4108BD-36F1-4916-84BF-6F3B93A97E5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https://fraser.stlouisfed.org/files/docs/publications/ppi/1980s/ppi_198104.pdf?utm_source=direct_download</t>
        </r>
      </text>
    </comment>
    <comment ref="E55" authorId="0" shapeId="0" xr:uid="{F77898D1-5363-4D83-B4F2-8E7CE511473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https://fraser.stlouisfed.org/files/docs/publications/ppi/1980s/ppi_198104.pdf?utm_source=direct_download</t>
        </r>
      </text>
    </comment>
    <comment ref="F55" authorId="0" shapeId="0" xr:uid="{58D9EA47-E76C-438B-BE07-A0C36EE2776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https://fraser.stlouisfed.org/files/docs/publications/ppi/1980s/ppi_198106.pdf?utm_source=direct_download</t>
        </r>
      </text>
    </comment>
    <comment ref="G55" authorId="0" shapeId="0" xr:uid="{E8F812AD-5105-4C51-865E-AEBDDEAE98D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https://fraser.stlouisfed.org/files/docs/publications/ppi/1980s/ppi_198106.pdf?utm_source=direct_download</t>
        </r>
      </text>
    </comment>
    <comment ref="H55" authorId="0" shapeId="0" xr:uid="{08568C99-261C-4A55-BAEB-315E8512233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https://fraser.stlouisfed.org/files/docs/publications/ppi/1980s/ppi_198108.pdf?utm_source=direct_download</t>
        </r>
      </text>
    </comment>
    <comment ref="I55" authorId="0" shapeId="0" xr:uid="{B730C978-46AB-4A65-AB72-B53D00AF925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https://fraser.stlouisfed.org/files/docs/publications/ppi/1980s/ppi_198108.pdf?utm_source=direct_download</t>
        </r>
      </text>
    </comment>
    <comment ref="J55" authorId="0" shapeId="0" xr:uid="{2365D993-D805-4109-81E9-9143426609B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https://fraser.stlouisfed.org/files/docs/publications/ppi/1980s/ppi_198110.pdf?utm_source=direct_download</t>
        </r>
      </text>
    </comment>
    <comment ref="K55" authorId="0" shapeId="0" xr:uid="{EDFEAA1E-2D94-4BAB-8AB1-11E6CEA3338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https://fraser.stlouisfed.org/files/docs/publications/ppi/1980s/ppi_198110.pdf?utm_source=direct_download</t>
        </r>
      </text>
    </comment>
    <comment ref="L55" authorId="0" shapeId="0" xr:uid="{0DA8682D-E135-4CD0-B811-FEDC7FE26FB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https://fraser.stlouisfed.org/files/docs/publications/ppi/1980s/ppi_198112.pdf?utm_source=direct_download</t>
        </r>
      </text>
    </comment>
    <comment ref="M55" authorId="0" shapeId="0" xr:uid="{53F00BB4-44CF-443F-86E1-A7C43B384E0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https://fraser.stlouisfed.org/files/docs/publications/ppi/1980s/ppi_198112.pdf?utm_source=direct_download</t>
        </r>
      </text>
    </comment>
    <comment ref="B56" authorId="0" shapeId="0" xr:uid="{611499EF-4091-42E6-90C0-8FE883CCEA7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https://fraser.stlouisfed.org/files/docs/publications/ppi/1980s/ppi_021982.pdf?utm_source=direct_download</t>
        </r>
      </text>
    </comment>
    <comment ref="C56" authorId="0" shapeId="0" xr:uid="{10AB7788-A482-453E-8EAD-9743D8EAF66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https://fraser.stlouisfed.org/files/docs/publications/ppi/1980s/ppi_021982.pdf?utm_source=direct_download</t>
        </r>
      </text>
    </comment>
    <comment ref="D56" authorId="0" shapeId="0" xr:uid="{6E64FEAC-656E-492B-AE94-78F85B6F94F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https://fraser.stlouisfed.org/files/docs/publications/ppi/1980s/ppi_041982.pdf?utm_source=direct_download</t>
        </r>
      </text>
    </comment>
    <comment ref="E56" authorId="0" shapeId="0" xr:uid="{A32B5153-E14E-45DC-B543-D1C86C96ACF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https://fraser.stlouisfed.org/files/docs/publications/ppi/1980s/ppi_041982.pdf?utm_source=direct_download</t>
        </r>
      </text>
    </comment>
    <comment ref="F56" authorId="0" shapeId="0" xr:uid="{1D01C8B2-528F-4121-AD83-301CBE56D0F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https://fraser.stlouisfed.org/files/docs/publications/ppi/1980s/ppi_061982.pdf?utm_source=direct_download</t>
        </r>
      </text>
    </comment>
    <comment ref="G56" authorId="0" shapeId="0" xr:uid="{9705F79E-2C9D-4521-872F-63C85A257B4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https://fraser.stlouisfed.org/files/docs/publications/ppi/1980s/ppi_061982.pdf?utm_source=direct_download</t>
        </r>
      </text>
    </comment>
    <comment ref="H56" authorId="0" shapeId="0" xr:uid="{18818281-D57A-45E2-AA8E-7027D1B68B9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https://fraser.stlouisfed.org/files/docs/publications/ppi/1980s/ppi_081982.pdf?utm_source=direct_download</t>
        </r>
      </text>
    </comment>
    <comment ref="I56" authorId="0" shapeId="0" xr:uid="{4D3267D6-948B-4596-91A0-61A20C3C5A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https://fraser.stlouisfed.org/files/docs/publications/ppi/1980s/ppi_081982.pdf?utm_source=direct_download</t>
        </r>
      </text>
    </comment>
    <comment ref="J56" authorId="0" shapeId="0" xr:uid="{DCE3D281-7BA9-414D-A41F-6ECE55192DA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https://fraser.stlouisfed.org/files/docs/publications/ppi/1980s/ppi_101982.pdf?utm_source=direct_download</t>
        </r>
      </text>
    </comment>
    <comment ref="K56" authorId="0" shapeId="0" xr:uid="{D7629AA0-11B0-467A-A90D-EE2F25CD44C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https://fraser.stlouisfed.org/files/docs/publications/ppi/1980s/ppi_101982.pdf?utm_source=direct_download</t>
        </r>
      </text>
    </comment>
    <comment ref="L56" authorId="0" shapeId="0" xr:uid="{E3A53F2B-C227-4C8C-81F2-E7DED1C256E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https://fraser.stlouisfed.org/files/docs/publications/ppi/1980s/ppi_121982.pdf?utm_source=direct_download</t>
        </r>
      </text>
    </comment>
    <comment ref="M56" authorId="0" shapeId="0" xr:uid="{D49208C1-2BF2-47D7-A131-341FE6CD5A8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https://fraser.stlouisfed.org/files/docs/publications/ppi/1980s/ppi_121982.pdf?utm_source=direct_download</t>
        </r>
      </text>
    </comment>
    <comment ref="B57" authorId="0" shapeId="0" xr:uid="{347880E8-DE9C-4DE4-8039-9D5F1D69D4A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https://fraser.stlouisfed.org/files/docs/publications/ppi/1980s/ppi_021983.pdf?utm_source=direct_download</t>
        </r>
      </text>
    </comment>
    <comment ref="C57" authorId="0" shapeId="0" xr:uid="{6A4E5BA0-299C-4835-8D44-3F1D111CCC9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https://fraser.stlouisfed.org/files/docs/publications/ppi/1980s/ppi_021983.pdf?utm_source=direct_download</t>
        </r>
      </text>
    </comment>
    <comment ref="D57" authorId="0" shapeId="0" xr:uid="{7DFCD71F-156C-41CD-8BE0-2F5AE91BFDA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https://fraser.stlouisfed.org/files/docs/publications/ppi/1980s/ppi_041983.pdf?utm_source=direct_download</t>
        </r>
      </text>
    </comment>
    <comment ref="E57" authorId="0" shapeId="0" xr:uid="{7AABF014-3DEA-4FC3-97D3-9E63DB0A08A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https://fraser.stlouisfed.org/files/docs/publications/ppi/1980s/ppi_041983.pdf?utm_source=direct_download</t>
        </r>
      </text>
    </comment>
    <comment ref="F57" authorId="0" shapeId="0" xr:uid="{AFDBD622-ADFD-4740-AB44-049C042FC78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https://fraser.stlouisfed.org/files/docs/publications/ppi/1980s/ppi_061983.pdf?utm_source=direct_download</t>
        </r>
      </text>
    </comment>
    <comment ref="G57" authorId="0" shapeId="0" xr:uid="{A343C068-20DB-411A-9E34-793E41CAF17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https://fraser.stlouisfed.org/files/docs/publications/ppi/1980s/ppi_061983.pdf?utm_source=direct_download</t>
        </r>
      </text>
    </comment>
    <comment ref="H57" authorId="0" shapeId="0" xr:uid="{27F90FB6-D52D-4EE0-A877-1407AAF2585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https://fraser.stlouisfed.org/files/docs/publications/ppi/1980s/ppi_081983.pdf?utm_source=direct_download</t>
        </r>
      </text>
    </comment>
    <comment ref="I57" authorId="0" shapeId="0" xr:uid="{4C50EF4E-6A77-4A38-B2D8-2A3D2F32A5F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https://fraser.stlouisfed.org/files/docs/publications/ppi/1980s/ppi_081983.pdf?utm_source=direct_download</t>
        </r>
      </text>
    </comment>
    <comment ref="J57" authorId="0" shapeId="0" xr:uid="{2AD8C3ED-016F-4FB3-8A43-CD471C15454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https://fraser.stlouisfed.org/files/docs/publications/ppi/1980s/ppi_101983.pdf?utm_source=direct_download</t>
        </r>
      </text>
    </comment>
    <comment ref="K57" authorId="0" shapeId="0" xr:uid="{76F34DB9-1F7B-4871-871C-8A6E9673961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https://fraser.stlouisfed.org/files/docs/publications/ppi/1980s/ppi_101983.pdf?utm_source=direct_download</t>
        </r>
      </text>
    </comment>
    <comment ref="L57" authorId="0" shapeId="0" xr:uid="{CB064FFC-445D-420B-8DF3-56EB74E3332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https://fraser.stlouisfed.org/files/docs/publications/ppi/1980s/ppi_121983.pdf?utm_source=direct_download</t>
        </r>
      </text>
    </comment>
    <comment ref="M57" authorId="0" shapeId="0" xr:uid="{CC87F643-77A3-4439-BABC-AD7CE98E977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https://fraser.stlouisfed.org/files/docs/publications/ppi/1980s/ppi_121983.pdf?utm_source=direct_download</t>
        </r>
      </text>
    </comment>
    <comment ref="B58" authorId="0" shapeId="0" xr:uid="{8C6500AF-BF8B-42FC-89C2-16443DD74D0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https://fraser.stlouisfed.org/files/docs/publications/ppi/1980s/ppi_021984.pdf?utm_source=direct_download</t>
        </r>
      </text>
    </comment>
    <comment ref="C58" authorId="0" shapeId="0" xr:uid="{B3986160-1A53-4DEA-AFC1-425A8B53BDB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https://fraser.stlouisfed.org/files/docs/publications/ppi/1980s/ppi_021984.pdf?utm_source=direct_download</t>
        </r>
      </text>
    </comment>
    <comment ref="D58" authorId="0" shapeId="0" xr:uid="{7E301AE4-2F8F-4048-AB6E-2B3C06BFCD3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https://fraser.stlouisfed.org/files/docs/publications/ppi/1980s/ppi_041984.pdf?utm_source=direct_download</t>
        </r>
      </text>
    </comment>
    <comment ref="E58" authorId="0" shapeId="0" xr:uid="{92D3EF61-498B-4912-A097-EF1B658A8B4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https://fraser.stlouisfed.org/files/docs/publications/ppi/1980s/ppi_041984.pdf?utm_source=direct_download</t>
        </r>
      </text>
    </comment>
    <comment ref="F58" authorId="0" shapeId="0" xr:uid="{8EF66345-F8F6-482B-937A-AA99B693AF4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https://fraser.stlouisfed.org/files/docs/publications/ppi/1980s/ppi_061984.pdf?utm_source=direct_download</t>
        </r>
      </text>
    </comment>
    <comment ref="G58" authorId="0" shapeId="0" xr:uid="{2C2106B2-FEDD-4497-A425-9BFD111F61C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https://fraser.stlouisfed.org/files/docs/publications/ppi/1980s/ppi_061984.pdf?utm_source=direct_download</t>
        </r>
      </text>
    </comment>
    <comment ref="H58" authorId="0" shapeId="0" xr:uid="{B15C56B1-41EC-4664-9148-662B7C3C65B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https://fraser.stlouisfed.org/files/docs/publications/ppi/1980s/ppi_081984.pdf?utm_source=direct_download</t>
        </r>
      </text>
    </comment>
    <comment ref="I58" authorId="0" shapeId="0" xr:uid="{54E56751-4B6E-4A68-BA4D-372405DAD86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https://fraser.stlouisfed.org/files/docs/publications/ppi/1980s/ppi_081984.pdf?utm_source=direct_download</t>
        </r>
      </text>
    </comment>
    <comment ref="J58" authorId="0" shapeId="0" xr:uid="{39AA5208-08A3-4349-A842-BA56BC613D4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https://fraser.stlouisfed.org/files/docs/publications/ppi/1980s/ppi_101984.pdf?utm_source=direct_download</t>
        </r>
      </text>
    </comment>
    <comment ref="K58" authorId="0" shapeId="0" xr:uid="{95D3855C-CD24-42C6-A377-4488C209A20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https://fraser.stlouisfed.org/files/docs/publications/ppi/1980s/ppi_101984.pdf?utm_source=direct_download</t>
        </r>
      </text>
    </comment>
    <comment ref="L58" authorId="0" shapeId="0" xr:uid="{84D05634-AD11-4F7C-9D08-69CCC359343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https://fraser.stlouisfed.org/files/docs/publications/ppi/1980s/ppi_121984.pdf?utm_source=direct_download</t>
        </r>
      </text>
    </comment>
    <comment ref="M58" authorId="0" shapeId="0" xr:uid="{E3593C6D-357F-42FA-AD2D-5C45E369A01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https://fraser.stlouisfed.org/files/docs/publications/ppi/1980s/ppi_121984.pdf?utm_source=direct_download</t>
        </r>
      </text>
    </comment>
    <comment ref="B59" authorId="0" shapeId="0" xr:uid="{05F369E9-EB7C-407F-AAF0-4485F8FD284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https://fraser.stlouisfed.org/files/docs/publications/ppi/1980s/ppi_021985.pdf?utm_source=direct_download</t>
        </r>
      </text>
    </comment>
    <comment ref="C59" authorId="0" shapeId="0" xr:uid="{B35C32D8-F313-4C3C-BA72-BA11F0B0CA3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https://fraser.stlouisfed.org/files/docs/publications/ppi/1980s/ppi_021985.pdf?utm_source=direct_download</t>
        </r>
      </text>
    </comment>
    <comment ref="D59" authorId="0" shapeId="0" xr:uid="{C7698D01-AC5E-427C-A553-C7F29753020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https://fraser.stlouisfed.org/files/docs/publications/ppi/1980s/ppi_041985.pdf?utm_source=direct_download</t>
        </r>
      </text>
    </comment>
    <comment ref="E59" authorId="0" shapeId="0" xr:uid="{E6E64645-2046-4773-A018-C636E88DCE38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https://fraser.stlouisfed.org/files/docs/publications/ppi/1980s/ppi_041985.pdf?utm_source=direct_download</t>
        </r>
      </text>
    </comment>
    <comment ref="F59" authorId="0" shapeId="0" xr:uid="{D01B6CF4-844F-482C-B4C4-AD9BCADD9D1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https://fraser.stlouisfed.org/files/docs/publications/ppi/1980s/ppi_061985.pdf?utm_source=direct_download</t>
        </r>
      </text>
    </comment>
    <comment ref="G59" authorId="0" shapeId="0" xr:uid="{4B030F07-4A88-4A5C-9116-986B77E47DC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https://fraser.stlouisfed.org/files/docs/publications/ppi/1980s/ppi_061985.pdf?utm_source=direct_download</t>
        </r>
      </text>
    </comment>
    <comment ref="H59" authorId="0" shapeId="0" xr:uid="{74006E9A-5E96-47C4-BBC6-41A5D9B219A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https://fraser.stlouisfed.org/files/docs/publications/ppi/1980s/ppi_081985.pdf?utm_source=direct_download</t>
        </r>
      </text>
    </comment>
    <comment ref="I59" authorId="0" shapeId="0" xr:uid="{CD868C4D-1EEF-4C71-A3F6-700F6C5FFD5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https://fraser.stlouisfed.org/files/docs/publications/ppi/1980s/ppi_081985.pdf?utm_source=direct_download</t>
        </r>
      </text>
    </comment>
    <comment ref="J59" authorId="0" shapeId="0" xr:uid="{9C72D3C2-22E0-4758-B3AE-38C825A7B79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https://fraser.stlouisfed.org/files/docs/publications/ppi/1980s/ppi_101985.pdf?utm_source=direct_download</t>
        </r>
      </text>
    </comment>
    <comment ref="K59" authorId="0" shapeId="0" xr:uid="{16A2F8DC-8D29-4FC2-92DA-40F425A3563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https://fraser.stlouisfed.org/files/docs/publications/ppi/1980s/ppi_111985.pdf?utm_source=direct_download</t>
        </r>
      </text>
    </comment>
    <comment ref="L59" authorId="0" shapeId="0" xr:uid="{1AA7C0D0-5C9B-486F-A6E5-4B31421FFF0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https://fraser.stlouisfed.org/files/docs/publications/ppi/1980s/ppi_121985.pdf?utm_source=direct_download</t>
        </r>
      </text>
    </comment>
    <comment ref="M59" authorId="0" shapeId="0" xr:uid="{D7752AB2-2746-4DAB-B9A7-AD01D967173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https://fraser.stlouisfed.org/files/docs/publications/ppi/1980s/ppi_011986.pdf?utm_source=direct_download</t>
        </r>
      </text>
    </comment>
    <comment ref="B60" authorId="0" shapeId="0" xr:uid="{B069B3B0-4A7D-41F1-A6B2-10CCB9A8A34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https://fraser.stlouisfed.org/files/docs/publications/ppi/1980s/ppi_021986.pdf?utm_source=direct_download</t>
        </r>
      </text>
    </comment>
    <comment ref="C60" authorId="0" shapeId="0" xr:uid="{7DF5E014-A2EC-4BCF-AF6D-5439EE86F64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https://fraser.stlouisfed.org/files/docs/publications/ppi/1980s/ppi_021986.pdf?utm_source=direct_download</t>
        </r>
      </text>
    </comment>
    <comment ref="D60" authorId="0" shapeId="0" xr:uid="{08853CC6-2DE2-4CE4-9CFC-6067C0BF3F6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https://fraser.stlouisfed.org/files/docs/publications/ppi/1980s/ppi_041986.pdf?utm_source=direct_download</t>
        </r>
      </text>
    </comment>
    <comment ref="E60" authorId="0" shapeId="0" xr:uid="{F6C99E2C-0403-430F-8748-E6707BBAD20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https://fraser.stlouisfed.org/files/docs/publications/ppi/1980s/ppi_041986.pdf?utm_source=direct_download</t>
        </r>
      </text>
    </comment>
    <comment ref="F60" authorId="0" shapeId="0" xr:uid="{F9146EC1-EAAA-4237-8833-29E6710599E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https://fraser.stlouisfed.org/files/docs/publications/ppi/1980s/ppi_061986.pdf?utm_source=direct_download</t>
        </r>
      </text>
    </comment>
    <comment ref="G60" authorId="0" shapeId="0" xr:uid="{EE8B9C36-9E09-4E88-9BCC-664C827352B3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https://fraser.stlouisfed.org/files/docs/publications/ppi/1980s/ppi_061986.pdf?utm_source=direct_download</t>
        </r>
      </text>
    </comment>
    <comment ref="H60" authorId="0" shapeId="0" xr:uid="{AD41CF9C-8B5B-4B4A-AFCC-F4FD547B600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https://fraser.stlouisfed.org/files/docs/publications/ppi/1980s/ppi_081986.pdf?utm_source=direct_download</t>
        </r>
      </text>
    </comment>
    <comment ref="I60" authorId="0" shapeId="0" xr:uid="{E2C97FDF-6C4E-4680-81E9-3965CD6D001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https://fraser.stlouisfed.org/files/docs/publications/ppi/1980s/ppi_081986.pdf?utm_source=direct_download</t>
        </r>
      </text>
    </comment>
    <comment ref="J60" authorId="0" shapeId="0" xr:uid="{80F6B593-74A4-4F47-B70F-C1C41EE9E44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https://fraser.stlouisfed.org/files/docs/publications/ppi/1980s/ppi_101986.pdf?utm_source=direct_download</t>
        </r>
      </text>
    </comment>
    <comment ref="K60" authorId="0" shapeId="0" xr:uid="{DF80B6C6-1395-48D4-85E8-0CBFC9219BB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https://fraser.stlouisfed.org/files/docs/publications/ppi/1980s/ppi_101986.pdf?utm_source=direct_download</t>
        </r>
      </text>
    </comment>
    <comment ref="L60" authorId="0" shapeId="0" xr:uid="{28480820-682D-469D-A3A5-6A5B4109BFD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https://fraser.stlouisfed.org/files/docs/publications/ppi/1980s/ppi_121986.pdf?utm_source=direct_download</t>
        </r>
      </text>
    </comment>
    <comment ref="M60" authorId="0" shapeId="0" xr:uid="{B9CA8C23-C4D1-4941-87B0-08DBC9AA1E35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https://fraser.stlouisfed.org/files/docs/publications/ppi/1980s/ppi_121986.pdf?utm_source=direct_download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M4" authorId="0" shapeId="0" xr:uid="{CC42D3BC-0D27-4777-9311-6664A40C6F8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G37" authorId="0" shapeId="0" xr:uid="{ED474D79-3E57-449A-A470-4FD89DFE08B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1984 and 1985 are averaged because they seem too noisy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Soloveichik, Rachel</author>
  </authors>
  <commentList>
    <comment ref="I3" authorId="0" shapeId="0" xr:uid="{FD75EBEE-97E9-477D-A715-400CB13912C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https://www.iab.com/wp-content/uploads/2021/04/IAB_2020-Internet-Advertising-Revenue-Report-Webinar_4.7.21-PwC-1.pdf</t>
        </r>
      </text>
    </comment>
    <comment ref="I4" authorId="0" shapeId="0" xr:uid="{5BB26066-BCEF-460D-A287-D913390FA299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https://www.iab.com/wp-content/uploads/2020/05/FY19-IAB-Internet-Ad-Revenue-Report_Final.pdf</t>
        </r>
      </text>
    </comment>
    <comment ref="I5" authorId="0" shapeId="0" xr:uid="{6B5B631F-541A-4FF7-80F7-7FCCC3561D9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279FBF9C-47C4-404C-92CA-05DFD7D747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1" shapeId="0" xr:uid="{834EEC4B-EFB5-4F4E-A521-B893A79C5672}">
      <text>
        <r>
          <rPr>
            <b/>
            <sz val="8"/>
            <color indexed="81"/>
            <rFont val="Tahoma"/>
            <family val="2"/>
          </rPr>
          <t>Soloveichik, Rachel:</t>
        </r>
        <r>
          <rPr>
            <sz val="8"/>
            <color indexed="81"/>
            <rFont val="Tahoma"/>
            <family val="2"/>
          </rPr>
          <t xml:space="preserve">
http://ir.comscore.com/releasedetail.cfm?ReleaseID=362732</t>
        </r>
      </text>
    </comment>
    <comment ref="G16" authorId="1" shapeId="0" xr:uid="{311400BC-460A-4692-885F-65CD08A6B418}">
      <text>
        <r>
          <rPr>
            <b/>
            <sz val="8"/>
            <color indexed="81"/>
            <rFont val="Tahoma"/>
            <family val="2"/>
          </rPr>
          <t>Soloveichik, Rachel:</t>
        </r>
        <r>
          <rPr>
            <sz val="8"/>
            <color indexed="81"/>
            <rFont val="Tahoma"/>
            <family val="2"/>
          </rPr>
          <t xml:space="preserve">
http://ir.comscore.com/releasedetail.cfm?releaseid=290856</t>
        </r>
      </text>
    </comment>
    <comment ref="G17" authorId="1" shapeId="0" xr:uid="{F1D52601-A7A0-44DF-A9DD-D124D9AB3786}">
      <text>
        <r>
          <rPr>
            <b/>
            <sz val="8"/>
            <color indexed="81"/>
            <rFont val="Tahoma"/>
            <family val="2"/>
          </rPr>
          <t>Soloveichik, Rachel:</t>
        </r>
        <r>
          <rPr>
            <sz val="8"/>
            <color indexed="81"/>
            <rFont val="Tahoma"/>
            <family val="2"/>
          </rPr>
          <t xml:space="preserve">
http://blog.ineedhits.com/search-news/google-yahoo-dominate-search-in-december-2006-15052309.html</t>
        </r>
      </text>
    </comment>
    <comment ref="G18" authorId="1" shapeId="0" xr:uid="{CEC71405-1006-47AD-BAE4-59866537691C}">
      <text>
        <r>
          <rPr>
            <b/>
            <sz val="8"/>
            <color indexed="81"/>
            <rFont val="Tahoma"/>
            <family val="2"/>
          </rPr>
          <t>Soloveichik, Rachel:</t>
        </r>
        <r>
          <rPr>
            <sz val="8"/>
            <color indexed="81"/>
            <rFont val="Tahoma"/>
            <family val="2"/>
          </rPr>
          <t xml:space="preserve">
https://books.google.com/books?id=QVcsBgAAQBAJ&amp;pg=PA76&amp;lpg=PA76&amp;dq=growth+rate+for+search+2005+comscore&amp;source=bl&amp;ots=E-A-60e91z&amp;sig=l0NXWr7pzJvpiOvEfVhbFaQ_DXM&amp;hl=en&amp;sa=X&amp;ved=0ahUKEwju5bz39evVAhVLzoMKHSl_AmwQ6AEISzAH#v=onepage&amp;q&amp;f=false</t>
        </r>
      </text>
    </comment>
    <comment ref="G19" authorId="1" shapeId="0" xr:uid="{07082F0A-EC36-4F18-BB9A-30287A950A1D}">
      <text>
        <r>
          <rPr>
            <b/>
            <sz val="8"/>
            <color indexed="81"/>
            <rFont val="Tahoma"/>
            <family val="2"/>
          </rPr>
          <t>Soloveichik, Rachel:</t>
        </r>
        <r>
          <rPr>
            <sz val="8"/>
            <color indexed="81"/>
            <rFont val="Tahoma"/>
            <family val="2"/>
          </rPr>
          <t xml:space="preserve">
https://www.informationweek.com/google-widens-search-lead-as-growth-slows/d/d-id/1040924</t>
        </r>
      </text>
    </comment>
  </commentList>
</comments>
</file>

<file path=xl/sharedStrings.xml><?xml version="1.0" encoding="utf-8"?>
<sst xmlns="http://schemas.openxmlformats.org/spreadsheetml/2006/main" count="2133" uniqueCount="318">
  <si>
    <t>Hourly Wages</t>
  </si>
  <si>
    <t>Nominal PCE</t>
  </si>
  <si>
    <t>Less rental value of farm housing (assumed to be either owner-occupied or employee-occupied)</t>
  </si>
  <si>
    <t>Audiovisual Movie Theaters</t>
  </si>
  <si>
    <t>Ratio of Calendar Year Revenue to Fiscal Year Revenue</t>
  </si>
  <si>
    <t>.</t>
  </si>
  <si>
    <t>Total Population of the United States</t>
  </si>
  <si>
    <t>Child Share of Population</t>
  </si>
  <si>
    <t>Number of Newspaper Copies, Previous Research</t>
  </si>
  <si>
    <t>Time Spent Online, Excluding Video https://www.emarketer.com/content/us-adults-added-1-hour-of-digital-time-2020 and https://www.emarketer.com/content/us-time-spent-with-media-2018</t>
  </si>
  <si>
    <t>Digital Video Time https://www.emarketer.com/content/us-adults-added-1-hour-of-digital-time-2020 and https://www.emarketer.com/content/us-time-spent-with-media-2018</t>
  </si>
  <si>
    <t>Magazine Circulation from Page 54 of https://modjourn.org/wp-content/uploads/1956/01/magazines-twentieth-century.pdf</t>
  </si>
  <si>
    <t>Advertising</t>
  </si>
  <si>
    <t>Purchased advertising services, from previous research</t>
  </si>
  <si>
    <t>Previous research, smoothed</t>
  </si>
  <si>
    <t>Previous research,smoothed</t>
  </si>
  <si>
    <t>Print direct mail</t>
  </si>
  <si>
    <t>Audiovisual Radio + Ad Agency Radio Shows</t>
  </si>
  <si>
    <t>NAICS 71 Sponsor</t>
  </si>
  <si>
    <t>NAICS 81 Sponsor</t>
  </si>
  <si>
    <t>Print direct nonmail</t>
  </si>
  <si>
    <t>Series Id:</t>
  </si>
  <si>
    <t>WPU361101</t>
  </si>
  <si>
    <t>Not Seasonally Adjusted</t>
  </si>
  <si>
    <t>Series Title:</t>
  </si>
  <si>
    <t>PPI Commodity data for Advertising space and time sales-Advertising space sales in periodicals, not seasonally adjusted</t>
  </si>
  <si>
    <t>Group:</t>
  </si>
  <si>
    <t>Advertising space and time sales</t>
  </si>
  <si>
    <t>Item:</t>
  </si>
  <si>
    <t>Advertising space sales in periodicals</t>
  </si>
  <si>
    <t>Base Date:</t>
  </si>
  <si>
    <t>Download: 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</si>
  <si>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</si>
  <si>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</si>
  <si>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</si>
  <si>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</si>
  <si>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</si>
  <si>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</si>
  <si>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</si>
  <si>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</si>
  <si>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</si>
  <si>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</si>
  <si>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</si>
  <si>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</si>
  <si>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</si>
  <si>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466.352(P)</t>
  </si>
  <si>
    <t>P : Preliminary. All indexes are subject to monthly revisions up to four months after original publication.</t>
  </si>
  <si>
    <t>WPU361102</t>
  </si>
  <si>
    <t>PPI Commodity data for Advertising space and time sales-Advertising space sales in newspapers, not seasonally adjusted</t>
  </si>
  <si>
    <t>Advertising space sales in newspapers</t>
  </si>
  <si>
    <t>361.910(P)</t>
  </si>
  <si>
    <t>PDU2711#7</t>
  </si>
  <si>
    <t>Industry:</t>
  </si>
  <si>
    <t>Newspaper publishing</t>
  </si>
  <si>
    <t>Product:</t>
  </si>
  <si>
    <t>PDU2711#721</t>
  </si>
  <si>
    <t>National advertising</t>
  </si>
  <si>
    <t>PDU2721#A</t>
  </si>
  <si>
    <t>Periodical publishing</t>
  </si>
  <si>
    <t>WPU363</t>
  </si>
  <si>
    <t>PPI Commodity data for Advertising space and time sales-Radio advertising time sales, not seasonally adjusted</t>
  </si>
  <si>
    <t>Radio advertising time sales</t>
  </si>
  <si>
    <t>93.616(P)</t>
  </si>
  <si>
    <t>100.033(P)</t>
  </si>
  <si>
    <t>96.973(P)</t>
  </si>
  <si>
    <t>90.965(P)</t>
  </si>
  <si>
    <t>Advertising printing (lithographic)</t>
  </si>
  <si>
    <t>Sign mfg</t>
  </si>
  <si>
    <t>Advertising agencies</t>
  </si>
  <si>
    <t>Total Spending for Included Categories Back to 1929</t>
  </si>
  <si>
    <t>Absolute Price Indexes</t>
  </si>
  <si>
    <t>Combined prices for categories with data back to 1929</t>
  </si>
  <si>
    <t>Radio broadcasting stations</t>
  </si>
  <si>
    <t>Directory and mailing list publishers</t>
  </si>
  <si>
    <t>293.846(P)</t>
  </si>
  <si>
    <t>Internet publishing and web search portals</t>
  </si>
  <si>
    <t>NDU519130519130101</t>
  </si>
  <si>
    <t>PPI industry data for Internet publishing and web search portals-Internet publishing and web search portals - search and textual advertising sales, not seasonally adjusted, discontinued</t>
  </si>
  <si>
    <t>Internet publishing and web search portals - search and textual advertising sales</t>
  </si>
  <si>
    <t>Digital search</t>
  </si>
  <si>
    <t>Total Spending for Included Categories Back to 1997</t>
  </si>
  <si>
    <t>Combined prices for categories with data back to 1997</t>
  </si>
  <si>
    <t>Measuring Inflation In the U.S. Printing and Publishing Industry by William Lofquist</t>
  </si>
  <si>
    <t>https://www.google.com/books/edition/Printing_and_Publishing/Kd_gAAAAMAAJ?hl=en&amp;gbpv=1&amp;dq=producer+price+index+newspaper&amp;pg=RA2-PA3&amp;printsec=frontcover</t>
  </si>
  <si>
    <t>SIC 27112</t>
  </si>
  <si>
    <t>SIC 27216</t>
  </si>
  <si>
    <t>SIC 27525</t>
  </si>
  <si>
    <t>4811-911</t>
  </si>
  <si>
    <t>Audiovisual Television Broadcast + Ad Agency Television Shows</t>
  </si>
  <si>
    <t>NDU5152105152101</t>
  </si>
  <si>
    <t>PPI industry data for Cable and other subscription programming-Cable network advertising services, not seasonally adjusted, discontinued</t>
  </si>
  <si>
    <t>Cable and other subscription programming</t>
  </si>
  <si>
    <t>Cable network advertising services</t>
  </si>
  <si>
    <t>Hourly advertising cost index</t>
  </si>
  <si>
    <t>Weekly newspaper readership time, previous research</t>
  </si>
  <si>
    <t>Desktopshare of search industry, previous research</t>
  </si>
  <si>
    <t>Combined quantity Index</t>
  </si>
  <si>
    <t>Growth Rate for Search, previous research</t>
  </si>
  <si>
    <t>Global Google Searches http://www.internetlivestats.com/google-search-statistics/#trend, previous research</t>
  </si>
  <si>
    <t>Quantity Index of readership</t>
  </si>
  <si>
    <t>PPI's extrapolated without trends or economic condition adjustments</t>
  </si>
  <si>
    <t>Total Spending for Included Categories Back to 1900</t>
  </si>
  <si>
    <t>Combined prices for categories with data back to 1900</t>
  </si>
  <si>
    <t>Spliced together index, without adjustment for trends or economic conditions</t>
  </si>
  <si>
    <t>Total Spending for Included Categories Back to 1950</t>
  </si>
  <si>
    <t>Combined prices for categories with data back to 1950</t>
  </si>
  <si>
    <t>Growth rate of real spending</t>
  </si>
  <si>
    <t>BEA's Advertising Deflator</t>
  </si>
  <si>
    <t>SIC 27411</t>
  </si>
  <si>
    <t>Total Spending for Included Categories Back to 1963</t>
  </si>
  <si>
    <t>Radio and TV broadcasting, except cable TV</t>
  </si>
  <si>
    <t>87SIC_GO_C _Price Indexes</t>
  </si>
  <si>
    <t>https://www.bea.gov/industry/historical-industry-accounts-data</t>
  </si>
  <si>
    <t>72SIC_GO_C_Price Indexes</t>
  </si>
  <si>
    <t>BEA's Deflator for Manufacturing Shipments</t>
  </si>
  <si>
    <t>Commercial printing, lithographic</t>
  </si>
  <si>
    <t>Signs and Advertising Displays</t>
  </si>
  <si>
    <t>Total Spending for Included Categories Back to 1977</t>
  </si>
  <si>
    <t>Combined prices for categories with data back to 1977</t>
  </si>
  <si>
    <t>Hourly advertising costs</t>
  </si>
  <si>
    <t>Time Watching Ad-Supported Cable Channels https://www.statista.com/statistics/186882/average-cable-television-use-per-person-in-the-us-since-2002/, minutes per day per person</t>
  </si>
  <si>
    <t>Time spent watching ad-supported cable channels, hours per year per person https://www.statista.com/statistics/186889/average-cable-television-use-per-person-in-the-us-by-type-since-2002/</t>
  </si>
  <si>
    <t>Total Time Spent Watching television, previous research</t>
  </si>
  <si>
    <t>Share of Time Watching Cable channels. Table 11 from "Broadcast Television: Survivor in a Sea of Competition" and https://www.nielsen.com/insights/2021/the-gauge-shows-streaming-takes-a-seat-at-the-table/?utm_campaign=Nielsen_Audience_Measurement&amp;utm_content=Gauge&amp;utm_id=NLSN_06_17_2021&amp;utm_source=twitter&amp;utm_medium=Organic_Social/</t>
  </si>
  <si>
    <t>Growth in Cable Share from Q4 2019 to Q4 2020 https://www.nielsen.com/insights/2023/connectivity-is-driving-how-americans-are-engaging-with-tv/</t>
  </si>
  <si>
    <t>Growth in Cable share from 2003 to 2018, footnote 173 of https://www.justice.gov/atr/page/file/1201401/download</t>
  </si>
  <si>
    <t>Combined PPI's using full sample, missing PPI's extrapolated</t>
  </si>
  <si>
    <t>Combined prices for all categories</t>
  </si>
  <si>
    <t>Average of hourly and PPI, full sample</t>
  </si>
  <si>
    <t>PDU4841#2</t>
  </si>
  <si>
    <t>Cable and other pay television services</t>
  </si>
  <si>
    <t>Cable advertising services</t>
  </si>
  <si>
    <t>NDU5175105175102</t>
  </si>
  <si>
    <t>PPI industry data for Cable and other program distribution-Local cable system advertising services, not seasonally adjusted, discontinued</t>
  </si>
  <si>
    <t>Cable and other program distribution</t>
  </si>
  <si>
    <t>Local cable system advertising services</t>
  </si>
  <si>
    <t>WPU362102</t>
  </si>
  <si>
    <t>PPI Commodity data for Advertising space and time sales-Cable network advertising time sales, not seasonally adjusted</t>
  </si>
  <si>
    <t>Cable network advertising time sales</t>
  </si>
  <si>
    <t>85.714(P)</t>
  </si>
  <si>
    <t>87.580(P)</t>
  </si>
  <si>
    <t>82.582(P)</t>
  </si>
  <si>
    <t>81.279(P)</t>
  </si>
  <si>
    <t>WPU362103</t>
  </si>
  <si>
    <t>PPI Commodity data for Advertising space and time sales-Local cable system advertising time sales, not seasonally adjusted</t>
  </si>
  <si>
    <t>Local cable system advertising time sales</t>
  </si>
  <si>
    <t>73.245(P)</t>
  </si>
  <si>
    <t>Peter's Advertising Deflator</t>
  </si>
  <si>
    <t>NDU5151205151203</t>
  </si>
  <si>
    <t>PPI industry data for Television broadcasting-Television advertising sales, not seasonally adjusted, discontinued</t>
  </si>
  <si>
    <t>Television broadcasting</t>
  </si>
  <si>
    <t>Television advertising sales</t>
  </si>
  <si>
    <t>NDU515120515120101</t>
  </si>
  <si>
    <t>PPI industry data for Television broadcasting-Television station advertising sales, not seasonally adjusted, discontinued</t>
  </si>
  <si>
    <t>Television station advertising sales</t>
  </si>
  <si>
    <t>NDU5151205151201</t>
  </si>
  <si>
    <t>PPI industry data for Television broadcasting-Local television station services, not seasonally adjusted, discontinued</t>
  </si>
  <si>
    <t>Local television station services</t>
  </si>
  <si>
    <t>PCU516110516110101</t>
  </si>
  <si>
    <t>PPI industry data for Radio broadcasting stations-Radio station advertising sales, not seasonally adjusted</t>
  </si>
  <si>
    <t>Radio station advertising sales</t>
  </si>
  <si>
    <t>175.509(P)</t>
  </si>
  <si>
    <t>184.772(P)</t>
  </si>
  <si>
    <t>179.255(P)</t>
  </si>
  <si>
    <t>170.610(P)</t>
  </si>
  <si>
    <t>PCU541810541810</t>
  </si>
  <si>
    <t>PPI industry data for Advertising agencies, not seasonally adjusted</t>
  </si>
  <si>
    <t>150.269(P)</t>
  </si>
  <si>
    <t>150.266(P)</t>
  </si>
  <si>
    <t>150.141(P)</t>
  </si>
  <si>
    <t>150.142(P)</t>
  </si>
  <si>
    <t>Signs and advertising specialties</t>
  </si>
  <si>
    <t>PCU339950339950</t>
  </si>
  <si>
    <t>PPI industry data for Sign mfg, not seasonally adjusted</t>
  </si>
  <si>
    <t>228.113(P)</t>
  </si>
  <si>
    <t>236.043(P)</t>
  </si>
  <si>
    <t>236.016(P)</t>
  </si>
  <si>
    <t>236.480(P)</t>
  </si>
  <si>
    <t>This industry includes advertising specialties</t>
  </si>
  <si>
    <t>Quantity Index for Movie Theater Watching, from BEA's Table 2.4.3U and Previous Research</t>
  </si>
  <si>
    <t>Count of Movie Tickets Sold Annually,  http://www.waynesthisandthat.com/moviedata.html</t>
  </si>
  <si>
    <t>No BLS PPI could be located. For now, this paper uses BEA's Gross Output Deflator for Spectator Sports U.Chain-Type Price Indexes for Gross Output by Industry - Detail Level, line 384</t>
  </si>
  <si>
    <t>7941</t>
  </si>
  <si>
    <t>Professional sports clubs and promoters</t>
  </si>
  <si>
    <t>No BLS PPI could be located. For now, this paper uses BEA's Gross Output Deflator for Civic, Social, Professiona, and Similar Organizations U.Chain-Type Price Indexes for Gross Output by Industry - Detail Level, line 405</t>
  </si>
  <si>
    <t>861,2</t>
  </si>
  <si>
    <t>Business associations &amp; professional membership organizations</t>
  </si>
  <si>
    <t>Total Spending for Included Categories Back to 1987</t>
  </si>
  <si>
    <t>Combined prices for categories with data back to 1987</t>
  </si>
  <si>
    <t>Final Price Index</t>
  </si>
  <si>
    <t>Newspapers</t>
  </si>
  <si>
    <t>Directories</t>
  </si>
  <si>
    <t>Background Data for Viewership Quantity Indexes</t>
  </si>
  <si>
    <t>Background data for PPI's</t>
  </si>
  <si>
    <t>Quantity Index of Time watching sold broadcast commercials</t>
  </si>
  <si>
    <t>Background data for viewership quantity index</t>
  </si>
  <si>
    <t>Background data for PPI index</t>
  </si>
  <si>
    <t>NDU519130519130102</t>
  </si>
  <si>
    <t>PPI industry data for Internet publishing and web search portals-Internet publishing and web search portals - display and other advertising sales, not seasonally adjusted, discontinued</t>
  </si>
  <si>
    <t>Internet publishing and web search portals - display and other advertising sales</t>
  </si>
  <si>
    <t>Jan This tracks desktops only https://www.statista.com/statistics/265796/us-search-engines-ranked-by-number-of-core-searches/</t>
  </si>
  <si>
    <t>Apr This tracks desktops only https://www.statista.com/statistics/265796/us-search-engines-ranked-by-number-of-core-searches/</t>
  </si>
  <si>
    <t>Jul This tracks desktops only https://www.statista.com/statistics/265796/us-search-engines-ranked-by-number-of-core-searches/</t>
  </si>
  <si>
    <t>NDU519130519130</t>
  </si>
  <si>
    <t>PPI industry data for Internet publishing and web search portals, not seasonally adjusted, discontinued</t>
  </si>
  <si>
    <t>First-Class Advertising Only Pieces of Marketing Mail Received by Households Table A8-12 and A8-15 https://www.prc.gov/docs/119/119244/Final%20HDS%202020%20Annual%20report.pdf</t>
  </si>
  <si>
    <t>First-Class Secondary Advertising Pieces of Marketing Mail Received by Households Table A8-12 and A8-15 https://www.prc.gov/docs/119/119244/Final%20HDS%202020%20Annual%20report.pdf</t>
  </si>
  <si>
    <t>Marketing Ads (Regular, ECR, Non-Profit and Unsolicitied Packages)  Pieces of Marketing Mail Received by Households Table A8-12 and A8-15 https://www.prc.gov/docs/119/119244/Final%20HDS%202020%20Annual%20report.pdf</t>
  </si>
  <si>
    <t>Advertising Mail Relative to Standard Mail Pieces of Marketing Mail Received by Households Table A8-12 and A8-15 https://www.prc.gov/docs/119/119244/Final%20HDS%202020%20Annual%20report.pdf</t>
  </si>
  <si>
    <t>Usually Read, Total Pieces of Marketing Mail Received by Households Table A8-12 and A8-15 https://www.prc.gov/docs/119/119244/Final%20HDS%202020%20Annual%20report.pdf</t>
  </si>
  <si>
    <t>Usually Scan, Total Pieces of Marketing Mail Received by Households Table A8-12 and A8-15 https://www.prc.gov/docs/119/119244/Final%20HDS%202020%20Annual%20report.pdf</t>
  </si>
  <si>
    <t>Read Some, Total Pieces of Marketing Mail Received by Households Table A8-12 and A8-15 https://www.prc.gov/docs/119/119244/Final%20HDS%202020%20Annual%20report.pdf</t>
  </si>
  <si>
    <t>Usually Don't Reat, Total Pieces of Marketing Mail Received by Households Table A8-12 and A8-15 https://www.prc.gov/docs/119/119244/Final%20HDS%202020%20Annual%20report.pdf</t>
  </si>
  <si>
    <t>Usually Read, Total Table A4-9 of https://www.prc.gov/docs/47/47006/Household-Diary-Study.pdf</t>
  </si>
  <si>
    <t>Usually Scan, Total Table A4-9 of https://www.prc.gov/docs/47/47006/Household-Diary-Study.pdf</t>
  </si>
  <si>
    <t>Read Some, Total Table A4-9 of https://www.prc.gov/docs/47/47006/Household-Diary-Study.pdf</t>
  </si>
  <si>
    <t>Usually Don't Reat, Total Table A4-9 of https://www.prc.gov/docs/47/47006/Household-Diary-Study.pdf</t>
  </si>
  <si>
    <t>No information could be located on viewership quantity indexes</t>
  </si>
  <si>
    <t>72SIC_SHIP_C_Price Indexes</t>
  </si>
  <si>
    <t>Time spent with television, https://www.insiderintelligence.com/chart/243748/tv-vs-digital-video-average-time-spent-us-2018-2022-hrsmins-per-day-among-population https://www.insideradio.com/free/emarketer-adults-spend-half-of-daily-media-usage-on-digital/article_24addc46-ad97-11e7-bbda-4f926ba26027.html#:~:text=eMarketer%20says%20daily%20usage%20for,day%20by%202019%2C%20eMarketer%20estimates.</t>
  </si>
  <si>
    <t>Print newspaper</t>
  </si>
  <si>
    <t>Print magazines</t>
  </si>
  <si>
    <t>Print directories</t>
  </si>
  <si>
    <t>Audiovisual Television Cable and Audiovisual Internet</t>
  </si>
  <si>
    <t>Purchased advertising services. Note that these numbers don't match the PPI numbers because I shift advertising from its industry to its category</t>
  </si>
  <si>
    <t>Digital nonsearch Internet (including digital newspaper, magazines, and directories)</t>
  </si>
  <si>
    <t>Digital search and classified</t>
  </si>
  <si>
    <t>Audiovisual Television Cable + Audiovisual Internet</t>
  </si>
  <si>
    <t>Quantity Index of Time Spent Enjoying "Free" Digital Content,  Previous Research</t>
  </si>
  <si>
    <t>Online audiovisual quantity index, previous research</t>
  </si>
  <si>
    <t>Quantity Index of Time Watching sold television commercials Per Person</t>
  </si>
  <si>
    <t>Periodicals</t>
  </si>
  <si>
    <t>Movie theaters</t>
  </si>
  <si>
    <t>Radio + ad agency radio shows</t>
  </si>
  <si>
    <t>Broadcast television + ad agency television shows</t>
  </si>
  <si>
    <t>Cable television</t>
  </si>
  <si>
    <t>Digital and audiovisual internet, excluding search</t>
  </si>
  <si>
    <t>Search internet</t>
  </si>
  <si>
    <t>NAICS 5418, not elsewhere classified</t>
  </si>
  <si>
    <t>NAICS 71 sponsor</t>
  </si>
  <si>
    <t>NAICS 81 sponsor</t>
  </si>
  <si>
    <t>Less food produced and consumed by farm households</t>
  </si>
  <si>
    <t>Less imputed rental of owner-occupied nonfarm housing</t>
  </si>
  <si>
    <t>Private intermediate inputs</t>
  </si>
  <si>
    <t>Private investment</t>
  </si>
  <si>
    <t>Less private own-account construction investment (based on make of commodities by sector before redefinitions)</t>
  </si>
  <si>
    <t>Less private own-account production of 5412OP</t>
  </si>
  <si>
    <t>Less private own-account software investment</t>
  </si>
  <si>
    <t>Less private own-account entertainment originals investment</t>
  </si>
  <si>
    <t>Nominal measures of spending influenced by advertising</t>
  </si>
  <si>
    <t>Price index for spending influenced by advertising</t>
  </si>
  <si>
    <t>Construction cost index, used as a proxy for spending costs before 1929</t>
  </si>
  <si>
    <t>Hourly wages, used as a proxy for nominal spending per adult</t>
  </si>
  <si>
    <t>Quantity Index for spending influenced by advertising</t>
  </si>
  <si>
    <t>Total population</t>
  </si>
  <si>
    <t>Child share of population</t>
  </si>
  <si>
    <t>Real spending per adult</t>
  </si>
  <si>
    <t>Calculated Hourly Ad Costs Relative to PPI's. Note that hourly costs sometimes track slightly different commodities than the PPI's</t>
  </si>
  <si>
    <t>Growth in ratio of hourly cost to PPI. Calculated when data is available and forecast using Excel when it's not</t>
  </si>
  <si>
    <t>PPI's extrapolated with hourly costs, trends and economic condition adjustments</t>
  </si>
  <si>
    <t>Personal consumption expenditure (PCE) deflator for professional services (BEA's NIPA Table 2.4.4, line 104)</t>
  </si>
  <si>
    <t>Growth in ratio of PCE deflator for professional services relative to PPI</t>
  </si>
  <si>
    <t>PPI's Extrapolated with PCE deflator for professional services, hourly costs, trends and economic condition adjustments</t>
  </si>
  <si>
    <t>Total spending for all categories</t>
  </si>
  <si>
    <t>Total spending for only categories with hourly cost information</t>
  </si>
  <si>
    <t>Combined prices for only categories with hourly costs information</t>
  </si>
  <si>
    <t>BLS PPI's and BEA deflators</t>
  </si>
  <si>
    <t>Newspaper readership quantity index</t>
  </si>
  <si>
    <t>Daily newspaper circulation https://www.pewresearch.org/journalism/fact-sheet/newspapers/.  It Includes some digital, but not the digital versions of the big national papers (NYTimes, WSJ, etc.)</t>
  </si>
  <si>
    <t>Sunday newspaper circulation https://www.pewresearch.org/journalism/fact-sheet/newspapers/.  It Includes some digital, but not the digital versions of the big national papers (NYTimes, WSJ, etc.)</t>
  </si>
  <si>
    <t>Taken from Gallup.</t>
  </si>
  <si>
    <t>Taken from Sponsor magazine</t>
  </si>
  <si>
    <t>Previous research, change in time per reader from 1949 to 1961</t>
  </si>
  <si>
    <t>Number of newspapers sold, from Census of Manufacturers</t>
  </si>
  <si>
    <t>Print magazine readership index</t>
  </si>
  <si>
    <t>Previous research, % Read Newspapers from Pew, Gallup, and Sponsor magazine.  I don't use time per reader because it seems stable</t>
  </si>
  <si>
    <t>Weekly periodical readership time, previous research</t>
  </si>
  <si>
    <t>Previous research, % read magazines from Pew and Sponsor magazine.  I don't use time per reader because it seems stable</t>
  </si>
  <si>
    <t>Previous research, number of magazine copies sold</t>
  </si>
  <si>
    <t>Number of magazine copies sold, Census of Manufacturers</t>
  </si>
  <si>
    <t>Magazine readership from https://www.magazine.org/wp-content/uploads/2022/01/2021-MPA-Factbook_REVISED-NOV-2021.pdf.  I'm guestimating the share of digital based on https://pressgazette.co.uk/biggest-us-magazines-by-circulation/</t>
  </si>
  <si>
    <t>No BLS PPI could be located. For now, this paper uses BEA's PCE deflator for movie ticket prices as a proxy (Table 2.4.4U, line 212)</t>
  </si>
  <si>
    <t>Previous research, quantity index of time listening to radio commercials</t>
  </si>
  <si>
    <t>Share of adults listening to radio https://www.pewresearch.org/journalism/fact-sheet/audio-and-podcasting/</t>
  </si>
  <si>
    <t>Previous research, forecasted average daily minutes of consumption, from page 202 of https://communicateonline.me/wp-content/uploads/2016/06/Media-Consumption-Forecasts-2016.pdf</t>
  </si>
  <si>
    <t>Broadcast advertising share, used as an interpolator for broadcast viewing share</t>
  </si>
  <si>
    <t>Previous research, quantity index of time watching sold television commercials (broadcast plus cable)</t>
  </si>
  <si>
    <t>Share of television time watching broadcast television</t>
  </si>
  <si>
    <t xml:space="preserve">Relative price per minute for cable ads relative to broadcast ads, from Table 11 of "Broadcast Television: Survivor in a Sea of Competition" </t>
  </si>
  <si>
    <t>Quantity index of time watching sold cable + online commercials</t>
  </si>
  <si>
    <t>Average readership rate per direct mail piece sent</t>
  </si>
  <si>
    <t>Reported number of marketing mail pieces sent each year. This is based on postal rates paid and does not include first class advertising mail</t>
  </si>
  <si>
    <t>Standard A (formerly 3rd class). Based on https://www.prc.gov/sites/default/files/papers/hist-mail-class.pdf, I think that's mostly junk mail</t>
  </si>
  <si>
    <t>Standard B (formerly 4th class). Based on https://www.prc.gov/sites/default/files/papers/hist-mail-class.pdf, I think that's mostly junk mail.</t>
  </si>
  <si>
    <t>Stamped envelopes and wrappers issued R-143 of https://www2.census.gov/library/publications/1960/compendia/hist_stats_colonial-1957/hist_stats_colonial-1957-chR.pdf.  Based on https://www.google.com/books/edition/Principles_and_Practice_of_Direct_Advert/yqtHAAAAIAAJ?hl=en&amp;gbpv=1&amp;dq=%22stamped+envelopes+and+wrappers%22+advertising&amp;pg=PA165&amp;printsec=frontcover, I think that's mostly junk mail</t>
  </si>
  <si>
    <t>Direct mail printing</t>
  </si>
  <si>
    <t>Direct nonmail printing</t>
  </si>
  <si>
    <t>Signs and advertising specialty manufacturer</t>
  </si>
  <si>
    <t>Total spending with hourly costs known</t>
  </si>
  <si>
    <t>Viewership quantity indexes, if known</t>
  </si>
  <si>
    <t>Calculated hourly advertising cost index</t>
  </si>
  <si>
    <t>WPU094705</t>
  </si>
  <si>
    <t>PPI Commodity data for Pulp, paper, and allied products-Advertising printing, not seasonally adjusted</t>
  </si>
  <si>
    <t>Pulp, paper, and allied products</t>
  </si>
  <si>
    <t>Advertising printing</t>
  </si>
  <si>
    <t>187.183(P)</t>
  </si>
  <si>
    <t>187.585(P)</t>
  </si>
  <si>
    <t>SIC 27515</t>
  </si>
  <si>
    <t>SIC 27543</t>
  </si>
  <si>
    <t>WDU09470502</t>
  </si>
  <si>
    <t>PPI Commodity data for Pulp, paper, and allied products-Advertising printing (lithographic), not seasonally adjusted, discontinued</t>
  </si>
  <si>
    <t>WDU094705021</t>
  </si>
  <si>
    <t>PPI Commodity data for Pulp, paper, and allied products-Direct mail advertising printing (lithographic), not seasonally adjusted, discontinued</t>
  </si>
  <si>
    <t>Direct mail advertising printing (lithographic)</t>
  </si>
  <si>
    <t>I can't get separate price indexes for direct mail and nondirect mail. But the lithographic prices for these two products are almost identical. I'll assume their price indexes exactly match</t>
  </si>
  <si>
    <t>NDU5111405111401</t>
  </si>
  <si>
    <t>PPI industry data for Directory and mailing list publishers-Directory and mailing list publishing - advertising sales incl. telephone directory listings, not seasonally adjusted, discontinued</t>
  </si>
  <si>
    <t>Directory and mailing list publishing - advertising sales incl. telephone directory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</si>
</sst>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indexed="8"/>
      <name val="Verdana"/>
      <family val="2"/>
    </font>
    <font>
      <b/>
      <sz val="8"/>
      <color indexed="9"/>
      <name val="Verdana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5" fillId="0" borderId="0"/>
    <xf numFmtId="0" fontId="4" fillId="0" borderId="0"/>
    <xf numFmtId="0" fontId="6" fillId="0" borderId="0"/>
    <xf numFmtId="0" fontId="8" fillId="2" borderId="1">
      <alignment horizontal="right" wrapText="1"/>
    </xf>
    <xf numFmtId="0" fontId="9" fillId="3" borderId="1">
      <alignment wrapText="1"/>
    </xf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</cellStyleXfs>
  <cellXfs count="27">
    <xf numFmtId="0" fontId="0" fillId="0" borderId="0" xfId="0"/>
    <xf numFmtId="3" fontId="0" fillId="0" borderId="0" xfId="0" applyNumberFormat="1"/>
    <xf numFmtId="9" fontId="0" fillId="0" borderId="0" xfId="0" applyNumberFormat="1"/>
    <xf numFmtId="1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18"/>
    <xf numFmtId="4" fontId="0" fillId="0" borderId="0" xfId="0" applyNumberFormat="1"/>
    <xf numFmtId="0" fontId="0" fillId="0" borderId="0" xfId="0" applyAlignment="1">
      <alignment horizontal="center"/>
    </xf>
    <xf numFmtId="0" fontId="13" fillId="0" borderId="0" xfId="19"/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/>
    <xf numFmtId="9" fontId="0" fillId="0" borderId="0" xfId="0" applyNumberFormat="1" applyAlignment="1"/>
    <xf numFmtId="0" fontId="16" fillId="0" borderId="0" xfId="0" applyFont="1"/>
    <xf numFmtId="1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22">
    <cellStyle name="Comma [0] 2" xfId="8" xr:uid="{00000000-0005-0000-0000-000000000000}"/>
    <cellStyle name="Comma 2" xfId="7" xr:uid="{00000000-0005-0000-0000-000001000000}"/>
    <cellStyle name="Comma 2 2" xfId="14" xr:uid="{00000000-0005-0000-0000-000002000000}"/>
    <cellStyle name="Currency [0] 2" xfId="6" xr:uid="{00000000-0005-0000-0000-000003000000}"/>
    <cellStyle name="Currency 2" xfId="5" xr:uid="{00000000-0005-0000-0000-000004000000}"/>
    <cellStyle name="group dataVarLabelCell" xfId="13" xr:uid="{00000000-0005-0000-0000-000005000000}"/>
    <cellStyle name="Hyperlink" xfId="18" builtinId="8"/>
    <cellStyle name="Hyperlink 2" xfId="2" xr:uid="{00000000-0005-0000-0000-000007000000}"/>
    <cellStyle name="Normal" xfId="0" builtinId="0"/>
    <cellStyle name="Normal 2" xfId="1" xr:uid="{00000000-0005-0000-0000-000009000000}"/>
    <cellStyle name="Normal 2 2" xfId="9" xr:uid="{00000000-0005-0000-0000-00000A000000}"/>
    <cellStyle name="Normal 3" xfId="3" xr:uid="{00000000-0005-0000-0000-00000B000000}"/>
    <cellStyle name="Normal 3 2" xfId="10" xr:uid="{00000000-0005-0000-0000-00000C000000}"/>
    <cellStyle name="Normal 3 3" xfId="15" xr:uid="{00000000-0005-0000-0000-00000D000000}"/>
    <cellStyle name="Normal 3_Sheet7" xfId="16" xr:uid="{00000000-0005-0000-0000-00000E000000}"/>
    <cellStyle name="Normal 4" xfId="11" xr:uid="{00000000-0005-0000-0000-00000F000000}"/>
    <cellStyle name="Normal 5" xfId="19" xr:uid="{9FBECE81-955D-4841-B319-52523D0095F8}"/>
    <cellStyle name="Normal 6" xfId="17" xr:uid="{00000000-0005-0000-0000-000010000000}"/>
    <cellStyle name="Normal 7" xfId="21" xr:uid="{5FD9A02F-D622-4E46-8C7F-0993DB1C26EF}"/>
    <cellStyle name="Percent 2" xfId="4" xr:uid="{00000000-0005-0000-0000-000014000000}"/>
    <cellStyle name="Percent 3" xfId="20" xr:uid="{8BD151C8-0E94-4991-A612-05A3396039B6}"/>
    <cellStyle name="uncoloredPairwiseTtest" xfId="12" xr:uid="{00000000-0005-0000-0000-000015000000}"/>
  </cellStyles>
  <dxfs count="0"/>
  <tableStyles count="0" defaultTableStyle="TableStyleMedium2" defaultPivotStyle="PivotStyleLight16"/>
  <colors>
    <mruColors>
      <color rgb="FF9EA2A2"/>
      <color rgb="FFF2A900"/>
      <color rgb="FF007D8A"/>
      <color rgb="FFD86018"/>
      <color rgb="FF004C97"/>
      <color rgb="FF000000"/>
      <color rgb="FFB1E4E3"/>
      <color rgb="FFFFFFFF"/>
      <color rgb="FF2DC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keting%20Prices%209.8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drxs1/Natural%20Resource%20Exploration/Spreadsheet%20to%20Calculate%20Productivity%20Impact%20of%20Natural%20Resource%20Exploration%2012.8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OMake_Before_Redefinitions_1963-1996_Summa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IOMake_Before_Redefinitions_1947-1962_Summa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drxs1\Downloads\GDPbyInd_SHIP_S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rketing%20and%20Advertising%20Data%20for%20BLS%202.13.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opy%20of%20Marketing%20and%20Advertising%20Data%20to%202017%205.22.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drxs1\Downloads\GDPbyInd_GO_S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, Price Indexes"/>
      <sheetName val="Summary, PPI's"/>
      <sheetName val="Predicted PPIs"/>
      <sheetName val="Chart1"/>
      <sheetName val="Summary, hourly ad costs"/>
      <sheetName val="Print newspapers"/>
      <sheetName val="Print periodicals"/>
      <sheetName val="Print Directories"/>
      <sheetName val="Radio"/>
      <sheetName val="Broadcast Television"/>
      <sheetName val="Cable Television"/>
      <sheetName val="Audiovisual Internet"/>
      <sheetName val="Digital Internet, ex search"/>
      <sheetName val="Digital Internet, search"/>
      <sheetName val="Direct Mail"/>
      <sheetName val="Signs"/>
      <sheetName val="Advertising Agencies"/>
      <sheetName val="Advertising Specialties"/>
    </sheetNames>
    <sheetDataSet>
      <sheetData sheetId="0">
        <row r="3">
          <cell r="B3">
            <v>103.696</v>
          </cell>
        </row>
      </sheetData>
      <sheetData sheetId="1"/>
      <sheetData sheetId="2"/>
      <sheetData sheetId="3" refreshError="1"/>
      <sheetData sheetId="4">
        <row r="3">
          <cell r="BH3">
            <v>110.56155698468581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3">
          <cell r="E3">
            <v>0.42203147353361947</v>
          </cell>
        </row>
      </sheetData>
      <sheetData sheetId="12"/>
      <sheetData sheetId="13"/>
      <sheetData sheetId="14"/>
      <sheetData sheetId="15"/>
      <sheetData sheetId="16">
        <row r="94">
          <cell r="F94">
            <v>19.869031016520871</v>
          </cell>
        </row>
        <row r="95">
          <cell r="F95">
            <v>21.539023850200302</v>
          </cell>
        </row>
        <row r="96">
          <cell r="F96">
            <v>22.440043239534315</v>
          </cell>
        </row>
        <row r="97">
          <cell r="F97">
            <v>25.539239242502198</v>
          </cell>
        </row>
        <row r="98">
          <cell r="F98">
            <v>28.203460367860547</v>
          </cell>
        </row>
        <row r="99">
          <cell r="F99">
            <v>30.828844450575179</v>
          </cell>
        </row>
        <row r="100">
          <cell r="F100">
            <v>32.592046186599518</v>
          </cell>
        </row>
        <row r="101">
          <cell r="F101">
            <v>35.240732494900378</v>
          </cell>
        </row>
        <row r="102">
          <cell r="F102">
            <v>38.106906242006012</v>
          </cell>
        </row>
        <row r="103">
          <cell r="F103">
            <v>41.718751207870831</v>
          </cell>
        </row>
        <row r="104">
          <cell r="F104">
            <v>45.874314770747553</v>
          </cell>
        </row>
        <row r="105">
          <cell r="F105">
            <v>49.276439706336348</v>
          </cell>
        </row>
        <row r="106">
          <cell r="F106">
            <v>51.342570374981598</v>
          </cell>
        </row>
        <row r="107">
          <cell r="F107">
            <v>54.146604853857305</v>
          </cell>
        </row>
        <row r="108">
          <cell r="F108">
            <v>55.746691010778065</v>
          </cell>
        </row>
        <row r="109">
          <cell r="F109">
            <v>57.152591954480279</v>
          </cell>
        </row>
        <row r="110">
          <cell r="F110">
            <v>61.572247407334224</v>
          </cell>
        </row>
        <row r="111">
          <cell r="F111">
            <v>62.869404631634055</v>
          </cell>
        </row>
        <row r="112">
          <cell r="F112">
            <v>66.279296975751592</v>
          </cell>
        </row>
        <row r="113">
          <cell r="F113">
            <v>67.762872004741212</v>
          </cell>
        </row>
        <row r="114">
          <cell r="F114">
            <v>72.104853372307744</v>
          </cell>
        </row>
        <row r="115">
          <cell r="F115">
            <v>71.879598524974227</v>
          </cell>
        </row>
        <row r="116">
          <cell r="F116">
            <v>74.706935229436155</v>
          </cell>
        </row>
        <row r="117">
          <cell r="F117">
            <v>75.281723460563043</v>
          </cell>
        </row>
        <row r="118">
          <cell r="F118">
            <v>77.674085287415437</v>
          </cell>
        </row>
        <row r="119">
          <cell r="F119">
            <v>79.278000000000006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61"/>
      <sheetName val="Industry60"/>
      <sheetName val="Industry59"/>
      <sheetName val="Industry58"/>
      <sheetName val="Industry57"/>
      <sheetName val="Industry56"/>
      <sheetName val="Industry55"/>
      <sheetName val="Industry54"/>
      <sheetName val="Industry53"/>
      <sheetName val="Industry52"/>
      <sheetName val="Industry51"/>
      <sheetName val="Industry50"/>
      <sheetName val="Industry49"/>
      <sheetName val="Industry48"/>
      <sheetName val="Industry47"/>
      <sheetName val="Industry46"/>
      <sheetName val="Industry45"/>
      <sheetName val="Industry44"/>
      <sheetName val="Industry43"/>
      <sheetName val="Industry42"/>
      <sheetName val="Industry41"/>
      <sheetName val="Industry40"/>
      <sheetName val="Industry39"/>
      <sheetName val="Industry38"/>
      <sheetName val="Industry37"/>
      <sheetName val="Industry36"/>
      <sheetName val="Industry35"/>
      <sheetName val="Industry34"/>
      <sheetName val="Industry33"/>
      <sheetName val="Industry32"/>
      <sheetName val="Industry31"/>
      <sheetName val="Industry30"/>
      <sheetName val="Industry29"/>
      <sheetName val="Industry28"/>
      <sheetName val="Industry27"/>
      <sheetName val="Industry26"/>
      <sheetName val="Industry25"/>
      <sheetName val="Industry24"/>
      <sheetName val="Industry23"/>
      <sheetName val="Industry22"/>
      <sheetName val="Industry21"/>
      <sheetName val="Industry20"/>
      <sheetName val="Industry19"/>
      <sheetName val="Industry18"/>
      <sheetName val="Industry17"/>
      <sheetName val="Industry16"/>
      <sheetName val="Industry15"/>
      <sheetName val="Industry14"/>
      <sheetName val="Industry13"/>
      <sheetName val="Industry12"/>
      <sheetName val="Industry11"/>
      <sheetName val="Industry10"/>
      <sheetName val="Industry9"/>
      <sheetName val="Industry8"/>
      <sheetName val="Industry7"/>
      <sheetName val="Industry6"/>
      <sheetName val="Industry5"/>
      <sheetName val="Industry4"/>
      <sheetName val="Industry3"/>
      <sheetName val="Industry2"/>
      <sheetName val="Industry1"/>
      <sheetName val="GDP Calculations"/>
      <sheetName val="Chart1"/>
      <sheetName val="Chart1a"/>
      <sheetName val="Chart1b"/>
      <sheetName val="Chart1c"/>
      <sheetName val="Chart1d"/>
      <sheetName val="Chart2"/>
      <sheetName val="Chart3"/>
      <sheetName val="Chart4"/>
      <sheetName val="Chart5"/>
      <sheetName val="Chart5a"/>
      <sheetName val="Chart6"/>
      <sheetName val="Chart6InvestandCFC"/>
      <sheetName val="Depreciation Estiamte"/>
      <sheetName val="Chart6Unbundle"/>
      <sheetName val="Chart7"/>
      <sheetName val="Chart8"/>
      <sheetName val="Chart9"/>
      <sheetName val="Chart10b"/>
      <sheetName val="Chart10"/>
      <sheetName val="Chart11"/>
      <sheetName val="Natural Resources Stock"/>
      <sheetName val="Figures"/>
      <sheetName val="Working Sheet"/>
      <sheetName val="Wellbing Calc, Gov &amp; NPISH"/>
      <sheetName val="Summary Sheet"/>
      <sheetName val="Asset Stock"/>
      <sheetName val="Worker Tasks from OEWS"/>
      <sheetName val="OEWS Workers, with real estate"/>
      <sheetName val="Ordinary Experience"/>
      <sheetName val="Ground Exploration"/>
      <sheetName val="Biochemical Exploration"/>
      <sheetName val="Climate Exploration"/>
      <sheetName val="Animal and Plant Exploration"/>
      <sheetName val="Historical data from Ipums"/>
      <sheetName val="Combined Exploration Tim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270">
          <cell r="AC270">
            <v>0.44219501759238933</v>
          </cell>
        </row>
        <row r="271">
          <cell r="AC271">
            <v>0.42143662771171808</v>
          </cell>
        </row>
        <row r="272">
          <cell r="AC272">
            <v>0.42210213309496547</v>
          </cell>
        </row>
        <row r="273">
          <cell r="AC273">
            <v>0.39099813710286946</v>
          </cell>
        </row>
        <row r="274">
          <cell r="AC274">
            <v>0.37390765970649437</v>
          </cell>
        </row>
        <row r="275">
          <cell r="AC275">
            <v>0.39675145620532731</v>
          </cell>
        </row>
        <row r="276">
          <cell r="AC276">
            <v>0.46054828102276629</v>
          </cell>
        </row>
        <row r="277">
          <cell r="AC277">
            <v>0.47248343082646072</v>
          </cell>
        </row>
        <row r="278">
          <cell r="AC278">
            <v>0.48802026906808693</v>
          </cell>
        </row>
        <row r="279">
          <cell r="AC279">
            <v>0.44239976145591559</v>
          </cell>
        </row>
        <row r="280">
          <cell r="AC280">
            <v>0.4386723318956442</v>
          </cell>
        </row>
        <row r="281">
          <cell r="AC281">
            <v>0.45978226333112582</v>
          </cell>
        </row>
        <row r="282">
          <cell r="AC282">
            <v>0.49534553231806366</v>
          </cell>
        </row>
        <row r="283">
          <cell r="AC283">
            <v>0.52159461180842259</v>
          </cell>
        </row>
        <row r="284">
          <cell r="AC284">
            <v>0.54530345779971456</v>
          </cell>
        </row>
        <row r="285">
          <cell r="AC285">
            <v>0.60012468834375665</v>
          </cell>
        </row>
        <row r="286">
          <cell r="AC286">
            <v>0.58750736844143703</v>
          </cell>
        </row>
        <row r="287">
          <cell r="AC287">
            <v>0.55377090279660468</v>
          </cell>
        </row>
        <row r="288">
          <cell r="AC288">
            <v>0.4936415081059598</v>
          </cell>
        </row>
        <row r="289">
          <cell r="AC289">
            <v>0.50717437209807514</v>
          </cell>
        </row>
        <row r="290">
          <cell r="AC290">
            <v>0.56266172004333914</v>
          </cell>
        </row>
        <row r="291">
          <cell r="AC291">
            <v>0.55219031998307622</v>
          </cell>
        </row>
        <row r="292">
          <cell r="AC292">
            <v>0.56266172004333914</v>
          </cell>
        </row>
        <row r="293">
          <cell r="AC293">
            <v>0.54487710522164945</v>
          </cell>
        </row>
        <row r="294">
          <cell r="AC294">
            <v>0.53428867801909186</v>
          </cell>
        </row>
        <row r="295">
          <cell r="AC295">
            <v>0.53866392826991483</v>
          </cell>
        </row>
        <row r="296">
          <cell r="AC296">
            <v>0.5277771195951696</v>
          </cell>
        </row>
        <row r="297">
          <cell r="AC297">
            <v>0.54752220796608142</v>
          </cell>
        </row>
        <row r="298">
          <cell r="AC298">
            <v>0.57533001646624127</v>
          </cell>
        </row>
        <row r="299">
          <cell r="AC299">
            <v>0.5330109713596346</v>
          </cell>
        </row>
        <row r="300">
          <cell r="AC300">
            <v>0.51366800451127603</v>
          </cell>
        </row>
        <row r="301">
          <cell r="AC301">
            <v>0.52584169196332298</v>
          </cell>
        </row>
        <row r="302">
          <cell r="E302">
            <v>34.616575575720127</v>
          </cell>
          <cell r="AC302">
            <v>0.55424539640412696</v>
          </cell>
        </row>
        <row r="303">
          <cell r="D303">
            <v>76.212168000000005</v>
          </cell>
          <cell r="E303">
            <v>34.5</v>
          </cell>
          <cell r="AC303">
            <v>0.61547230979802725</v>
          </cell>
          <cell r="AD303">
            <v>79.900000000000006</v>
          </cell>
        </row>
        <row r="304">
          <cell r="D304">
            <v>77.679853379748778</v>
          </cell>
          <cell r="E304">
            <v>34.25213829215491</v>
          </cell>
          <cell r="AC304">
            <v>0.64492074567353097</v>
          </cell>
          <cell r="AD304">
            <v>83.6</v>
          </cell>
        </row>
        <row r="305">
          <cell r="D305">
            <v>79.175803279855089</v>
          </cell>
          <cell r="E305">
            <v>34.006057321301583</v>
          </cell>
          <cell r="AC305">
            <v>0.69498308666188724</v>
          </cell>
          <cell r="AD305">
            <v>83.8</v>
          </cell>
        </row>
        <row r="306">
          <cell r="D306">
            <v>80.700562015280482</v>
          </cell>
          <cell r="E306">
            <v>33.761744293917936</v>
          </cell>
          <cell r="AC306">
            <v>0.70234519563076325</v>
          </cell>
          <cell r="AD306">
            <v>84</v>
          </cell>
        </row>
        <row r="307">
          <cell r="D307">
            <v>82.254684383342962</v>
          </cell>
          <cell r="E307">
            <v>33.51918650839562</v>
          </cell>
          <cell r="AC307">
            <v>0.70970730459963915</v>
          </cell>
          <cell r="AD307">
            <v>87.4</v>
          </cell>
        </row>
        <row r="308">
          <cell r="D308">
            <v>83.838735865585036</v>
          </cell>
          <cell r="E308">
            <v>33.278371354379708</v>
          </cell>
          <cell r="AC308">
            <v>0.72148667894984064</v>
          </cell>
          <cell r="AD308">
            <v>90.6</v>
          </cell>
        </row>
        <row r="309">
          <cell r="D309">
            <v>85.453292833529289</v>
          </cell>
          <cell r="E309">
            <v>33.039286312113049</v>
          </cell>
          <cell r="AC309">
            <v>0.7421005840626933</v>
          </cell>
          <cell r="AD309">
            <v>95.1</v>
          </cell>
        </row>
        <row r="310">
          <cell r="D310">
            <v>87.098942758396419</v>
          </cell>
          <cell r="E310">
            <v>32.801918951785417</v>
          </cell>
          <cell r="AC310">
            <v>0.77891112890707304</v>
          </cell>
          <cell r="AD310">
            <v>100.6</v>
          </cell>
        </row>
        <row r="311">
          <cell r="D311">
            <v>88.776284424861984</v>
          </cell>
          <cell r="E311">
            <v>32.566256932887278</v>
          </cell>
          <cell r="AC311">
            <v>0.76418691096932112</v>
          </cell>
          <cell r="AD311">
            <v>97.2</v>
          </cell>
        </row>
        <row r="312">
          <cell r="D312">
            <v>90.485928148929617</v>
          </cell>
          <cell r="E312">
            <v>32.332288003568223</v>
          </cell>
          <cell r="AC312">
            <v>0.80246987760747601</v>
          </cell>
          <cell r="AD312">
            <v>90.9</v>
          </cell>
        </row>
        <row r="313">
          <cell r="D313">
            <v>92.228496000000007</v>
          </cell>
          <cell r="E313">
            <v>32.1</v>
          </cell>
          <cell r="AC313">
            <v>0.84664253142073165</v>
          </cell>
          <cell r="AD313">
            <v>96.3</v>
          </cell>
        </row>
        <row r="314">
          <cell r="D314">
            <v>93.522912553555756</v>
          </cell>
          <cell r="E314">
            <v>32.069873079888389</v>
          </cell>
          <cell r="AC314">
            <v>0.86431159294603388</v>
          </cell>
          <cell r="AD314">
            <v>93.4</v>
          </cell>
        </row>
        <row r="315">
          <cell r="D315">
            <v>94.835496097648999</v>
          </cell>
          <cell r="E315">
            <v>32.039774434895641</v>
          </cell>
          <cell r="AC315">
            <v>0.88492549805888654</v>
          </cell>
          <cell r="AD315">
            <v>90.7</v>
          </cell>
        </row>
        <row r="316">
          <cell r="D316">
            <v>96.166501603945761</v>
          </cell>
          <cell r="E316">
            <v>32.009704038484607</v>
          </cell>
          <cell r="AC316">
            <v>0.93204299545969249</v>
          </cell>
          <cell r="AD316">
            <v>100</v>
          </cell>
        </row>
        <row r="317">
          <cell r="D317">
            <v>97.516187622610687</v>
          </cell>
          <cell r="E317">
            <v>31.979661864143058</v>
          </cell>
          <cell r="AC317">
            <v>0.94087752622234366</v>
          </cell>
          <cell r="AD317">
            <v>98.3</v>
          </cell>
        </row>
        <row r="318">
          <cell r="D318">
            <v>98.884816332530846</v>
          </cell>
          <cell r="E318">
            <v>31.949647885383641</v>
          </cell>
          <cell r="AC318">
            <v>0.93498783904724292</v>
          </cell>
          <cell r="AD318">
            <v>100.9</v>
          </cell>
        </row>
        <row r="319">
          <cell r="D319">
            <v>100.27265359224447</v>
          </cell>
          <cell r="E319">
            <v>31.919662075743858</v>
          </cell>
          <cell r="AC319">
            <v>1.0380573646115059</v>
          </cell>
          <cell r="AD319">
            <v>115.6</v>
          </cell>
        </row>
        <row r="320">
          <cell r="D320">
            <v>101.67996899158442</v>
          </cell>
          <cell r="E320">
            <v>31.889704408786056</v>
          </cell>
          <cell r="AC320">
            <v>1.1882443875765747</v>
          </cell>
          <cell r="AD320">
            <v>142.9</v>
          </cell>
        </row>
        <row r="321">
          <cell r="D321">
            <v>103.10703590404651</v>
          </cell>
          <cell r="E321">
            <v>31.859774858097385</v>
          </cell>
          <cell r="AC321">
            <v>1.4635872630125344</v>
          </cell>
          <cell r="AD321">
            <v>170.9</v>
          </cell>
        </row>
        <row r="322">
          <cell r="D322">
            <v>104.55413153989278</v>
          </cell>
          <cell r="E322">
            <v>31.829873397289791</v>
          </cell>
          <cell r="AC322">
            <v>1.681505688491262</v>
          </cell>
          <cell r="AD322">
            <v>212.8</v>
          </cell>
        </row>
        <row r="323">
          <cell r="D323">
            <v>106.021537</v>
          </cell>
          <cell r="E323">
            <v>31.8</v>
          </cell>
          <cell r="AC323">
            <v>1.9759900472462992</v>
          </cell>
          <cell r="AD323">
            <v>251.3</v>
          </cell>
        </row>
        <row r="324">
          <cell r="D324">
            <v>107.5884614203069</v>
          </cell>
          <cell r="E324">
            <v>31.551436796202729</v>
          </cell>
          <cell r="AC324">
            <v>1.8066615409621529</v>
          </cell>
          <cell r="AD324">
            <v>201.8</v>
          </cell>
        </row>
        <row r="325">
          <cell r="D325">
            <v>109.17854389140639</v>
          </cell>
          <cell r="E325">
            <v>31.30481647499294</v>
          </cell>
          <cell r="AC325">
            <v>1.7521819345924712</v>
          </cell>
          <cell r="AD325">
            <v>174.5</v>
          </cell>
        </row>
        <row r="326">
          <cell r="D326">
            <v>110.79212667314813</v>
          </cell>
          <cell r="E326">
            <v>31.060123849920302</v>
          </cell>
          <cell r="AC326">
            <v>1.8817550524446875</v>
          </cell>
          <cell r="AD326">
            <v>214</v>
          </cell>
        </row>
        <row r="327">
          <cell r="D327">
            <v>112.42955708374379</v>
          </cell>
          <cell r="E327">
            <v>30.817343853238658</v>
          </cell>
          <cell r="AC327">
            <v>1.9038413793513154</v>
          </cell>
          <cell r="AD327">
            <v>215.4</v>
          </cell>
        </row>
        <row r="328">
          <cell r="D328">
            <v>114.09118757452612</v>
          </cell>
          <cell r="E328">
            <v>30.576461534978179</v>
          </cell>
          <cell r="AC328">
            <v>1.9391795024019196</v>
          </cell>
          <cell r="AD328">
            <v>206.7</v>
          </cell>
        </row>
        <row r="329">
          <cell r="D329">
            <v>115.77737580581295</v>
          </cell>
          <cell r="E329">
            <v>30.337462062024777</v>
          </cell>
          <cell r="AC329">
            <v>1.9818797344214001</v>
          </cell>
          <cell r="AD329">
            <v>208</v>
          </cell>
        </row>
        <row r="330">
          <cell r="D330">
            <v>117.48848472389228</v>
          </cell>
          <cell r="E330">
            <v>30.100330717206692</v>
          </cell>
          <cell r="AC330">
            <v>2.0319420754097566</v>
          </cell>
          <cell r="AD330">
            <v>206.2</v>
          </cell>
        </row>
        <row r="331">
          <cell r="D331">
            <v>119.22488263914531</v>
          </cell>
          <cell r="E331">
            <v>29.865052898388253</v>
          </cell>
          <cell r="AC331">
            <v>2.0378317625848572</v>
          </cell>
          <cell r="AD331">
            <v>206.8</v>
          </cell>
        </row>
        <row r="332">
          <cell r="D332">
            <v>120.98694330532393</v>
          </cell>
          <cell r="E332">
            <v>29.631614117570692</v>
          </cell>
          <cell r="AC332">
            <v>2.09820105612964</v>
          </cell>
          <cell r="AD332">
            <v>207</v>
          </cell>
        </row>
        <row r="333">
          <cell r="D333">
            <v>122.775046</v>
          </cell>
          <cell r="E333">
            <v>29.4</v>
          </cell>
        </row>
        <row r="334">
          <cell r="D334">
            <v>123.68316763210127</v>
          </cell>
          <cell r="E334">
            <v>28.927213319152951</v>
          </cell>
        </row>
        <row r="335">
          <cell r="D335">
            <v>124.59800630423273</v>
          </cell>
          <cell r="E335">
            <v>28.462029605842858</v>
          </cell>
        </row>
        <row r="336">
          <cell r="D336">
            <v>125.51961169985655</v>
          </cell>
          <cell r="E336">
            <v>28.004326595383102</v>
          </cell>
        </row>
        <row r="337">
          <cell r="D337">
            <v>126.44803386992514</v>
          </cell>
          <cell r="E337">
            <v>27.553983989247463</v>
          </cell>
        </row>
        <row r="338">
          <cell r="D338">
            <v>127.38332323559928</v>
          </cell>
          <cell r="E338">
            <v>27.11088342345192</v>
          </cell>
        </row>
        <row r="339">
          <cell r="D339">
            <v>128.32553059098643</v>
          </cell>
          <cell r="E339">
            <v>26.674908437444948</v>
          </cell>
        </row>
        <row r="340">
          <cell r="D340">
            <v>129.2747071058993</v>
          </cell>
          <cell r="E340">
            <v>26.245944443498061</v>
          </cell>
        </row>
        <row r="341">
          <cell r="D341">
            <v>130.23090432863478</v>
          </cell>
          <cell r="E341">
            <v>25.823878696588626</v>
          </cell>
        </row>
        <row r="342">
          <cell r="D342">
            <v>131.1941741887735</v>
          </cell>
          <cell r="E342">
            <v>25.408600264766964</v>
          </cell>
        </row>
        <row r="343">
          <cell r="D343">
            <v>132.164569</v>
          </cell>
          <cell r="E343">
            <v>25</v>
          </cell>
        </row>
        <row r="344">
          <cell r="D344">
            <v>133.91033741276547</v>
          </cell>
          <cell r="E344">
            <v>25.183798498765825</v>
          </cell>
        </row>
        <row r="345">
          <cell r="D345">
            <v>135.67916576795022</v>
          </cell>
          <cell r="E345">
            <v>25.368948273057594</v>
          </cell>
        </row>
        <row r="346">
          <cell r="D346">
            <v>137.47135866548888</v>
          </cell>
          <cell r="E346">
            <v>25.55545925737183</v>
          </cell>
        </row>
        <row r="347">
          <cell r="D347">
            <v>139.28722472879184</v>
          </cell>
          <cell r="E347">
            <v>25.743341459242874</v>
          </cell>
        </row>
        <row r="348">
          <cell r="D348">
            <v>141.12707665789162</v>
          </cell>
          <cell r="E348">
            <v>25.932604959779869</v>
          </cell>
        </row>
        <row r="349">
          <cell r="D349">
            <v>142.99123128329111</v>
          </cell>
          <cell r="E349">
            <v>26.123259914207658</v>
          </cell>
        </row>
        <row r="350">
          <cell r="D350">
            <v>144.88000962052317</v>
          </cell>
          <cell r="E350">
            <v>26.315316552411691</v>
          </cell>
        </row>
        <row r="351">
          <cell r="D351">
            <v>146.79373692543095</v>
          </cell>
          <cell r="E351">
            <v>26.508785179486921</v>
          </cell>
        </row>
        <row r="352">
          <cell r="D352">
            <v>148.73274275017829</v>
          </cell>
          <cell r="E352">
            <v>26.703676176290738</v>
          </cell>
        </row>
        <row r="353">
          <cell r="D353">
            <v>150.697361</v>
          </cell>
          <cell r="E353">
            <v>26.9</v>
          </cell>
        </row>
        <row r="354">
          <cell r="D354">
            <v>153.34115294326293</v>
          </cell>
          <cell r="E354">
            <v>27.293114107079294</v>
          </cell>
        </row>
        <row r="355">
          <cell r="D355">
            <v>156.0313268257508</v>
          </cell>
          <cell r="E355">
            <v>27.691973147288131</v>
          </cell>
        </row>
        <row r="356">
          <cell r="D356">
            <v>158.76869635910677</v>
          </cell>
          <cell r="E356">
            <v>28.096661076546866</v>
          </cell>
        </row>
        <row r="357">
          <cell r="D357">
            <v>161.55408953050122</v>
          </cell>
          <cell r="E357">
            <v>28.507263077699886</v>
          </cell>
        </row>
        <row r="358">
          <cell r="D358">
            <v>164.38834885307767</v>
          </cell>
          <cell r="E358">
            <v>28.923865578445778</v>
          </cell>
        </row>
        <row r="359">
          <cell r="D359">
            <v>167.27233162079224</v>
          </cell>
          <cell r="E359">
            <v>29.346556269529504</v>
          </cell>
        </row>
        <row r="360">
          <cell r="D360">
            <v>170.20691016772417</v>
          </cell>
          <cell r="E360">
            <v>29.775424123200445</v>
          </cell>
        </row>
        <row r="361">
          <cell r="D361">
            <v>173.19297213193539</v>
          </cell>
          <cell r="E361">
            <v>30.210559411940192</v>
          </cell>
        </row>
        <row r="362">
          <cell r="D362">
            <v>176.23142072395933</v>
          </cell>
          <cell r="E362">
            <v>30.652053727464015</v>
          </cell>
        </row>
        <row r="363">
          <cell r="D363">
            <v>179.32317499999999</v>
          </cell>
          <cell r="E363">
            <v>31.1</v>
          </cell>
        </row>
        <row r="364">
          <cell r="D364">
            <v>181.5879180680673</v>
          </cell>
          <cell r="E364">
            <v>30.829667164078508</v>
          </cell>
        </row>
        <row r="365">
          <cell r="D365">
            <v>183.88126346912566</v>
          </cell>
          <cell r="E365">
            <v>30.561684162310627</v>
          </cell>
        </row>
        <row r="366">
          <cell r="D366">
            <v>186.2035724333137</v>
          </cell>
          <cell r="E366">
            <v>30.296030569058718</v>
          </cell>
        </row>
        <row r="367">
          <cell r="D367">
            <v>188.55521075288794</v>
          </cell>
          <cell r="E367">
            <v>30.032686136232421</v>
          </cell>
        </row>
        <row r="368">
          <cell r="D368">
            <v>190.93654883983947</v>
          </cell>
          <cell r="E368">
            <v>29.771630791745356</v>
          </cell>
        </row>
        <row r="369">
          <cell r="D369">
            <v>193.34796178423846</v>
          </cell>
          <cell r="E369">
            <v>29.512844637985221</v>
          </cell>
        </row>
        <row r="370">
          <cell r="D370">
            <v>195.7898294133154</v>
          </cell>
          <cell r="E370">
            <v>29.256307950297217</v>
          </cell>
        </row>
        <row r="371">
          <cell r="D371">
            <v>198.26253635128865</v>
          </cell>
          <cell r="E371">
            <v>29.002001175480615</v>
          </cell>
        </row>
        <row r="372">
          <cell r="D372">
            <v>200.76647207994739</v>
          </cell>
          <cell r="E372">
            <v>28.749904930298424</v>
          </cell>
        </row>
        <row r="373">
          <cell r="D373">
            <v>203.302031</v>
          </cell>
          <cell r="E373">
            <v>28.5</v>
          </cell>
        </row>
        <row r="374">
          <cell r="D374">
            <v>205.51482142905368</v>
          </cell>
          <cell r="E374">
            <v>27.846538538156121</v>
          </cell>
        </row>
        <row r="375">
          <cell r="D375">
            <v>207.75169642557984</v>
          </cell>
          <cell r="E375">
            <v>27.208059949368913</v>
          </cell>
        </row>
        <row r="376">
          <cell r="D376">
            <v>210.01291813206731</v>
          </cell>
          <cell r="E376">
            <v>26.58422069924784</v>
          </cell>
        </row>
        <row r="377">
          <cell r="D377">
            <v>212.2987515442297</v>
          </cell>
          <cell r="E377">
            <v>25.974685130121145</v>
          </cell>
        </row>
        <row r="378">
          <cell r="D378">
            <v>214.60946454206058</v>
          </cell>
          <cell r="E378">
            <v>25.379125280434707</v>
          </cell>
        </row>
        <row r="379">
          <cell r="D379">
            <v>216.94532792122675</v>
          </cell>
          <cell r="E379">
            <v>24.797220708291835</v>
          </cell>
        </row>
        <row r="380">
          <cell r="D380">
            <v>219.30661542480314</v>
          </cell>
          <cell r="E380">
            <v>24.228658319039003</v>
          </cell>
        </row>
        <row r="381">
          <cell r="D381">
            <v>221.69360377535315</v>
          </cell>
          <cell r="E381">
            <v>23.673132196804787</v>
          </cell>
        </row>
        <row r="382">
          <cell r="D382">
            <v>224.10657270735817</v>
          </cell>
          <cell r="E382">
            <v>23.130343439901367</v>
          </cell>
        </row>
        <row r="383">
          <cell r="D383">
            <v>226.545805</v>
          </cell>
          <cell r="E383">
            <v>22.6</v>
          </cell>
        </row>
        <row r="384">
          <cell r="D384">
            <v>228.67028064378454</v>
          </cell>
          <cell r="E384">
            <v>22.48751371484094</v>
          </cell>
        </row>
        <row r="385">
          <cell r="D385">
            <v>230.81467895513305</v>
          </cell>
          <cell r="E385">
            <v>22.37558730421059</v>
          </cell>
        </row>
        <row r="386">
          <cell r="D386">
            <v>232.97918676258561</v>
          </cell>
          <cell r="E386">
            <v>22.264217981462672</v>
          </cell>
        </row>
        <row r="387">
          <cell r="D387">
            <v>235.16399264670181</v>
          </cell>
          <cell r="E387">
            <v>22.1534029738208</v>
          </cell>
        </row>
        <row r="388">
          <cell r="D388">
            <v>237.3692869564907</v>
          </cell>
          <cell r="E388">
            <v>22.043139522309435</v>
          </cell>
        </row>
        <row r="389">
          <cell r="D389">
            <v>239.59526182599475</v>
          </cell>
          <cell r="E389">
            <v>21.933424881685209</v>
          </cell>
        </row>
        <row r="390">
          <cell r="D390">
            <v>241.84211119102935</v>
          </cell>
          <cell r="E390">
            <v>21.824256320368566</v>
          </cell>
        </row>
        <row r="391">
          <cell r="D391">
            <v>244.11003080607924</v>
          </cell>
          <cell r="E391">
            <v>21.715631120375757</v>
          </cell>
        </row>
        <row r="392">
          <cell r="D392">
            <v>246.39921826135347</v>
          </cell>
          <cell r="E392">
            <v>21.607546577251174</v>
          </cell>
        </row>
        <row r="393">
          <cell r="D393">
            <v>248.70987299999999</v>
          </cell>
          <cell r="E393">
            <v>21.5</v>
          </cell>
        </row>
        <row r="394">
          <cell r="D394">
            <v>251.80219590975969</v>
          </cell>
          <cell r="E394">
            <v>21.48997900790383</v>
          </cell>
        </row>
        <row r="395">
          <cell r="D395">
            <v>254.9329670759673</v>
          </cell>
          <cell r="E395">
            <v>21.47996268651848</v>
          </cell>
        </row>
        <row r="396">
          <cell r="D396">
            <v>258.10266454327302</v>
          </cell>
          <cell r="E396">
            <v>21.469951033666963</v>
          </cell>
        </row>
        <row r="397">
          <cell r="D397">
            <v>261.31177230007359</v>
          </cell>
          <cell r="E397">
            <v>21.459944047173309</v>
          </cell>
        </row>
        <row r="398">
          <cell r="D398">
            <v>264.56078035241347</v>
          </cell>
          <cell r="E398">
            <v>21.449941724862565</v>
          </cell>
        </row>
        <row r="399">
          <cell r="D399">
            <v>267.850184798805</v>
          </cell>
          <cell r="E399">
            <v>21.439944064560791</v>
          </cell>
        </row>
        <row r="400">
          <cell r="D400">
            <v>271.18048790597885</v>
          </cell>
          <cell r="E400">
            <v>21.429951064095057</v>
          </cell>
        </row>
        <row r="401">
          <cell r="D401">
            <v>274.55219818557629</v>
          </cell>
          <cell r="E401">
            <v>21.419962721293448</v>
          </cell>
        </row>
        <row r="402">
          <cell r="D402">
            <v>277.96583047179496</v>
          </cell>
          <cell r="E402">
            <v>21.40997903398506</v>
          </cell>
        </row>
        <row r="403">
          <cell r="D403">
            <v>281.42190599999998</v>
          </cell>
          <cell r="E403">
            <v>21.4</v>
          </cell>
        </row>
        <row r="404">
          <cell r="D404">
            <v>284.04174958009048</v>
          </cell>
          <cell r="E404">
            <v>21.254044483010301</v>
          </cell>
        </row>
        <row r="405">
          <cell r="D405">
            <v>286.68598209450988</v>
          </cell>
          <cell r="E405">
            <v>21.109084433914983</v>
          </cell>
        </row>
        <row r="406">
          <cell r="D406">
            <v>289.35483058739248</v>
          </cell>
          <cell r="E406">
            <v>20.965113063273336</v>
          </cell>
        </row>
        <row r="407">
          <cell r="D407">
            <v>292.04852421649667</v>
          </cell>
          <cell r="E407">
            <v>20.822123627951022</v>
          </cell>
        </row>
        <row r="408">
          <cell r="D408">
            <v>294.76729427288137</v>
          </cell>
          <cell r="E408">
            <v>20.680109430804247</v>
          </cell>
        </row>
        <row r="409">
          <cell r="D409">
            <v>297.51137420076537</v>
          </cell>
          <cell r="E409">
            <v>20.539063820366088</v>
          </cell>
        </row>
        <row r="410">
          <cell r="D410">
            <v>300.28099961757209</v>
          </cell>
          <cell r="E410">
            <v>20.398980190534971</v>
          </cell>
        </row>
        <row r="411">
          <cell r="D411">
            <v>303.07640833416031</v>
          </cell>
          <cell r="E411">
            <v>20.259851980265246</v>
          </cell>
        </row>
        <row r="412">
          <cell r="D412">
            <v>305.89784037524367</v>
          </cell>
          <cell r="E412">
            <v>20.121672673259901</v>
          </cell>
        </row>
        <row r="413">
          <cell r="D413">
            <v>308.74553800000001</v>
          </cell>
          <cell r="E413">
            <v>19.984435797665366</v>
          </cell>
        </row>
        <row r="414">
          <cell r="E414">
            <v>19.820289560231117</v>
          </cell>
        </row>
        <row r="415">
          <cell r="E415">
            <v>19.657491571380746</v>
          </cell>
        </row>
        <row r="416">
          <cell r="E416">
            <v>19.496030756999655</v>
          </cell>
        </row>
        <row r="417">
          <cell r="E417">
            <v>19.335896133932749</v>
          </cell>
        </row>
        <row r="418">
          <cell r="E418">
            <v>19.177076809237313</v>
          </cell>
        </row>
        <row r="419">
          <cell r="E419">
            <v>19.019561979442035</v>
          </cell>
        </row>
        <row r="420">
          <cell r="E420">
            <v>18.863340929812118</v>
          </cell>
        </row>
        <row r="421">
          <cell r="E421">
            <v>18.708403033620428</v>
          </cell>
        </row>
        <row r="422">
          <cell r="E422">
            <v>18.554737751424618</v>
          </cell>
        </row>
        <row r="423">
          <cell r="E423">
            <v>18.402334630350193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NAICS Codes"/>
      <sheetName val="1963"/>
      <sheetName val="1964"/>
      <sheetName val="1965"/>
      <sheetName val="1966"/>
      <sheetName val="1967"/>
      <sheetName val="1968"/>
      <sheetName val="1969"/>
      <sheetName val="1970"/>
      <sheetName val="1971"/>
      <sheetName val="1972"/>
      <sheetName val="1973"/>
      <sheetName val="1974"/>
      <sheetName val="1975"/>
      <sheetName val="1976"/>
      <sheetName val="1977"/>
      <sheetName val="1978"/>
      <sheetName val="1979"/>
      <sheetName val="1980"/>
      <sheetName val="1981"/>
      <sheetName val="1982"/>
      <sheetName val="1983"/>
      <sheetName val="1984"/>
      <sheetName val="1985"/>
      <sheetName val="1986"/>
      <sheetName val="1987"/>
      <sheetName val="1988"/>
      <sheetName val="1989"/>
      <sheetName val="1990"/>
      <sheetName val="1991"/>
      <sheetName val="1992"/>
      <sheetName val="1993"/>
      <sheetName val="1994"/>
      <sheetName val="1995"/>
      <sheetName val="1996"/>
    </sheetNames>
    <sheetDataSet>
      <sheetData sheetId="0" refreshError="1"/>
      <sheetData sheetId="1" refreshError="1"/>
      <sheetData sheetId="2">
        <row r="14">
          <cell r="I14">
            <v>66763</v>
          </cell>
        </row>
        <row r="56">
          <cell r="AY56">
            <v>14996</v>
          </cell>
        </row>
        <row r="69">
          <cell r="I69">
            <v>211</v>
          </cell>
          <cell r="AY69">
            <v>2349</v>
          </cell>
        </row>
        <row r="71">
          <cell r="I71">
            <v>1030</v>
          </cell>
          <cell r="AY71">
            <v>1181</v>
          </cell>
        </row>
        <row r="73">
          <cell r="I73">
            <v>77305</v>
          </cell>
          <cell r="AY73">
            <v>38332</v>
          </cell>
        </row>
      </sheetData>
      <sheetData sheetId="3">
        <row r="14">
          <cell r="I14">
            <v>72593</v>
          </cell>
        </row>
        <row r="56">
          <cell r="AY56">
            <v>16456</v>
          </cell>
        </row>
        <row r="69">
          <cell r="I69">
            <v>216</v>
          </cell>
          <cell r="AY69">
            <v>2700</v>
          </cell>
        </row>
        <row r="71">
          <cell r="I71">
            <v>1057</v>
          </cell>
          <cell r="AY71">
            <v>1353</v>
          </cell>
        </row>
        <row r="73">
          <cell r="I73">
            <v>83706</v>
          </cell>
          <cell r="AY73">
            <v>41686</v>
          </cell>
        </row>
      </sheetData>
      <sheetData sheetId="4">
        <row r="14">
          <cell r="I14">
            <v>79092</v>
          </cell>
        </row>
        <row r="56">
          <cell r="AY56">
            <v>17985</v>
          </cell>
        </row>
        <row r="69">
          <cell r="I69">
            <v>246</v>
          </cell>
          <cell r="AY69">
            <v>2987</v>
          </cell>
        </row>
        <row r="71">
          <cell r="I71">
            <v>1118</v>
          </cell>
          <cell r="AY71">
            <v>1530</v>
          </cell>
        </row>
        <row r="73">
          <cell r="I73">
            <v>90966</v>
          </cell>
          <cell r="AY73">
            <v>45644</v>
          </cell>
        </row>
      </sheetData>
      <sheetData sheetId="5">
        <row r="14">
          <cell r="I14">
            <v>83203</v>
          </cell>
        </row>
        <row r="56">
          <cell r="AY56">
            <v>20369</v>
          </cell>
        </row>
        <row r="69">
          <cell r="I69">
            <v>377</v>
          </cell>
          <cell r="AY69">
            <v>3230</v>
          </cell>
        </row>
        <row r="71">
          <cell r="I71">
            <v>1170</v>
          </cell>
          <cell r="AY71">
            <v>1721</v>
          </cell>
        </row>
        <row r="73">
          <cell r="I73">
            <v>95926</v>
          </cell>
          <cell r="AY73">
            <v>51226</v>
          </cell>
        </row>
      </sheetData>
      <sheetData sheetId="6">
        <row r="14">
          <cell r="I14">
            <v>85354</v>
          </cell>
        </row>
        <row r="56">
          <cell r="AY56">
            <v>22143</v>
          </cell>
        </row>
        <row r="69">
          <cell r="I69">
            <v>159</v>
          </cell>
          <cell r="AY69">
            <v>3289</v>
          </cell>
        </row>
        <row r="71">
          <cell r="I71">
            <v>1209</v>
          </cell>
          <cell r="AY71">
            <v>1916</v>
          </cell>
        </row>
        <row r="73">
          <cell r="I73">
            <v>98489</v>
          </cell>
          <cell r="AY73">
            <v>54929</v>
          </cell>
        </row>
      </sheetData>
      <sheetData sheetId="7">
        <row r="14">
          <cell r="I14">
            <v>96269</v>
          </cell>
        </row>
        <row r="56">
          <cell r="AY56">
            <v>24240</v>
          </cell>
        </row>
        <row r="69">
          <cell r="I69">
            <v>135</v>
          </cell>
          <cell r="AY69">
            <v>3453</v>
          </cell>
        </row>
        <row r="71">
          <cell r="I71">
            <v>1324</v>
          </cell>
          <cell r="AY71">
            <v>2086</v>
          </cell>
        </row>
        <row r="73">
          <cell r="I73">
            <v>109610</v>
          </cell>
          <cell r="AY73">
            <v>59708</v>
          </cell>
        </row>
      </sheetData>
      <sheetData sheetId="8">
        <row r="14">
          <cell r="I14">
            <v>105348</v>
          </cell>
        </row>
        <row r="56">
          <cell r="AY56">
            <v>26885</v>
          </cell>
        </row>
        <row r="69">
          <cell r="I69">
            <v>163</v>
          </cell>
          <cell r="AY69">
            <v>3937</v>
          </cell>
        </row>
        <row r="71">
          <cell r="I71">
            <v>1373</v>
          </cell>
          <cell r="AY71">
            <v>2208</v>
          </cell>
        </row>
        <row r="73">
          <cell r="I73">
            <v>118939</v>
          </cell>
          <cell r="AY73">
            <v>65408</v>
          </cell>
        </row>
      </sheetData>
      <sheetData sheetId="9">
        <row r="14">
          <cell r="I14">
            <v>108455</v>
          </cell>
        </row>
        <row r="56">
          <cell r="AY56">
            <v>28665</v>
          </cell>
        </row>
        <row r="69">
          <cell r="I69">
            <v>168</v>
          </cell>
          <cell r="AY69">
            <v>4237</v>
          </cell>
        </row>
        <row r="71">
          <cell r="I71">
            <v>1414</v>
          </cell>
          <cell r="AY71">
            <v>2372</v>
          </cell>
        </row>
        <row r="73">
          <cell r="I73">
            <v>122119</v>
          </cell>
          <cell r="AY73">
            <v>69017</v>
          </cell>
        </row>
      </sheetData>
      <sheetData sheetId="10">
        <row r="14">
          <cell r="I14">
            <v>128647</v>
          </cell>
        </row>
        <row r="56">
          <cell r="AY56">
            <v>30895</v>
          </cell>
        </row>
        <row r="69">
          <cell r="I69">
            <v>201</v>
          </cell>
          <cell r="AY69">
            <v>4574</v>
          </cell>
        </row>
        <row r="71">
          <cell r="I71">
            <v>1503</v>
          </cell>
          <cell r="AY71">
            <v>2572</v>
          </cell>
        </row>
        <row r="73">
          <cell r="I73">
            <v>141995</v>
          </cell>
          <cell r="AY73">
            <v>72942</v>
          </cell>
        </row>
      </sheetData>
      <sheetData sheetId="11">
        <row r="14">
          <cell r="I14">
            <v>148565</v>
          </cell>
        </row>
        <row r="56">
          <cell r="AY56">
            <v>34492</v>
          </cell>
        </row>
        <row r="69">
          <cell r="I69">
            <v>363</v>
          </cell>
          <cell r="AY69">
            <v>5147</v>
          </cell>
        </row>
        <row r="71">
          <cell r="I71">
            <v>1560</v>
          </cell>
          <cell r="AY71">
            <v>2796</v>
          </cell>
        </row>
        <row r="73">
          <cell r="I73">
            <v>163200</v>
          </cell>
          <cell r="AY73">
            <v>80288</v>
          </cell>
        </row>
      </sheetData>
      <sheetData sheetId="12">
        <row r="14">
          <cell r="I14">
            <v>163218</v>
          </cell>
        </row>
        <row r="56">
          <cell r="AY56">
            <v>38840</v>
          </cell>
        </row>
        <row r="69">
          <cell r="I69">
            <v>393</v>
          </cell>
          <cell r="AY69">
            <v>5546</v>
          </cell>
        </row>
        <row r="71">
          <cell r="I71">
            <v>1634</v>
          </cell>
          <cell r="AY71">
            <v>3031</v>
          </cell>
        </row>
        <row r="73">
          <cell r="I73">
            <v>178612</v>
          </cell>
          <cell r="AY73">
            <v>88817</v>
          </cell>
        </row>
      </sheetData>
      <sheetData sheetId="13">
        <row r="14">
          <cell r="I14">
            <v>163782</v>
          </cell>
        </row>
        <row r="56">
          <cell r="AY56">
            <v>41792</v>
          </cell>
        </row>
        <row r="69">
          <cell r="I69">
            <v>418</v>
          </cell>
          <cell r="AY69">
            <v>5990</v>
          </cell>
        </row>
        <row r="71">
          <cell r="I71">
            <v>1671</v>
          </cell>
          <cell r="AY71">
            <v>3317</v>
          </cell>
        </row>
        <row r="73">
          <cell r="I73">
            <v>180751</v>
          </cell>
          <cell r="AY73">
            <v>95955</v>
          </cell>
        </row>
      </sheetData>
      <sheetData sheetId="14">
        <row r="14">
          <cell r="I14">
            <v>160744</v>
          </cell>
        </row>
        <row r="56">
          <cell r="AY56">
            <v>45406</v>
          </cell>
        </row>
        <row r="69">
          <cell r="I69">
            <v>307</v>
          </cell>
          <cell r="AY69">
            <v>6186</v>
          </cell>
        </row>
        <row r="71">
          <cell r="I71">
            <v>1672</v>
          </cell>
          <cell r="AY71">
            <v>3680</v>
          </cell>
        </row>
        <row r="73">
          <cell r="I73">
            <v>178893</v>
          </cell>
          <cell r="AY73">
            <v>103033</v>
          </cell>
        </row>
      </sheetData>
      <sheetData sheetId="15">
        <row r="14">
          <cell r="I14">
            <v>181424</v>
          </cell>
        </row>
        <row r="56">
          <cell r="AY56">
            <v>50177</v>
          </cell>
        </row>
        <row r="69">
          <cell r="I69">
            <v>243</v>
          </cell>
          <cell r="AY69">
            <v>6405</v>
          </cell>
        </row>
        <row r="71">
          <cell r="I71">
            <v>1752</v>
          </cell>
          <cell r="AY71">
            <v>4071</v>
          </cell>
        </row>
        <row r="73">
          <cell r="I73">
            <v>201047</v>
          </cell>
          <cell r="AY73">
            <v>113077</v>
          </cell>
        </row>
      </sheetData>
      <sheetData sheetId="16">
        <row r="14">
          <cell r="I14">
            <v>210687</v>
          </cell>
        </row>
        <row r="56">
          <cell r="AY56">
            <v>57238</v>
          </cell>
        </row>
        <row r="69">
          <cell r="I69">
            <v>271</v>
          </cell>
          <cell r="AY69">
            <v>6893</v>
          </cell>
        </row>
        <row r="71">
          <cell r="I71">
            <v>1770</v>
          </cell>
          <cell r="AY71">
            <v>4530</v>
          </cell>
        </row>
        <row r="73">
          <cell r="I73">
            <v>232114</v>
          </cell>
          <cell r="AY73">
            <v>126283</v>
          </cell>
        </row>
      </sheetData>
      <sheetData sheetId="17">
        <row r="14">
          <cell r="I14">
            <v>252296</v>
          </cell>
        </row>
        <row r="56">
          <cell r="AY56">
            <v>67303</v>
          </cell>
        </row>
        <row r="69">
          <cell r="I69">
            <v>337</v>
          </cell>
          <cell r="AY69">
            <v>7546</v>
          </cell>
        </row>
        <row r="71">
          <cell r="I71">
            <v>1965</v>
          </cell>
          <cell r="AY71">
            <v>5114</v>
          </cell>
        </row>
        <row r="73">
          <cell r="I73">
            <v>275733</v>
          </cell>
          <cell r="AY73">
            <v>145363</v>
          </cell>
        </row>
      </sheetData>
      <sheetData sheetId="18">
        <row r="14">
          <cell r="I14">
            <v>287123</v>
          </cell>
        </row>
        <row r="56">
          <cell r="AY56">
            <v>80003</v>
          </cell>
        </row>
        <row r="69">
          <cell r="I69">
            <v>425</v>
          </cell>
          <cell r="AY69">
            <v>8328</v>
          </cell>
        </row>
        <row r="71">
          <cell r="I71">
            <v>2234</v>
          </cell>
          <cell r="AY71">
            <v>5802</v>
          </cell>
        </row>
        <row r="73">
          <cell r="I73">
            <v>312888</v>
          </cell>
          <cell r="AY73">
            <v>168231</v>
          </cell>
        </row>
      </sheetData>
      <sheetData sheetId="19">
        <row r="14">
          <cell r="I14">
            <v>288356</v>
          </cell>
        </row>
        <row r="56">
          <cell r="AY56">
            <v>92982</v>
          </cell>
        </row>
        <row r="69">
          <cell r="I69">
            <v>470</v>
          </cell>
          <cell r="AY69">
            <v>9089</v>
          </cell>
        </row>
        <row r="71">
          <cell r="I71">
            <v>2438</v>
          </cell>
          <cell r="AY71">
            <v>6516</v>
          </cell>
        </row>
        <row r="73">
          <cell r="I73">
            <v>316124</v>
          </cell>
          <cell r="AY73">
            <v>192050</v>
          </cell>
        </row>
      </sheetData>
      <sheetData sheetId="20">
        <row r="14">
          <cell r="I14">
            <v>305734</v>
          </cell>
        </row>
        <row r="56">
          <cell r="AY56">
            <v>108874</v>
          </cell>
        </row>
        <row r="69">
          <cell r="I69">
            <v>473</v>
          </cell>
          <cell r="AY69">
            <v>9739</v>
          </cell>
        </row>
        <row r="71">
          <cell r="I71">
            <v>2801</v>
          </cell>
          <cell r="AY71">
            <v>7175</v>
          </cell>
        </row>
        <row r="73">
          <cell r="I73">
            <v>335861</v>
          </cell>
          <cell r="AY73">
            <v>220157</v>
          </cell>
        </row>
      </sheetData>
      <sheetData sheetId="21">
        <row r="14">
          <cell r="I14">
            <v>295717</v>
          </cell>
        </row>
        <row r="56">
          <cell r="AY56">
            <v>119072</v>
          </cell>
        </row>
        <row r="69">
          <cell r="I69">
            <v>467</v>
          </cell>
          <cell r="AY69">
            <v>10351</v>
          </cell>
        </row>
        <row r="71">
          <cell r="I71">
            <v>3145</v>
          </cell>
          <cell r="AY71">
            <v>7737</v>
          </cell>
        </row>
        <row r="73">
          <cell r="I73">
            <v>326447</v>
          </cell>
          <cell r="AY73">
            <v>242457</v>
          </cell>
        </row>
      </sheetData>
      <sheetData sheetId="22">
        <row r="14">
          <cell r="I14">
            <v>332852</v>
          </cell>
        </row>
        <row r="56">
          <cell r="AY56">
            <v>135408</v>
          </cell>
        </row>
        <row r="69">
          <cell r="I69">
            <v>484</v>
          </cell>
          <cell r="AY69">
            <v>11213</v>
          </cell>
        </row>
        <row r="71">
          <cell r="I71">
            <v>3716</v>
          </cell>
          <cell r="AY71">
            <v>8508</v>
          </cell>
        </row>
        <row r="73">
          <cell r="I73">
            <v>366781</v>
          </cell>
          <cell r="AY73">
            <v>272837</v>
          </cell>
        </row>
      </sheetData>
      <sheetData sheetId="23">
        <row r="14">
          <cell r="I14">
            <v>392432</v>
          </cell>
        </row>
        <row r="56">
          <cell r="AY56">
            <v>156393</v>
          </cell>
        </row>
        <row r="69">
          <cell r="I69">
            <v>561</v>
          </cell>
          <cell r="AY69">
            <v>12242</v>
          </cell>
        </row>
        <row r="71">
          <cell r="I71">
            <v>4118</v>
          </cell>
          <cell r="AY71">
            <v>9401</v>
          </cell>
        </row>
        <row r="73">
          <cell r="I73">
            <v>429493</v>
          </cell>
          <cell r="AY73">
            <v>310729</v>
          </cell>
        </row>
      </sheetData>
      <sheetData sheetId="24">
        <row r="14">
          <cell r="I14">
            <v>431883</v>
          </cell>
        </row>
        <row r="56">
          <cell r="AY56">
            <v>178948</v>
          </cell>
        </row>
        <row r="69">
          <cell r="I69">
            <v>612</v>
          </cell>
          <cell r="AY69">
            <v>13273</v>
          </cell>
        </row>
        <row r="71">
          <cell r="I71">
            <v>4600</v>
          </cell>
          <cell r="AY71">
            <v>10446</v>
          </cell>
        </row>
        <row r="73">
          <cell r="I73">
            <v>471112</v>
          </cell>
          <cell r="AY73">
            <v>347942</v>
          </cell>
        </row>
      </sheetData>
      <sheetData sheetId="25">
        <row r="14">
          <cell r="I14">
            <v>465457</v>
          </cell>
        </row>
        <row r="56">
          <cell r="AY56">
            <v>197927</v>
          </cell>
        </row>
        <row r="69">
          <cell r="I69">
            <v>639</v>
          </cell>
          <cell r="AY69">
            <v>14153</v>
          </cell>
        </row>
        <row r="71">
          <cell r="I71">
            <v>5121</v>
          </cell>
          <cell r="AY71">
            <v>11569</v>
          </cell>
        </row>
        <row r="73">
          <cell r="I73">
            <v>506831</v>
          </cell>
          <cell r="AY73">
            <v>378402</v>
          </cell>
        </row>
      </sheetData>
      <sheetData sheetId="26">
        <row r="14">
          <cell r="I14">
            <v>493726</v>
          </cell>
        </row>
        <row r="56">
          <cell r="AY56">
            <v>221036</v>
          </cell>
        </row>
        <row r="69">
          <cell r="I69">
            <v>783</v>
          </cell>
          <cell r="AY69">
            <v>14672</v>
          </cell>
        </row>
        <row r="71">
          <cell r="I71">
            <v>5685</v>
          </cell>
          <cell r="AY71">
            <v>12727</v>
          </cell>
        </row>
        <row r="73">
          <cell r="I73">
            <v>536124</v>
          </cell>
          <cell r="AY73">
            <v>417643</v>
          </cell>
        </row>
      </sheetData>
      <sheetData sheetId="27">
        <row r="14">
          <cell r="I14">
            <v>508945</v>
          </cell>
        </row>
        <row r="56">
          <cell r="AY56">
            <v>251102</v>
          </cell>
        </row>
        <row r="69">
          <cell r="I69">
            <v>812</v>
          </cell>
          <cell r="AY69">
            <v>15506</v>
          </cell>
        </row>
        <row r="71">
          <cell r="I71">
            <v>6165</v>
          </cell>
          <cell r="AY71">
            <v>13923</v>
          </cell>
        </row>
        <row r="73">
          <cell r="I73">
            <v>555044</v>
          </cell>
          <cell r="AY73">
            <v>459142</v>
          </cell>
        </row>
      </sheetData>
      <sheetData sheetId="28">
        <row r="14">
          <cell r="I14">
            <v>523701</v>
          </cell>
        </row>
        <row r="56">
          <cell r="AY56">
            <v>281853</v>
          </cell>
        </row>
        <row r="69">
          <cell r="I69">
            <v>801</v>
          </cell>
          <cell r="AY69">
            <v>16372</v>
          </cell>
        </row>
        <row r="71">
          <cell r="I71">
            <v>6942</v>
          </cell>
          <cell r="AY71">
            <v>15214</v>
          </cell>
        </row>
        <row r="73">
          <cell r="I73">
            <v>573423</v>
          </cell>
          <cell r="AY73">
            <v>498989</v>
          </cell>
        </row>
      </sheetData>
      <sheetData sheetId="29">
        <row r="14">
          <cell r="I14">
            <v>529979</v>
          </cell>
        </row>
        <row r="56">
          <cell r="AY56">
            <v>305806</v>
          </cell>
        </row>
        <row r="69">
          <cell r="I69">
            <v>808</v>
          </cell>
          <cell r="AY69">
            <v>17387</v>
          </cell>
        </row>
        <row r="71">
          <cell r="I71">
            <v>7563</v>
          </cell>
          <cell r="AY71">
            <v>16457</v>
          </cell>
        </row>
        <row r="73">
          <cell r="I73">
            <v>583700</v>
          </cell>
          <cell r="AY73">
            <v>532248</v>
          </cell>
        </row>
      </sheetData>
      <sheetData sheetId="30">
        <row r="14">
          <cell r="I14">
            <v>490549</v>
          </cell>
        </row>
        <row r="56">
          <cell r="AY56">
            <v>311091</v>
          </cell>
        </row>
        <row r="69">
          <cell r="I69">
            <v>814</v>
          </cell>
          <cell r="AY69">
            <v>17855</v>
          </cell>
        </row>
        <row r="71">
          <cell r="I71">
            <v>8552</v>
          </cell>
          <cell r="AY71">
            <v>17738</v>
          </cell>
        </row>
        <row r="73">
          <cell r="I73">
            <v>547492</v>
          </cell>
          <cell r="AY73">
            <v>542220</v>
          </cell>
        </row>
      </sheetData>
      <sheetData sheetId="31">
        <row r="14">
          <cell r="I14">
            <v>514644</v>
          </cell>
        </row>
        <row r="56">
          <cell r="AY56">
            <v>329807</v>
          </cell>
        </row>
        <row r="69">
          <cell r="I69">
            <v>740</v>
          </cell>
          <cell r="AY69">
            <v>17988</v>
          </cell>
        </row>
        <row r="71">
          <cell r="I71">
            <v>9696</v>
          </cell>
          <cell r="AY71">
            <v>18887</v>
          </cell>
        </row>
        <row r="73">
          <cell r="I73">
            <v>576992</v>
          </cell>
          <cell r="AY73">
            <v>566777</v>
          </cell>
        </row>
      </sheetData>
      <sheetData sheetId="32">
        <row r="14">
          <cell r="I14">
            <v>544703</v>
          </cell>
        </row>
        <row r="56">
          <cell r="AY56">
            <v>346787</v>
          </cell>
        </row>
        <row r="69">
          <cell r="I69">
            <v>647</v>
          </cell>
          <cell r="AY69">
            <v>18435</v>
          </cell>
        </row>
        <row r="71">
          <cell r="I71">
            <v>9958</v>
          </cell>
          <cell r="AY71">
            <v>19904</v>
          </cell>
        </row>
        <row r="73">
          <cell r="I73">
            <v>607828</v>
          </cell>
          <cell r="AY73">
            <v>588490</v>
          </cell>
        </row>
      </sheetData>
      <sheetData sheetId="33">
        <row r="14">
          <cell r="I14">
            <v>587053</v>
          </cell>
        </row>
        <row r="56">
          <cell r="AY56">
            <v>369316</v>
          </cell>
        </row>
        <row r="69">
          <cell r="I69">
            <v>685</v>
          </cell>
          <cell r="AY69">
            <v>19198</v>
          </cell>
        </row>
        <row r="71">
          <cell r="I71">
            <v>9692</v>
          </cell>
          <cell r="AY71">
            <v>20581</v>
          </cell>
        </row>
        <row r="73">
          <cell r="I73">
            <v>650778</v>
          </cell>
          <cell r="AY73">
            <v>618735</v>
          </cell>
        </row>
      </sheetData>
      <sheetData sheetId="34">
        <row r="14">
          <cell r="I14">
            <v>612969</v>
          </cell>
        </row>
        <row r="56">
          <cell r="AY56">
            <v>410865</v>
          </cell>
        </row>
        <row r="69">
          <cell r="I69">
            <v>445</v>
          </cell>
          <cell r="AY69">
            <v>18656</v>
          </cell>
        </row>
        <row r="71">
          <cell r="I71">
            <v>9448</v>
          </cell>
          <cell r="AY71">
            <v>21217</v>
          </cell>
        </row>
        <row r="73">
          <cell r="I73">
            <v>675222</v>
          </cell>
          <cell r="AY73">
            <v>673813</v>
          </cell>
        </row>
      </sheetData>
      <sheetData sheetId="35">
        <row r="14">
          <cell r="I14">
            <v>665596</v>
          </cell>
        </row>
        <row r="56">
          <cell r="AY56">
            <v>459043</v>
          </cell>
        </row>
        <row r="69">
          <cell r="I69">
            <v>354</v>
          </cell>
          <cell r="AY69">
            <v>18381</v>
          </cell>
        </row>
        <row r="71">
          <cell r="I71">
            <v>8810</v>
          </cell>
          <cell r="AY71">
            <v>21686</v>
          </cell>
        </row>
        <row r="73">
          <cell r="I73">
            <v>724838</v>
          </cell>
          <cell r="AY73">
            <v>736873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NAICS Codes"/>
      <sheetName val="1947"/>
      <sheetName val="1948"/>
      <sheetName val="1949"/>
      <sheetName val="1950"/>
      <sheetName val="1951"/>
      <sheetName val="1952"/>
      <sheetName val="1953"/>
      <sheetName val="1954"/>
      <sheetName val="1955"/>
      <sheetName val="1956"/>
      <sheetName val="1957"/>
      <sheetName val="1958"/>
      <sheetName val="1959"/>
      <sheetName val="1960"/>
      <sheetName val="1961"/>
      <sheetName val="1962"/>
    </sheetNames>
    <sheetDataSet>
      <sheetData sheetId="0" refreshError="1"/>
      <sheetData sheetId="1" refreshError="1"/>
      <sheetData sheetId="2">
        <row r="14">
          <cell r="I14">
            <v>21209</v>
          </cell>
        </row>
        <row r="42">
          <cell r="AK42">
            <v>5619</v>
          </cell>
        </row>
        <row r="51">
          <cell r="I51">
            <v>45</v>
          </cell>
          <cell r="AK51">
            <v>620</v>
          </cell>
        </row>
        <row r="53">
          <cell r="I53">
            <v>122</v>
          </cell>
          <cell r="AK53">
            <v>174</v>
          </cell>
        </row>
        <row r="55">
          <cell r="I55">
            <v>24836</v>
          </cell>
          <cell r="AK55">
            <v>12954</v>
          </cell>
        </row>
      </sheetData>
      <sheetData sheetId="3">
        <row r="14">
          <cell r="I14">
            <v>27805</v>
          </cell>
        </row>
        <row r="42">
          <cell r="AK42">
            <v>6228</v>
          </cell>
        </row>
        <row r="51">
          <cell r="I51">
            <v>35</v>
          </cell>
          <cell r="AK51">
            <v>600</v>
          </cell>
        </row>
        <row r="53">
          <cell r="I53">
            <v>149</v>
          </cell>
          <cell r="AK53">
            <v>208</v>
          </cell>
        </row>
        <row r="55">
          <cell r="I55">
            <v>31813</v>
          </cell>
          <cell r="AK55">
            <v>14334</v>
          </cell>
        </row>
      </sheetData>
      <sheetData sheetId="4">
        <row r="14">
          <cell r="I14">
            <v>28501</v>
          </cell>
        </row>
        <row r="42">
          <cell r="AK42">
            <v>6530</v>
          </cell>
        </row>
        <row r="51">
          <cell r="I51">
            <v>26</v>
          </cell>
          <cell r="AK51">
            <v>547</v>
          </cell>
        </row>
        <row r="53">
          <cell r="I53">
            <v>185</v>
          </cell>
          <cell r="AK53">
            <v>241</v>
          </cell>
        </row>
        <row r="55">
          <cell r="I55">
            <v>32726</v>
          </cell>
          <cell r="AK55">
            <v>14655</v>
          </cell>
        </row>
      </sheetData>
      <sheetData sheetId="5">
        <row r="14">
          <cell r="I14">
            <v>35618</v>
          </cell>
        </row>
        <row r="42">
          <cell r="AK42">
            <v>7233</v>
          </cell>
        </row>
        <row r="51">
          <cell r="I51">
            <v>47</v>
          </cell>
          <cell r="AK51">
            <v>624</v>
          </cell>
        </row>
        <row r="53">
          <cell r="I53">
            <v>220</v>
          </cell>
          <cell r="AK53">
            <v>265</v>
          </cell>
        </row>
        <row r="55">
          <cell r="I55">
            <v>40344</v>
          </cell>
          <cell r="AK55">
            <v>15957</v>
          </cell>
        </row>
      </sheetData>
      <sheetData sheetId="6">
        <row r="14">
          <cell r="I14">
            <v>37759</v>
          </cell>
        </row>
        <row r="42">
          <cell r="AK42">
            <v>8326</v>
          </cell>
        </row>
        <row r="51">
          <cell r="I51">
            <v>96</v>
          </cell>
          <cell r="AK51">
            <v>826</v>
          </cell>
        </row>
        <row r="53">
          <cell r="I53">
            <v>248</v>
          </cell>
          <cell r="AK53">
            <v>290</v>
          </cell>
        </row>
        <row r="55">
          <cell r="I55">
            <v>43087</v>
          </cell>
          <cell r="AK55">
            <v>17809</v>
          </cell>
        </row>
      </sheetData>
      <sheetData sheetId="7">
        <row r="14">
          <cell r="I14">
            <v>39336</v>
          </cell>
        </row>
        <row r="42">
          <cell r="AK42">
            <v>9152</v>
          </cell>
        </row>
        <row r="51">
          <cell r="I51">
            <v>74</v>
          </cell>
          <cell r="AK51">
            <v>885</v>
          </cell>
        </row>
        <row r="53">
          <cell r="I53">
            <v>283</v>
          </cell>
          <cell r="AK53">
            <v>313</v>
          </cell>
        </row>
        <row r="55">
          <cell r="I55">
            <v>45063</v>
          </cell>
          <cell r="AK55">
            <v>19655</v>
          </cell>
        </row>
      </sheetData>
      <sheetData sheetId="8">
        <row r="14">
          <cell r="I14">
            <v>41866</v>
          </cell>
        </row>
        <row r="42">
          <cell r="AK42">
            <v>10011</v>
          </cell>
        </row>
        <row r="51">
          <cell r="I51">
            <v>83</v>
          </cell>
          <cell r="AK51">
            <v>1041</v>
          </cell>
        </row>
        <row r="53">
          <cell r="I53">
            <v>310</v>
          </cell>
          <cell r="AK53">
            <v>342</v>
          </cell>
        </row>
        <row r="55">
          <cell r="I55">
            <v>48106</v>
          </cell>
          <cell r="AK55">
            <v>21873</v>
          </cell>
        </row>
      </sheetData>
      <sheetData sheetId="9">
        <row r="14">
          <cell r="I14">
            <v>44035</v>
          </cell>
        </row>
        <row r="42">
          <cell r="AK42">
            <v>10664</v>
          </cell>
        </row>
        <row r="51">
          <cell r="I51">
            <v>100</v>
          </cell>
          <cell r="AK51">
            <v>1048</v>
          </cell>
        </row>
        <row r="53">
          <cell r="I53">
            <v>350</v>
          </cell>
          <cell r="AK53">
            <v>378</v>
          </cell>
        </row>
        <row r="55">
          <cell r="I55">
            <v>50492</v>
          </cell>
          <cell r="AK55">
            <v>22925</v>
          </cell>
        </row>
      </sheetData>
      <sheetData sheetId="10">
        <row r="14">
          <cell r="I14">
            <v>48582</v>
          </cell>
        </row>
        <row r="42">
          <cell r="AK42">
            <v>11886</v>
          </cell>
        </row>
        <row r="51">
          <cell r="I51">
            <v>217</v>
          </cell>
          <cell r="AK51">
            <v>1223</v>
          </cell>
        </row>
        <row r="53">
          <cell r="I53">
            <v>404</v>
          </cell>
          <cell r="AK53">
            <v>423</v>
          </cell>
        </row>
        <row r="55">
          <cell r="I55">
            <v>55719</v>
          </cell>
          <cell r="AK55">
            <v>25064</v>
          </cell>
        </row>
      </sheetData>
      <sheetData sheetId="11">
        <row r="14">
          <cell r="I14">
            <v>51601</v>
          </cell>
        </row>
        <row r="42">
          <cell r="AK42">
            <v>13302</v>
          </cell>
        </row>
        <row r="51">
          <cell r="I51">
            <v>148</v>
          </cell>
          <cell r="AK51">
            <v>1200</v>
          </cell>
        </row>
        <row r="53">
          <cell r="I53">
            <v>455</v>
          </cell>
          <cell r="AK53">
            <v>476</v>
          </cell>
        </row>
        <row r="55">
          <cell r="I55">
            <v>59176</v>
          </cell>
          <cell r="AK55">
            <v>28053</v>
          </cell>
        </row>
      </sheetData>
      <sheetData sheetId="12">
        <row r="14">
          <cell r="I14">
            <v>52697</v>
          </cell>
        </row>
        <row r="42">
          <cell r="AK42">
            <v>14811</v>
          </cell>
        </row>
        <row r="51">
          <cell r="I51">
            <v>246</v>
          </cell>
          <cell r="AK51">
            <v>1385</v>
          </cell>
        </row>
        <row r="53">
          <cell r="I53">
            <v>517</v>
          </cell>
          <cell r="AK53">
            <v>533</v>
          </cell>
        </row>
        <row r="55">
          <cell r="I55">
            <v>60789</v>
          </cell>
          <cell r="AK55">
            <v>30473</v>
          </cell>
        </row>
      </sheetData>
      <sheetData sheetId="13">
        <row r="14">
          <cell r="I14">
            <v>53585</v>
          </cell>
        </row>
        <row r="42">
          <cell r="AK42">
            <v>15411</v>
          </cell>
        </row>
        <row r="51">
          <cell r="I51">
            <v>274</v>
          </cell>
          <cell r="AK51">
            <v>1532</v>
          </cell>
        </row>
        <row r="53">
          <cell r="I53">
            <v>608</v>
          </cell>
          <cell r="AK53">
            <v>586</v>
          </cell>
        </row>
        <row r="55">
          <cell r="I55">
            <v>62042</v>
          </cell>
          <cell r="AK55">
            <v>32738</v>
          </cell>
        </row>
      </sheetData>
      <sheetData sheetId="14">
        <row r="14">
          <cell r="I14">
            <v>59013</v>
          </cell>
        </row>
        <row r="42">
          <cell r="AK42">
            <v>17352</v>
          </cell>
        </row>
        <row r="51">
          <cell r="I51">
            <v>236</v>
          </cell>
          <cell r="AK51">
            <v>1662</v>
          </cell>
        </row>
        <row r="53">
          <cell r="I53">
            <v>690</v>
          </cell>
          <cell r="AK53">
            <v>654</v>
          </cell>
        </row>
        <row r="55">
          <cell r="I55">
            <v>67990</v>
          </cell>
          <cell r="AK55">
            <v>35999</v>
          </cell>
        </row>
      </sheetData>
      <sheetData sheetId="15">
        <row r="14">
          <cell r="I14">
            <v>58201</v>
          </cell>
        </row>
        <row r="42">
          <cell r="AK42">
            <v>18354</v>
          </cell>
        </row>
        <row r="51">
          <cell r="I51">
            <v>216</v>
          </cell>
          <cell r="AK51">
            <v>1786</v>
          </cell>
        </row>
        <row r="53">
          <cell r="I53">
            <v>739</v>
          </cell>
          <cell r="AK53">
            <v>742</v>
          </cell>
        </row>
        <row r="55">
          <cell r="I55">
            <v>67536</v>
          </cell>
          <cell r="AK55">
            <v>38322</v>
          </cell>
        </row>
      </sheetData>
      <sheetData sheetId="16">
        <row r="14">
          <cell r="I14">
            <v>59525</v>
          </cell>
        </row>
        <row r="42">
          <cell r="AK42">
            <v>20111</v>
          </cell>
        </row>
        <row r="51">
          <cell r="I51">
            <v>200</v>
          </cell>
          <cell r="AK51">
            <v>1921</v>
          </cell>
        </row>
        <row r="53">
          <cell r="I53">
            <v>807</v>
          </cell>
          <cell r="AK53">
            <v>854</v>
          </cell>
        </row>
        <row r="55">
          <cell r="I55">
            <v>69088</v>
          </cell>
          <cell r="AK55">
            <v>40916</v>
          </cell>
        </row>
      </sheetData>
      <sheetData sheetId="17">
        <row r="14">
          <cell r="I14">
            <v>62791</v>
          </cell>
        </row>
        <row r="42">
          <cell r="AK42">
            <v>22110</v>
          </cell>
        </row>
        <row r="51">
          <cell r="I51">
            <v>207</v>
          </cell>
          <cell r="AK51">
            <v>2090</v>
          </cell>
        </row>
        <row r="53">
          <cell r="I53">
            <v>911</v>
          </cell>
          <cell r="AK53">
            <v>999</v>
          </cell>
        </row>
        <row r="55">
          <cell r="I55">
            <v>72895</v>
          </cell>
          <cell r="AK55">
            <v>44475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SIC_SHIP_ReadMe"/>
      <sheetName val="72SIC_SHIP_A_Current Dollars"/>
      <sheetName val="72SIC_SHIP_Quantity Indxes"/>
      <sheetName val="72SIC_SHIP_C_Price Indexes"/>
      <sheetName val="87SIC_SHIP_ReadMe"/>
      <sheetName val="87SIC_SHIP_A_Current Dollars"/>
      <sheetName val="87SIC_SHIP_B_Quantity Indxes"/>
      <sheetName val="87SIC_SHIP_C _Price Indexes"/>
    </sheetNames>
    <sheetDataSet>
      <sheetData sheetId="0"/>
      <sheetData sheetId="1"/>
      <sheetData sheetId="2"/>
      <sheetData sheetId="3">
        <row r="168">
          <cell r="D168">
            <v>60.179000000000002</v>
          </cell>
          <cell r="E168">
            <v>64.123999999999995</v>
          </cell>
          <cell r="F168">
            <v>70.394000000000005</v>
          </cell>
          <cell r="G168">
            <v>78.08</v>
          </cell>
          <cell r="H168">
            <v>84.991</v>
          </cell>
          <cell r="I168">
            <v>88.126999999999995</v>
          </cell>
          <cell r="J168">
            <v>88.715999999999994</v>
          </cell>
          <cell r="K168">
            <v>92.938000000000002</v>
          </cell>
          <cell r="L168">
            <v>96.626999999999995</v>
          </cell>
          <cell r="M168">
            <v>98.17</v>
          </cell>
          <cell r="N168">
            <v>100</v>
          </cell>
        </row>
        <row r="445">
          <cell r="D445">
            <v>57.465000000000003</v>
          </cell>
          <cell r="E445">
            <v>61.917999999999999</v>
          </cell>
          <cell r="F445">
            <v>69.305000000000007</v>
          </cell>
          <cell r="G445">
            <v>79.076999999999998</v>
          </cell>
          <cell r="H445">
            <v>86.39</v>
          </cell>
          <cell r="I445">
            <v>89.605000000000004</v>
          </cell>
          <cell r="J445">
            <v>92.57</v>
          </cell>
          <cell r="K445">
            <v>96.13</v>
          </cell>
          <cell r="L445">
            <v>96.739000000000004</v>
          </cell>
          <cell r="M445">
            <v>98.409000000000006</v>
          </cell>
          <cell r="N445">
            <v>100</v>
          </cell>
        </row>
      </sheetData>
      <sheetData sheetId="4"/>
      <sheetData sheetId="5"/>
      <sheetData sheetId="6"/>
      <sheetData sheetId="7">
        <row r="160">
          <cell r="D160">
            <v>74.347999999999999</v>
          </cell>
          <cell r="E160">
            <v>76.573999999999998</v>
          </cell>
          <cell r="F160">
            <v>80.239000000000004</v>
          </cell>
          <cell r="G160">
            <v>82.581999999999994</v>
          </cell>
          <cell r="H160">
            <v>83.635999999999996</v>
          </cell>
          <cell r="I160">
            <v>84.274000000000001</v>
          </cell>
          <cell r="J160">
            <v>87.164000000000001</v>
          </cell>
          <cell r="K160">
            <v>88.144999999999996</v>
          </cell>
          <cell r="L160">
            <v>93.46</v>
          </cell>
          <cell r="M160">
            <v>95.83</v>
          </cell>
          <cell r="N160">
            <v>96.082999999999998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Newspapers"/>
      <sheetName val="Digital Newspapers"/>
      <sheetName val="Print Magazines"/>
      <sheetName val="Digital Magazine"/>
      <sheetName val="Printed Directories"/>
      <sheetName val="Digital Directories"/>
      <sheetName val="Audiovisual Movie Theaters"/>
      <sheetName val="Audiovisual Radio"/>
      <sheetName val="Digital Radio"/>
      <sheetName val="Audiovisual Television"/>
      <sheetName val="Digital Television"/>
      <sheetName val="Audiovisual Internet"/>
      <sheetName val="Digital Internet"/>
      <sheetName val="Digital Freemium Games"/>
      <sheetName val="Summary Purchased Ads"/>
      <sheetName val="Summary Own-Account Ads"/>
      <sheetName val="Summary Price Indexes"/>
      <sheetName val="Industry Tab"/>
      <sheetName val="2017 Economic Census"/>
      <sheetName val="Print Direct Mail"/>
      <sheetName val="Print Direct Nonmail"/>
      <sheetName val="Print Outdoor (e.g. billboards)"/>
      <sheetName val="Live Merchandise Display"/>
      <sheetName val="Audiovisual Advertising Special"/>
      <sheetName val="Print Public Relations"/>
      <sheetName val="Audiovisual Public Relations"/>
      <sheetName val="Digital Public Relation"/>
      <sheetName val="Audiovisual Ad Agency Shows"/>
      <sheetName val="Print Ad Agency, Other"/>
      <sheetName val="Audiovisual Ad Agency, Other"/>
      <sheetName val="Digital Ad Agency, Other"/>
      <sheetName val="Print Event Planning"/>
      <sheetName val="Audiovisual Event Planning"/>
      <sheetName val="Digital Event Planning"/>
      <sheetName val="Live Event Planning"/>
      <sheetName val="Print NAICS 71 Sponsor"/>
      <sheetName val="Print NAICS 81 Sponsor"/>
      <sheetName val="Audiovisual NAICS 71 Sponsor"/>
      <sheetName val="Audiovisual NAICS 81 Sponsor"/>
      <sheetName val="Digital NAICS 71 Sponsor"/>
      <sheetName val="Digital NAICS 81 Sponsor"/>
      <sheetName val="Live NAICS 71 Sponsor"/>
      <sheetName val="Live NAICS 81 Sponsor"/>
      <sheetName val="Print Stock Photography"/>
      <sheetName val="Digital Stock Photography"/>
      <sheetName val="Digital Web DesignHosting, 518 "/>
      <sheetName val="Digital Web DesignHosting, 5415"/>
      <sheetName val="Outsell Data"/>
    </sheetNames>
    <sheetDataSet>
      <sheetData sheetId="0">
        <row r="3">
          <cell r="Q3">
            <v>0.19646705944260237</v>
          </cell>
        </row>
      </sheetData>
      <sheetData sheetId="1"/>
      <sheetData sheetId="2">
        <row r="3">
          <cell r="R3">
            <v>0.26862063203176967</v>
          </cell>
        </row>
      </sheetData>
      <sheetData sheetId="3"/>
      <sheetData sheetId="4">
        <row r="3">
          <cell r="K3">
            <v>9.8508029363235758E-2</v>
          </cell>
        </row>
      </sheetData>
      <sheetData sheetId="5"/>
      <sheetData sheetId="6">
        <row r="94">
          <cell r="B94">
            <v>50686.450582351339</v>
          </cell>
        </row>
      </sheetData>
      <sheetData sheetId="7">
        <row r="3">
          <cell r="R3">
            <v>1.4837861109377924E-2</v>
          </cell>
        </row>
      </sheetData>
      <sheetData sheetId="8"/>
      <sheetData sheetId="9">
        <row r="3">
          <cell r="X3">
            <v>2.1606798344904178E-2</v>
          </cell>
        </row>
      </sheetData>
      <sheetData sheetId="10"/>
      <sheetData sheetId="11">
        <row r="3">
          <cell r="AB3">
            <v>0.22495094325477716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N3">
            <v>3751525</v>
          </cell>
          <cell r="O3">
            <v>2437751</v>
          </cell>
          <cell r="P3">
            <v>3344305</v>
          </cell>
          <cell r="Q3">
            <v>4180088</v>
          </cell>
        </row>
        <row r="4">
          <cell r="N4">
            <v>3844747</v>
          </cell>
          <cell r="O4">
            <v>3874281</v>
          </cell>
          <cell r="P4">
            <v>4010287</v>
          </cell>
          <cell r="Q4">
            <v>4425577</v>
          </cell>
        </row>
        <row r="5">
          <cell r="N5">
            <v>4014483</v>
          </cell>
          <cell r="O5">
            <v>3931978</v>
          </cell>
          <cell r="P5">
            <v>4015382</v>
          </cell>
          <cell r="Q5">
            <v>4677795</v>
          </cell>
        </row>
        <row r="6">
          <cell r="N6">
            <v>3998412</v>
          </cell>
          <cell r="O6">
            <v>3991812</v>
          </cell>
          <cell r="P6">
            <v>4105004</v>
          </cell>
          <cell r="Q6">
            <v>4459093</v>
          </cell>
        </row>
        <row r="7">
          <cell r="N7">
            <v>4216531</v>
          </cell>
          <cell r="O7">
            <v>4082951</v>
          </cell>
          <cell r="P7">
            <v>4312235</v>
          </cell>
          <cell r="Q7">
            <v>4931855</v>
          </cell>
        </row>
        <row r="8">
          <cell r="N8">
            <v>4348025</v>
          </cell>
          <cell r="O8">
            <v>4153628</v>
          </cell>
          <cell r="P8">
            <v>4343929</v>
          </cell>
          <cell r="Q8">
            <v>4710079</v>
          </cell>
        </row>
        <row r="9">
          <cell r="N9">
            <v>4228632</v>
          </cell>
          <cell r="O9">
            <v>4237337</v>
          </cell>
          <cell r="P9">
            <v>4384830</v>
          </cell>
          <cell r="Q9">
            <v>4997183</v>
          </cell>
        </row>
        <row r="10">
          <cell r="N10">
            <v>4057596</v>
          </cell>
          <cell r="O10">
            <v>4033217</v>
          </cell>
          <cell r="P10">
            <v>4240090</v>
          </cell>
          <cell r="Q10">
            <v>4645760</v>
          </cell>
        </row>
        <row r="11">
          <cell r="N11">
            <v>4000374</v>
          </cell>
          <cell r="O11">
            <v>3916370</v>
          </cell>
          <cell r="P11">
            <v>4107277</v>
          </cell>
          <cell r="Q11">
            <v>4654377</v>
          </cell>
        </row>
        <row r="12">
          <cell r="N12">
            <v>4232818</v>
          </cell>
          <cell r="O12">
            <v>4180230</v>
          </cell>
          <cell r="P12">
            <v>4418194</v>
          </cell>
          <cell r="Q12">
            <v>4689249</v>
          </cell>
        </row>
        <row r="13">
          <cell r="N13">
            <v>4194822</v>
          </cell>
          <cell r="O13">
            <v>4109163</v>
          </cell>
          <cell r="P13">
            <v>4364644</v>
          </cell>
          <cell r="Q13">
            <v>4995790</v>
          </cell>
        </row>
        <row r="14">
          <cell r="N14">
            <v>4124971</v>
          </cell>
          <cell r="O14">
            <v>3941579</v>
          </cell>
          <cell r="P14">
            <v>4173220</v>
          </cell>
          <cell r="Q14">
            <v>4662054</v>
          </cell>
        </row>
        <row r="15">
          <cell r="N15">
            <v>5089584</v>
          </cell>
          <cell r="O15">
            <v>4809525</v>
          </cell>
          <cell r="P15">
            <v>4942941</v>
          </cell>
          <cell r="Q15">
            <v>5127581</v>
          </cell>
        </row>
        <row r="16">
          <cell r="N16">
            <v>4988973</v>
          </cell>
          <cell r="O16">
            <v>4970857</v>
          </cell>
          <cell r="P16">
            <v>5276191</v>
          </cell>
          <cell r="Q16">
            <v>5744243</v>
          </cell>
        </row>
        <row r="17">
          <cell r="N17">
            <v>4919167</v>
          </cell>
          <cell r="O17">
            <v>4862898</v>
          </cell>
          <cell r="P17">
            <v>5011010</v>
          </cell>
          <cell r="Q17">
            <v>5543149</v>
          </cell>
        </row>
        <row r="18">
          <cell r="N18">
            <v>4599350</v>
          </cell>
          <cell r="O18">
            <v>4521581</v>
          </cell>
          <cell r="P18">
            <v>4778686</v>
          </cell>
          <cell r="Q18">
            <v>5083670</v>
          </cell>
        </row>
        <row r="19">
          <cell r="N19">
            <v>4451684</v>
          </cell>
          <cell r="O19">
            <v>4360302</v>
          </cell>
          <cell r="P19">
            <v>4624609</v>
          </cell>
          <cell r="Q19">
            <v>5053854</v>
          </cell>
        </row>
        <row r="20">
          <cell r="N20">
            <v>4172636</v>
          </cell>
          <cell r="O20">
            <v>4066222</v>
          </cell>
          <cell r="P20">
            <v>4297580</v>
          </cell>
          <cell r="Q20">
            <v>4685930</v>
          </cell>
        </row>
        <row r="21">
          <cell r="N21">
            <v>3338201</v>
          </cell>
          <cell r="O21">
            <v>3660981</v>
          </cell>
          <cell r="P21">
            <v>4742724</v>
          </cell>
          <cell r="Q21">
            <v>4488881</v>
          </cell>
        </row>
        <row r="22">
          <cell r="N22">
            <v>3401326</v>
          </cell>
          <cell r="O22">
            <v>3760194</v>
          </cell>
          <cell r="P22">
            <v>4530895</v>
          </cell>
          <cell r="Q22">
            <v>3979126</v>
          </cell>
        </row>
        <row r="23">
          <cell r="Q23">
            <v>4053900</v>
          </cell>
        </row>
        <row r="24">
          <cell r="Q24">
            <v>3860461</v>
          </cell>
        </row>
      </sheetData>
      <sheetData sheetId="20"/>
      <sheetData sheetId="21"/>
      <sheetData sheetId="22"/>
      <sheetData sheetId="23"/>
      <sheetData sheetId="24">
        <row r="6">
          <cell r="K6">
            <v>0.11620723540430335</v>
          </cell>
        </row>
      </sheetData>
      <sheetData sheetId="25"/>
      <sheetData sheetId="26"/>
      <sheetData sheetId="27">
        <row r="3">
          <cell r="B3">
            <v>0</v>
          </cell>
        </row>
      </sheetData>
      <sheetData sheetId="28">
        <row r="3">
          <cell r="L3">
            <v>7.9289620291334961E-2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M3">
            <v>3.7777085603595009E-2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 Economic Census, 5418"/>
      <sheetName val="2012 Economic Census, 5418"/>
      <sheetName val="2007 Economic Census, 5418"/>
      <sheetName val="2012 Economic Census, 5415"/>
      <sheetName val="2007 Economic Census, 5415"/>
      <sheetName val="2002 Economic Census, 5415"/>
      <sheetName val="2012 Economic Census, 5419"/>
      <sheetName val="2007 Economic Census, 5419"/>
      <sheetName val="2002 Economic Census, 5419"/>
      <sheetName val="BEA Adjustments"/>
      <sheetName val="2012 Economic Census, 518"/>
      <sheetName val="2007 Economic Census, 518"/>
      <sheetName val="2002 Economic Census, 518"/>
      <sheetName val="Printed Newspapers"/>
      <sheetName val="Newspaper Advertising Share"/>
      <sheetName val="Printed Magazines"/>
      <sheetName val="Printed Directories"/>
      <sheetName val="Radio"/>
      <sheetName val="Television"/>
      <sheetName val="Internet"/>
      <sheetName val="CS Ad Expenditure Data"/>
      <sheetName val="Outsell Data"/>
      <sheetName val="Marketing in Commercials"/>
      <sheetName val="OES Data, from NAICS"/>
      <sheetName val="Self-Employment Adjustment"/>
      <sheetName val="Marketing in Media"/>
      <sheetName val="Separated Marketing"/>
      <sheetName val="In-House Advertising"/>
      <sheetName val="Viewership Price Indexes"/>
      <sheetName val="Content Price Indexes"/>
      <sheetName val="Table for Leonard"/>
      <sheetName val="Figures"/>
      <sheetName val="Table"/>
      <sheetName val="Chart1"/>
      <sheetName val="Chart1_paper"/>
      <sheetName val="Chart2"/>
      <sheetName val="Chart2_paper"/>
      <sheetName val="Chart3"/>
      <sheetName val="Chart4"/>
      <sheetName val="Chart3_paper"/>
      <sheetName val="Chart5"/>
      <sheetName val="Chart6"/>
      <sheetName val="Chart4_paper"/>
      <sheetName val="Chart7"/>
      <sheetName val="Chart8"/>
      <sheetName val="Chart5_paper"/>
      <sheetName val="Chart9"/>
      <sheetName val="Chart6_paper"/>
      <sheetName val="Chart10"/>
    </sheetNames>
    <sheetDataSet>
      <sheetData sheetId="0">
        <row r="14">
          <cell r="O14">
            <v>6215444</v>
          </cell>
        </row>
      </sheetData>
      <sheetData sheetId="1">
        <row r="14">
          <cell r="M14">
            <v>10195568</v>
          </cell>
        </row>
      </sheetData>
      <sheetData sheetId="2">
        <row r="17">
          <cell r="O17">
            <v>9544062</v>
          </cell>
        </row>
      </sheetData>
      <sheetData sheetId="3">
        <row r="21">
          <cell r="I21" t="str">
            <v>1,328,020</v>
          </cell>
        </row>
      </sheetData>
      <sheetData sheetId="4">
        <row r="23">
          <cell r="J23" t="str">
            <v>734,474</v>
          </cell>
        </row>
      </sheetData>
      <sheetData sheetId="5">
        <row r="71">
          <cell r="J71" t="str">
            <v>5,413,000</v>
          </cell>
        </row>
      </sheetData>
      <sheetData sheetId="6">
        <row r="33">
          <cell r="I33" t="str">
            <v>15,302,226</v>
          </cell>
        </row>
      </sheetData>
      <sheetData sheetId="7">
        <row r="15">
          <cell r="I15" t="str">
            <v>14,972,799</v>
          </cell>
        </row>
      </sheetData>
      <sheetData sheetId="8">
        <row r="5">
          <cell r="G5">
            <v>10565120</v>
          </cell>
        </row>
      </sheetData>
      <sheetData sheetId="9"/>
      <sheetData sheetId="10">
        <row r="9">
          <cell r="M9" t="str">
            <v>18,474,148</v>
          </cell>
        </row>
      </sheetData>
      <sheetData sheetId="11">
        <row r="11">
          <cell r="M11" t="str">
            <v>8,280,119</v>
          </cell>
        </row>
      </sheetData>
      <sheetData sheetId="12">
        <row r="87">
          <cell r="O87" t="str">
            <v>64,960</v>
          </cell>
        </row>
      </sheetData>
      <sheetData sheetId="13">
        <row r="7">
          <cell r="W7">
            <v>41239.440225936065</v>
          </cell>
        </row>
        <row r="8">
          <cell r="W8">
            <v>41618.973737844295</v>
          </cell>
        </row>
        <row r="9">
          <cell r="W9">
            <v>43920.937809351897</v>
          </cell>
        </row>
        <row r="10">
          <cell r="W10">
            <v>45858.447912420663</v>
          </cell>
        </row>
        <row r="11">
          <cell r="W11">
            <v>46181.53541209727</v>
          </cell>
        </row>
        <row r="12">
          <cell r="W12">
            <v>45832.637046526528</v>
          </cell>
        </row>
        <row r="13">
          <cell r="W13">
            <v>48779.097827985795</v>
          </cell>
        </row>
        <row r="14">
          <cell r="W14">
            <v>50919.176265067261</v>
          </cell>
        </row>
        <row r="15">
          <cell r="W15">
            <v>52627.809177196767</v>
          </cell>
        </row>
        <row r="16">
          <cell r="W16">
            <v>54021.714901298554</v>
          </cell>
        </row>
        <row r="17">
          <cell r="W17">
            <v>55725.617772084093</v>
          </cell>
        </row>
        <row r="18">
          <cell r="W18">
            <v>56348.598090025043</v>
          </cell>
        </row>
        <row r="19">
          <cell r="W19">
            <v>56449.435509229603</v>
          </cell>
        </row>
        <row r="20">
          <cell r="W20">
            <v>56812.609212135329</v>
          </cell>
        </row>
        <row r="21">
          <cell r="W21">
            <v>57055.418680486815</v>
          </cell>
        </row>
        <row r="22">
          <cell r="W22">
            <v>57355.279916147447</v>
          </cell>
        </row>
        <row r="23">
          <cell r="W23">
            <v>57547.382169684977</v>
          </cell>
        </row>
        <row r="24">
          <cell r="W24">
            <v>58049.088103418166</v>
          </cell>
        </row>
        <row r="25">
          <cell r="W25">
            <v>58324.125895300771</v>
          </cell>
        </row>
        <row r="26">
          <cell r="W26">
            <v>59260.276072905152</v>
          </cell>
        </row>
        <row r="27">
          <cell r="W27">
            <v>60356.105223315673</v>
          </cell>
        </row>
        <row r="28">
          <cell r="W28">
            <v>60780.141734117511</v>
          </cell>
        </row>
        <row r="29">
          <cell r="W29">
            <v>60865.674256099694</v>
          </cell>
        </row>
        <row r="30">
          <cell r="W30">
            <v>61172.47702789263</v>
          </cell>
        </row>
        <row r="31">
          <cell r="W31">
            <v>62435.922843999309</v>
          </cell>
        </row>
        <row r="32">
          <cell r="W32">
            <v>62423.662726372793</v>
          </cell>
        </row>
        <row r="33">
          <cell r="W33">
            <v>62265.769405462066</v>
          </cell>
        </row>
        <row r="34">
          <cell r="W34">
            <v>61871.919874221159</v>
          </cell>
        </row>
        <row r="35">
          <cell r="W35">
            <v>61244.540674314332</v>
          </cell>
        </row>
        <row r="36">
          <cell r="W36">
            <v>61380.931578640892</v>
          </cell>
        </row>
        <row r="37">
          <cell r="W37">
            <v>61313.019157980554</v>
          </cell>
        </row>
        <row r="38">
          <cell r="W38">
            <v>60571.615850462942</v>
          </cell>
        </row>
        <row r="39">
          <cell r="W39">
            <v>60298.310662085838</v>
          </cell>
        </row>
        <row r="40">
          <cell r="W40">
            <v>59233.522156874169</v>
          </cell>
        </row>
        <row r="41">
          <cell r="W41">
            <v>59556.308391079023</v>
          </cell>
        </row>
        <row r="42">
          <cell r="W42">
            <v>59465.87014499506</v>
          </cell>
        </row>
        <row r="43">
          <cell r="W43">
            <v>59177.678332265772</v>
          </cell>
        </row>
        <row r="44">
          <cell r="W44">
            <v>58307.936470040186</v>
          </cell>
        </row>
        <row r="45">
          <cell r="W45">
            <v>57668.30355791068</v>
          </cell>
        </row>
        <row r="46">
          <cell r="W46">
            <v>57294.627147266059</v>
          </cell>
        </row>
        <row r="47">
          <cell r="W47">
            <v>58291.992954055793</v>
          </cell>
        </row>
        <row r="48">
          <cell r="W48">
            <v>59128.895417224718</v>
          </cell>
        </row>
        <row r="49">
          <cell r="W49">
            <v>58112.583532289063</v>
          </cell>
        </row>
        <row r="50">
          <cell r="W50">
            <v>57813.545740406451</v>
          </cell>
        </row>
        <row r="51">
          <cell r="W51">
            <v>57576.295172654747</v>
          </cell>
        </row>
        <row r="52">
          <cell r="W52">
            <v>57706.174518138941</v>
          </cell>
        </row>
        <row r="53">
          <cell r="W53">
            <v>58020.520642869626</v>
          </cell>
        </row>
        <row r="54">
          <cell r="W54">
            <v>57224.048448145346</v>
          </cell>
        </row>
        <row r="55">
          <cell r="W55">
            <v>57138.090374424974</v>
          </cell>
        </row>
        <row r="56">
          <cell r="W56">
            <v>56224.590228847614</v>
          </cell>
        </row>
        <row r="57">
          <cell r="W57">
            <v>56183.322832353122</v>
          </cell>
        </row>
        <row r="58">
          <cell r="W58">
            <v>54660.151982763644</v>
          </cell>
        </row>
        <row r="59">
          <cell r="W59">
            <v>55995.767774995635</v>
          </cell>
        </row>
        <row r="60">
          <cell r="W60">
            <v>55378.238397484427</v>
          </cell>
        </row>
        <row r="61">
          <cell r="W61">
            <v>54950.725848716014</v>
          </cell>
        </row>
        <row r="62">
          <cell r="W62">
            <v>54625.701741105229</v>
          </cell>
        </row>
        <row r="63">
          <cell r="W63">
            <v>53739.834798812088</v>
          </cell>
        </row>
        <row r="64">
          <cell r="W64">
            <v>54022.075816689001</v>
          </cell>
        </row>
        <row r="65">
          <cell r="W65">
            <v>53607.690327840217</v>
          </cell>
        </row>
        <row r="66">
          <cell r="W66">
            <v>52737.411518080713</v>
          </cell>
        </row>
        <row r="67">
          <cell r="W67">
            <v>51944.698305479535</v>
          </cell>
        </row>
        <row r="68">
          <cell r="W68">
            <v>51475.822803237636</v>
          </cell>
        </row>
        <row r="69">
          <cell r="W69">
            <v>51229.72724625867</v>
          </cell>
        </row>
        <row r="70">
          <cell r="W70">
            <v>51297.430326675596</v>
          </cell>
        </row>
        <row r="71">
          <cell r="W71">
            <v>51281.388109241248</v>
          </cell>
        </row>
        <row r="72">
          <cell r="W72">
            <v>50579.620276014684</v>
          </cell>
        </row>
        <row r="73">
          <cell r="W73">
            <v>50183.844173994061</v>
          </cell>
        </row>
        <row r="74">
          <cell r="W74">
            <v>49380.25476037967</v>
          </cell>
        </row>
        <row r="75">
          <cell r="W75">
            <v>48374.763465905788</v>
          </cell>
        </row>
        <row r="76">
          <cell r="W76">
            <v>45387.471263029176</v>
          </cell>
        </row>
        <row r="77">
          <cell r="W77">
            <v>43815.184399858721</v>
          </cell>
        </row>
        <row r="78">
          <cell r="W78">
            <v>42297.363800423729</v>
          </cell>
        </row>
        <row r="79">
          <cell r="W79">
            <v>40832.122675516213</v>
          </cell>
        </row>
        <row r="80">
          <cell r="W80">
            <v>39417.63959700257</v>
          </cell>
        </row>
        <row r="81">
          <cell r="W81">
            <v>38052.156233622547</v>
          </cell>
        </row>
        <row r="82">
          <cell r="W82">
            <v>37343.971564515959</v>
          </cell>
        </row>
        <row r="83">
          <cell r="W83">
            <v>36648.966845646035</v>
          </cell>
        </row>
        <row r="84">
          <cell r="W84">
            <v>35966.896786348058</v>
          </cell>
        </row>
        <row r="85">
          <cell r="W85">
            <v>35297.520661035996</v>
          </cell>
        </row>
        <row r="86">
          <cell r="W86">
            <v>34640.602224242335</v>
          </cell>
        </row>
        <row r="87">
          <cell r="W87">
            <v>34702.532443022443</v>
          </cell>
        </row>
        <row r="88">
          <cell r="W88">
            <v>34764.573380200956</v>
          </cell>
        </row>
        <row r="89">
          <cell r="W89">
            <v>34826.725233719437</v>
          </cell>
        </row>
        <row r="90">
          <cell r="W90">
            <v>34888.988201873311</v>
          </cell>
        </row>
        <row r="91">
          <cell r="W91">
            <v>34951.362483312521</v>
          </cell>
        </row>
        <row r="92">
          <cell r="W92">
            <v>33915.880402730254</v>
          </cell>
        </row>
        <row r="93">
          <cell r="W93">
            <v>32911.075899873867</v>
          </cell>
        </row>
        <row r="94">
          <cell r="W94">
            <v>31936.040109401521</v>
          </cell>
        </row>
        <row r="95">
          <cell r="W95">
            <v>30989.891092354464</v>
          </cell>
        </row>
        <row r="96">
          <cell r="W96">
            <v>30071.773038425956</v>
          </cell>
        </row>
      </sheetData>
      <sheetData sheetId="14"/>
      <sheetData sheetId="15">
        <row r="7">
          <cell r="AP7">
            <v>1.8534281017759595</v>
          </cell>
        </row>
      </sheetData>
      <sheetData sheetId="16"/>
      <sheetData sheetId="17">
        <row r="4">
          <cell r="Z4">
            <v>100</v>
          </cell>
        </row>
        <row r="5">
          <cell r="V5">
            <v>89.103156474019144</v>
          </cell>
        </row>
        <row r="6">
          <cell r="V6">
            <v>92.742210470447191</v>
          </cell>
        </row>
        <row r="7">
          <cell r="V7">
            <v>93.757241753304186</v>
          </cell>
        </row>
        <row r="8">
          <cell r="V8">
            <v>96.280725944051895</v>
          </cell>
        </row>
        <row r="9">
          <cell r="V9">
            <v>95.539624923364428</v>
          </cell>
        </row>
        <row r="10">
          <cell r="V10">
            <v>91.527293702853513</v>
          </cell>
        </row>
        <row r="11">
          <cell r="V11">
            <v>95.825106057787423</v>
          </cell>
        </row>
        <row r="12">
          <cell r="V12">
            <v>100</v>
          </cell>
        </row>
        <row r="13">
          <cell r="V13">
            <v>104.91718035236835</v>
          </cell>
        </row>
        <row r="14">
          <cell r="V14">
            <v>96.324874292728566</v>
          </cell>
        </row>
        <row r="15">
          <cell r="V15">
            <v>96.795912824437735</v>
          </cell>
        </row>
        <row r="16">
          <cell r="V16">
            <v>97.236569129524497</v>
          </cell>
        </row>
        <row r="17">
          <cell r="V17">
            <v>97.701408607531405</v>
          </cell>
        </row>
        <row r="18">
          <cell r="V18">
            <v>98.145832477261621</v>
          </cell>
        </row>
        <row r="19">
          <cell r="V19">
            <v>99.305338027611853</v>
          </cell>
        </row>
        <row r="20">
          <cell r="V20">
            <v>99.708894157428531</v>
          </cell>
        </row>
        <row r="21">
          <cell r="V21">
            <v>100.03454266039968</v>
          </cell>
        </row>
        <row r="22">
          <cell r="V22">
            <v>101.50896430142446</v>
          </cell>
        </row>
        <row r="23">
          <cell r="V23">
            <v>102.90997193849297</v>
          </cell>
        </row>
        <row r="24">
          <cell r="V24">
            <v>102.97974684131665</v>
          </cell>
        </row>
        <row r="25">
          <cell r="V25">
            <v>103.00382000459801</v>
          </cell>
        </row>
        <row r="26">
          <cell r="V26">
            <v>103.05003566300257</v>
          </cell>
        </row>
        <row r="27">
          <cell r="V27">
            <v>103.06314985378906</v>
          </cell>
        </row>
        <row r="28">
          <cell r="V28">
            <v>103.62609009363005</v>
          </cell>
        </row>
        <row r="29">
          <cell r="V29">
            <v>102.28783611655106</v>
          </cell>
        </row>
        <row r="30">
          <cell r="V30">
            <v>101.52047886187852</v>
          </cell>
        </row>
        <row r="31">
          <cell r="V31">
            <v>101.33253040013703</v>
          </cell>
        </row>
        <row r="32">
          <cell r="V32">
            <v>101.34742478734275</v>
          </cell>
        </row>
        <row r="33">
          <cell r="V33">
            <v>98.694770076232274</v>
          </cell>
        </row>
        <row r="34">
          <cell r="V34">
            <v>99.487996895254184</v>
          </cell>
        </row>
        <row r="35">
          <cell r="V35">
            <v>98.048718507597442</v>
          </cell>
        </row>
        <row r="36">
          <cell r="V36">
            <v>99.366628705571088</v>
          </cell>
        </row>
        <row r="37">
          <cell r="V37">
            <v>98.484077232411792</v>
          </cell>
        </row>
        <row r="38">
          <cell r="V38">
            <v>98.718428863494083</v>
          </cell>
        </row>
        <row r="39">
          <cell r="V39">
            <v>96.213139228656786</v>
          </cell>
        </row>
        <row r="40">
          <cell r="V40">
            <v>89.436438434738449</v>
          </cell>
        </row>
        <row r="41">
          <cell r="V41">
            <v>85.402230924930151</v>
          </cell>
        </row>
        <row r="42">
          <cell r="V42">
            <v>82.798832947190633</v>
          </cell>
        </row>
        <row r="43">
          <cell r="V43">
            <v>80.336035297108253</v>
          </cell>
        </row>
        <row r="44">
          <cell r="V44">
            <v>77.980798687995232</v>
          </cell>
        </row>
        <row r="45">
          <cell r="V45">
            <v>75.735346763916311</v>
          </cell>
        </row>
        <row r="46">
          <cell r="V46">
            <v>73.595424816787428</v>
          </cell>
        </row>
        <row r="47">
          <cell r="V47">
            <v>71.490393081380887</v>
          </cell>
        </row>
        <row r="48">
          <cell r="V48">
            <v>69.49581633041845</v>
          </cell>
        </row>
        <row r="49">
          <cell r="V49">
            <v>69.043390010237204</v>
          </cell>
        </row>
        <row r="50">
          <cell r="V50">
            <v>68.514354705824161</v>
          </cell>
        </row>
        <row r="51">
          <cell r="V51">
            <v>67.85772982835033</v>
          </cell>
        </row>
        <row r="52">
          <cell r="V52">
            <v>67.27418884743409</v>
          </cell>
        </row>
        <row r="53">
          <cell r="V53">
            <v>66.821011336783315</v>
          </cell>
        </row>
        <row r="54">
          <cell r="V54">
            <v>66.356805320415901</v>
          </cell>
        </row>
        <row r="55">
          <cell r="V55">
            <v>65.836267963765039</v>
          </cell>
        </row>
        <row r="56">
          <cell r="V56">
            <v>65.276709297259671</v>
          </cell>
        </row>
        <row r="57">
          <cell r="V57">
            <v>64.660269793217992</v>
          </cell>
        </row>
        <row r="58">
          <cell r="V58">
            <v>63.960764784549497</v>
          </cell>
        </row>
        <row r="59">
          <cell r="V59">
            <v>63.237125558600738</v>
          </cell>
        </row>
        <row r="60">
          <cell r="V60">
            <v>62.459912173174757</v>
          </cell>
        </row>
        <row r="61">
          <cell r="V61">
            <v>61.618429516098679</v>
          </cell>
        </row>
        <row r="62">
          <cell r="V62">
            <v>60.832531727233523</v>
          </cell>
        </row>
        <row r="63">
          <cell r="V63">
            <v>60.004615910280165</v>
          </cell>
        </row>
        <row r="64">
          <cell r="V64">
            <v>59.188356420211932</v>
          </cell>
        </row>
        <row r="65">
          <cell r="V65">
            <v>58.303454051525755</v>
          </cell>
        </row>
        <row r="66">
          <cell r="V66">
            <v>57.450410655308104</v>
          </cell>
        </row>
        <row r="67">
          <cell r="V67">
            <v>56.614954903011622</v>
          </cell>
        </row>
        <row r="68">
          <cell r="V68">
            <v>55.795877644011263</v>
          </cell>
        </row>
        <row r="69">
          <cell r="V69">
            <v>55.045059051937002</v>
          </cell>
        </row>
        <row r="70">
          <cell r="V70">
            <v>54.273781598330189</v>
          </cell>
        </row>
        <row r="71">
          <cell r="V71">
            <v>53.521248626035948</v>
          </cell>
        </row>
        <row r="72">
          <cell r="V72">
            <v>52.595866552176432</v>
          </cell>
        </row>
        <row r="73">
          <cell r="V73">
            <v>48.607439581528944</v>
          </cell>
        </row>
        <row r="74">
          <cell r="V74">
            <v>44.924009243778194</v>
          </cell>
        </row>
        <row r="75">
          <cell r="V75">
            <v>41.439167586563251</v>
          </cell>
        </row>
        <row r="76">
          <cell r="V76">
            <v>38.925076244142964</v>
          </cell>
        </row>
        <row r="77">
          <cell r="V77">
            <v>36.541045271056461</v>
          </cell>
        </row>
        <row r="78">
          <cell r="V78">
            <v>34.267003965811917</v>
          </cell>
        </row>
        <row r="79">
          <cell r="V79">
            <v>34.327416446208233</v>
          </cell>
        </row>
        <row r="80">
          <cell r="V80">
            <v>32.438043233836112</v>
          </cell>
        </row>
        <row r="81">
          <cell r="V81">
            <v>31.374956045248339</v>
          </cell>
        </row>
        <row r="82">
          <cell r="V82">
            <v>30.054094203327409</v>
          </cell>
        </row>
        <row r="83">
          <cell r="V83">
            <v>29.299165490687233</v>
          </cell>
        </row>
        <row r="84">
          <cell r="V84">
            <v>26.446988822288326</v>
          </cell>
        </row>
        <row r="85">
          <cell r="V85">
            <v>23.257146823962696</v>
          </cell>
        </row>
        <row r="86">
          <cell r="V86">
            <v>21.240908606521174</v>
          </cell>
        </row>
        <row r="87">
          <cell r="V87">
            <v>19.655116507122258</v>
          </cell>
        </row>
        <row r="88">
          <cell r="V88">
            <v>17.853512489799744</v>
          </cell>
        </row>
        <row r="89">
          <cell r="V89">
            <v>16.900498252179574</v>
          </cell>
        </row>
        <row r="90">
          <cell r="V90">
            <v>15.107627424940471</v>
          </cell>
        </row>
        <row r="91">
          <cell r="V91">
            <v>12.375402660965017</v>
          </cell>
        </row>
        <row r="92">
          <cell r="V92">
            <v>9.2565239775509696</v>
          </cell>
        </row>
        <row r="93">
          <cell r="V93">
            <v>7.3001150405440232</v>
          </cell>
        </row>
        <row r="94">
          <cell r="V94">
            <v>6.2163318681153878</v>
          </cell>
        </row>
        <row r="95">
          <cell r="V95">
            <v>4.1818394008478785</v>
          </cell>
        </row>
        <row r="96">
          <cell r="V96">
            <v>2.619352332845839</v>
          </cell>
        </row>
        <row r="97">
          <cell r="V97">
            <v>1.2094713429539052</v>
          </cell>
        </row>
        <row r="98">
          <cell r="V98">
            <v>0.38301357119046647</v>
          </cell>
        </row>
      </sheetData>
      <sheetData sheetId="18">
        <row r="3">
          <cell r="AJ3">
            <v>276</v>
          </cell>
        </row>
      </sheetData>
      <sheetData sheetId="19">
        <row r="4">
          <cell r="X4">
            <v>0.1565340909090909</v>
          </cell>
          <cell r="AC4">
            <v>5.9941919030362799E-2</v>
          </cell>
          <cell r="AE4">
            <v>0.16451381712803517</v>
          </cell>
          <cell r="AI4">
            <v>204.02077368525565</v>
          </cell>
        </row>
        <row r="5">
          <cell r="X5">
            <v>0.14127241379310346</v>
          </cell>
          <cell r="AC5">
            <v>7.1416617117891573E-2</v>
          </cell>
          <cell r="AE5">
            <v>0.162921492009861</v>
          </cell>
          <cell r="AI5">
            <v>176.46868749094457</v>
          </cell>
        </row>
        <row r="6">
          <cell r="X6">
            <v>0.11465960202519723</v>
          </cell>
          <cell r="AC6">
            <v>7.6984437274809039E-2</v>
          </cell>
          <cell r="AE6">
            <v>0.16134457896664947</v>
          </cell>
          <cell r="AI6">
            <v>166.84348590650168</v>
          </cell>
        </row>
        <row r="7">
          <cell r="X7">
            <v>9.817554048773959E-2</v>
          </cell>
          <cell r="AC7">
            <v>6.9124160739200538E-2</v>
          </cell>
          <cell r="AE7">
            <v>0.15978292882531284</v>
          </cell>
          <cell r="AI7">
            <v>142.51505643674093</v>
          </cell>
        </row>
        <row r="8">
          <cell r="X8">
            <v>9.008724530286627E-2</v>
          </cell>
          <cell r="AC8">
            <v>4.2513663820455919E-2</v>
          </cell>
          <cell r="AE8">
            <v>0.15823639385660582</v>
          </cell>
          <cell r="AI8">
            <v>135.04621999774835</v>
          </cell>
        </row>
        <row r="9">
          <cell r="X9">
            <v>7.9511954387678316E-2</v>
          </cell>
          <cell r="AC9">
            <v>4.3361380679607577E-2</v>
          </cell>
          <cell r="AE9">
            <v>0.15670482776115088</v>
          </cell>
          <cell r="AI9">
            <v>123.23948715761433</v>
          </cell>
        </row>
        <row r="10">
          <cell r="X10">
            <v>6.8027595847025127E-2</v>
          </cell>
          <cell r="AC10">
            <v>2.9857911595761934E-2</v>
          </cell>
          <cell r="AE10">
            <v>0.15518808565559852</v>
          </cell>
          <cell r="AI10">
            <v>108.43048793927619</v>
          </cell>
        </row>
        <row r="11">
          <cell r="X11">
            <v>6.1863318760693418E-2</v>
          </cell>
          <cell r="AC11">
            <v>2.1365664326057947E-2</v>
          </cell>
          <cell r="AE11">
            <v>0.15368602405892148</v>
          </cell>
          <cell r="AI11">
            <v>113.64640506032791</v>
          </cell>
        </row>
        <row r="12">
          <cell r="X12">
            <v>5.0312458679892709E-2</v>
          </cell>
          <cell r="AC12">
            <v>1.4988462607297401E-2</v>
          </cell>
          <cell r="AE12">
            <v>0.11855643336216036</v>
          </cell>
          <cell r="AI12">
            <v>100</v>
          </cell>
        </row>
        <row r="13">
          <cell r="X13">
            <v>3.5402528123233648E-2</v>
          </cell>
          <cell r="AC13">
            <v>7.817452728201453E-3</v>
          </cell>
          <cell r="AE13">
            <v>9.1456773494040008E-2</v>
          </cell>
          <cell r="AI13">
            <v>95.865386900431986</v>
          </cell>
        </row>
        <row r="14">
          <cell r="X14">
            <v>1.841816787885096E-2</v>
          </cell>
          <cell r="AC14">
            <v>2.0050341488740018E-3</v>
          </cell>
          <cell r="AE14">
            <v>7.0551560811458969E-2</v>
          </cell>
          <cell r="AI14">
            <v>74.754151273257392</v>
          </cell>
        </row>
        <row r="15">
          <cell r="X15">
            <v>1.1253267449111414E-2</v>
          </cell>
          <cell r="AE15">
            <v>5.4424866992026179E-2</v>
          </cell>
          <cell r="AI15">
            <v>67.716737122053914</v>
          </cell>
        </row>
        <row r="16">
          <cell r="X16">
            <v>7.6834270362144521E-3</v>
          </cell>
          <cell r="AE16">
            <v>5.4424866992026179E-2</v>
          </cell>
          <cell r="AI16">
            <v>61.232313378533249</v>
          </cell>
        </row>
        <row r="17">
          <cell r="X17">
            <v>5.33892778408442E-3</v>
          </cell>
          <cell r="AE17">
            <v>5.4424866992026179E-2</v>
          </cell>
          <cell r="AI17">
            <v>58.695783761577779</v>
          </cell>
        </row>
        <row r="18">
          <cell r="X18">
            <v>3.9889164769683644E-3</v>
          </cell>
          <cell r="AE18">
            <v>5.4424866992026179E-2</v>
          </cell>
          <cell r="AI18">
            <v>54.6862006956434</v>
          </cell>
        </row>
        <row r="19">
          <cell r="X19">
            <v>2.8741051196689285E-3</v>
          </cell>
          <cell r="AE19">
            <v>5.4424866992026179E-2</v>
          </cell>
          <cell r="AI19">
            <v>49.177228734484402</v>
          </cell>
        </row>
        <row r="20">
          <cell r="X20">
            <v>1.5143481936820029E-3</v>
          </cell>
          <cell r="AE20">
            <v>5.4424866992026179E-2</v>
          </cell>
          <cell r="AI20">
            <v>42.774628039436848</v>
          </cell>
        </row>
        <row r="21">
          <cell r="X21">
            <v>8.6729793019313709E-4</v>
          </cell>
          <cell r="AE21">
            <v>5.4424866992026179E-2</v>
          </cell>
          <cell r="AI21">
            <v>34.222366093212131</v>
          </cell>
        </row>
        <row r="22">
          <cell r="X22">
            <v>1.0156559345843327E-3</v>
          </cell>
          <cell r="AE22">
            <v>5.4424866992026179E-2</v>
          </cell>
          <cell r="AI22">
            <v>26.071635222840431</v>
          </cell>
        </row>
        <row r="23">
          <cell r="X23">
            <v>1.6686935145915345E-3</v>
          </cell>
          <cell r="AE23">
            <v>5.4424866992026179E-2</v>
          </cell>
          <cell r="AI23">
            <v>16.406982983765744</v>
          </cell>
        </row>
        <row r="24">
          <cell r="X24">
            <v>2.4446554866520351E-3</v>
          </cell>
          <cell r="AE24">
            <v>5.4424866992026179E-2</v>
          </cell>
          <cell r="AI24">
            <v>9.3639591775280042</v>
          </cell>
        </row>
        <row r="25">
          <cell r="X25">
            <v>5.7991032891799707E-3</v>
          </cell>
          <cell r="AE25">
            <v>5.4424866992026179E-2</v>
          </cell>
          <cell r="AI25">
            <v>2.8302362949146564</v>
          </cell>
        </row>
        <row r="26">
          <cell r="X26">
            <v>5.7991032891799707E-3</v>
          </cell>
          <cell r="AE26">
            <v>5.4424866992026179E-2</v>
          </cell>
          <cell r="AI26">
            <v>1.7025815671401261</v>
          </cell>
        </row>
        <row r="27">
          <cell r="AE27">
            <v>5.4424866992026179E-2</v>
          </cell>
        </row>
        <row r="28">
          <cell r="AE28">
            <v>5.4424866992026179E-2</v>
          </cell>
        </row>
        <row r="29">
          <cell r="AE29">
            <v>5.4424866992026179E-2</v>
          </cell>
        </row>
        <row r="30">
          <cell r="AE30">
            <v>5.4424866992026179E-2</v>
          </cell>
        </row>
        <row r="31">
          <cell r="AE31">
            <v>5.4424866992026179E-2</v>
          </cell>
        </row>
        <row r="32">
          <cell r="AE32">
            <v>5.4424866992026179E-2</v>
          </cell>
        </row>
        <row r="33">
          <cell r="AE33">
            <v>5.4424866992026179E-2</v>
          </cell>
        </row>
        <row r="34">
          <cell r="AE34">
            <v>5.4424866992026179E-2</v>
          </cell>
        </row>
        <row r="35">
          <cell r="AE35">
            <v>5.4424866992026179E-2</v>
          </cell>
        </row>
        <row r="36">
          <cell r="AE36">
            <v>5.4424866992026179E-2</v>
          </cell>
        </row>
        <row r="37">
          <cell r="AE37">
            <v>5.4424866992026179E-2</v>
          </cell>
        </row>
        <row r="38">
          <cell r="AE38">
            <v>5.4424866992026179E-2</v>
          </cell>
        </row>
        <row r="39">
          <cell r="AE39">
            <v>5.4424866992026179E-2</v>
          </cell>
        </row>
        <row r="40">
          <cell r="AE40">
            <v>5.4424866992026179E-2</v>
          </cell>
        </row>
        <row r="41">
          <cell r="AE41">
            <v>5.4424866992026179E-2</v>
          </cell>
        </row>
        <row r="42">
          <cell r="AE42">
            <v>5.4424866992026179E-2</v>
          </cell>
        </row>
        <row r="43">
          <cell r="AE43">
            <v>5.4424866992026179E-2</v>
          </cell>
        </row>
        <row r="44">
          <cell r="AE44">
            <v>5.4424866992026179E-2</v>
          </cell>
        </row>
        <row r="45">
          <cell r="AE45">
            <v>5.4424866992026179E-2</v>
          </cell>
        </row>
        <row r="46">
          <cell r="AE46">
            <v>5.4424866992026179E-2</v>
          </cell>
        </row>
        <row r="47">
          <cell r="AE47">
            <v>5.4424866992026179E-2</v>
          </cell>
        </row>
        <row r="48">
          <cell r="AE48">
            <v>5.4424866992026179E-2</v>
          </cell>
        </row>
        <row r="49">
          <cell r="AE49">
            <v>5.4424866992026179E-2</v>
          </cell>
        </row>
        <row r="50">
          <cell r="AE50">
            <v>5.4424866992026179E-2</v>
          </cell>
        </row>
        <row r="51">
          <cell r="AE51">
            <v>5.4424866992026179E-2</v>
          </cell>
        </row>
        <row r="52">
          <cell r="AE52">
            <v>5.4424866992026179E-2</v>
          </cell>
        </row>
        <row r="53">
          <cell r="AE53">
            <v>5.4424866992026179E-2</v>
          </cell>
        </row>
        <row r="54">
          <cell r="AE54">
            <v>5.4424866992026179E-2</v>
          </cell>
        </row>
        <row r="55">
          <cell r="AE55">
            <v>5.4424866992026179E-2</v>
          </cell>
        </row>
        <row r="56">
          <cell r="AE56">
            <v>5.4424866992026179E-2</v>
          </cell>
        </row>
        <row r="57">
          <cell r="AE57">
            <v>5.4424866992026179E-2</v>
          </cell>
        </row>
        <row r="58">
          <cell r="AE58">
            <v>5.4424866992026179E-2</v>
          </cell>
        </row>
        <row r="59">
          <cell r="AE59">
            <v>5.4424866992026179E-2</v>
          </cell>
        </row>
        <row r="60">
          <cell r="AE60">
            <v>5.4424866992026179E-2</v>
          </cell>
        </row>
        <row r="61">
          <cell r="AE61">
            <v>5.4424866992026179E-2</v>
          </cell>
        </row>
        <row r="62">
          <cell r="AE62">
            <v>5.4424866992026179E-2</v>
          </cell>
        </row>
        <row r="63">
          <cell r="AE63">
            <v>5.4424866992026179E-2</v>
          </cell>
        </row>
        <row r="64">
          <cell r="AE64">
            <v>5.4424866992026179E-2</v>
          </cell>
        </row>
        <row r="65">
          <cell r="AE65">
            <v>5.4424866992026179E-2</v>
          </cell>
        </row>
        <row r="66">
          <cell r="AE66">
            <v>5.4424866992026179E-2</v>
          </cell>
        </row>
        <row r="67">
          <cell r="AE67">
            <v>5.4424866992026179E-2</v>
          </cell>
        </row>
        <row r="68">
          <cell r="AE68">
            <v>5.4424866992026179E-2</v>
          </cell>
        </row>
        <row r="69">
          <cell r="AE69">
            <v>5.4424866992026179E-2</v>
          </cell>
        </row>
        <row r="70">
          <cell r="AE70">
            <v>5.4424866992026179E-2</v>
          </cell>
        </row>
        <row r="71">
          <cell r="AE71">
            <v>5.4424866992026179E-2</v>
          </cell>
        </row>
        <row r="72">
          <cell r="AE72">
            <v>5.4424866992026179E-2</v>
          </cell>
        </row>
        <row r="73">
          <cell r="AE73">
            <v>5.4424866992026179E-2</v>
          </cell>
        </row>
        <row r="74">
          <cell r="AE74">
            <v>5.4424866992026179E-2</v>
          </cell>
        </row>
        <row r="75">
          <cell r="AE75">
            <v>5.4424866992026179E-2</v>
          </cell>
        </row>
        <row r="76">
          <cell r="AE76">
            <v>5.4424866992026179E-2</v>
          </cell>
        </row>
        <row r="77">
          <cell r="AE77">
            <v>5.4424866992026179E-2</v>
          </cell>
        </row>
        <row r="78">
          <cell r="AE78">
            <v>5.4424866992026179E-2</v>
          </cell>
        </row>
        <row r="79">
          <cell r="AE79">
            <v>5.4424866992026179E-2</v>
          </cell>
        </row>
        <row r="80">
          <cell r="AE80">
            <v>5.4424866992026179E-2</v>
          </cell>
        </row>
        <row r="81">
          <cell r="AE81">
            <v>5.4424866992026179E-2</v>
          </cell>
        </row>
        <row r="82">
          <cell r="AE82">
            <v>5.4424866992026179E-2</v>
          </cell>
        </row>
        <row r="83">
          <cell r="AE83">
            <v>5.4424866992026179E-2</v>
          </cell>
        </row>
        <row r="84">
          <cell r="AE84">
            <v>5.4424866992026179E-2</v>
          </cell>
        </row>
        <row r="85">
          <cell r="AE85">
            <v>5.4424866992026179E-2</v>
          </cell>
        </row>
        <row r="86">
          <cell r="AE86">
            <v>5.4424866992026179E-2</v>
          </cell>
        </row>
        <row r="87">
          <cell r="AE87">
            <v>5.4424866992026179E-2</v>
          </cell>
        </row>
        <row r="88">
          <cell r="AE88">
            <v>5.4424866992026179E-2</v>
          </cell>
        </row>
        <row r="89">
          <cell r="AE89">
            <v>5.4424866992026179E-2</v>
          </cell>
        </row>
        <row r="90">
          <cell r="AE90">
            <v>5.4424866992026179E-2</v>
          </cell>
        </row>
        <row r="91">
          <cell r="AE91">
            <v>5.4424866992026179E-2</v>
          </cell>
        </row>
        <row r="92">
          <cell r="AE92">
            <v>5.4424866992026179E-2</v>
          </cell>
        </row>
        <row r="93">
          <cell r="AE93">
            <v>5.4424866992026179E-2</v>
          </cell>
        </row>
        <row r="94">
          <cell r="AE94">
            <v>5.4424866992026179E-2</v>
          </cell>
        </row>
        <row r="95">
          <cell r="AE95">
            <v>5.4424866992026179E-2</v>
          </cell>
        </row>
        <row r="96">
          <cell r="AE96">
            <v>5.4424866992026179E-2</v>
          </cell>
        </row>
        <row r="97">
          <cell r="AE97">
            <v>5.4424866992026179E-2</v>
          </cell>
        </row>
        <row r="98">
          <cell r="AE98">
            <v>5.4424866992026179E-2</v>
          </cell>
        </row>
        <row r="99">
          <cell r="AE99">
            <v>5.4424866992026179E-2</v>
          </cell>
        </row>
        <row r="100">
          <cell r="AE100">
            <v>5.4424866992026179E-2</v>
          </cell>
        </row>
      </sheetData>
      <sheetData sheetId="20">
        <row r="86">
          <cell r="K86">
            <v>194342</v>
          </cell>
        </row>
      </sheetData>
      <sheetData sheetId="21"/>
      <sheetData sheetId="22">
        <row r="4">
          <cell r="C4">
            <v>134145379.75257199</v>
          </cell>
        </row>
      </sheetData>
      <sheetData sheetId="23"/>
      <sheetData sheetId="24"/>
      <sheetData sheetId="25">
        <row r="4">
          <cell r="E4">
            <v>51048510.670885898</v>
          </cell>
        </row>
      </sheetData>
      <sheetData sheetId="26"/>
      <sheetData sheetId="27">
        <row r="5">
          <cell r="AB5">
            <v>13895</v>
          </cell>
        </row>
      </sheetData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SIC_GO_ReadMe"/>
      <sheetName val="72SIC_GO_A_Current Dollars"/>
      <sheetName val="72SIC_GO_B_Quantity Indexes"/>
      <sheetName val="72SIC_GO_C_Price Indexes"/>
      <sheetName val="87SIC_GO_ReadMe"/>
      <sheetName val="87SIC_GO_A_Current Dollars"/>
      <sheetName val="87SIC_GO_B_Quantity Indexes"/>
      <sheetName val="87SIC_GO_C _Price Indexes"/>
    </sheetNames>
    <sheetDataSet>
      <sheetData sheetId="0"/>
      <sheetData sheetId="1"/>
      <sheetData sheetId="2"/>
      <sheetData sheetId="3">
        <row r="106">
          <cell r="D106">
            <v>45.021000000000001</v>
          </cell>
          <cell r="E106">
            <v>49.482999999999997</v>
          </cell>
          <cell r="F106">
            <v>54.106000000000002</v>
          </cell>
          <cell r="G106">
            <v>59.003</v>
          </cell>
          <cell r="H106">
            <v>65.631</v>
          </cell>
          <cell r="I106">
            <v>72.236000000000004</v>
          </cell>
          <cell r="J106">
            <v>77.88</v>
          </cell>
          <cell r="K106">
            <v>86.271000000000001</v>
          </cell>
          <cell r="L106">
            <v>92.524000000000001</v>
          </cell>
          <cell r="M106">
            <v>96.956000000000003</v>
          </cell>
          <cell r="N106">
            <v>100</v>
          </cell>
        </row>
        <row r="194">
          <cell r="D194">
            <v>59.006</v>
          </cell>
          <cell r="E194">
            <v>62.825000000000003</v>
          </cell>
          <cell r="F194">
            <v>67.421000000000006</v>
          </cell>
          <cell r="G194">
            <v>70.902000000000001</v>
          </cell>
          <cell r="H194">
            <v>73.825999999999993</v>
          </cell>
          <cell r="I194">
            <v>77.897999999999996</v>
          </cell>
          <cell r="J194">
            <v>82.781000000000006</v>
          </cell>
          <cell r="K194">
            <v>87.766000000000005</v>
          </cell>
          <cell r="L194">
            <v>92.091999999999999</v>
          </cell>
          <cell r="M194">
            <v>95.572999999999993</v>
          </cell>
          <cell r="N194">
            <v>100</v>
          </cell>
        </row>
      </sheetData>
      <sheetData sheetId="4"/>
      <sheetData sheetId="5"/>
      <sheetData sheetId="6"/>
      <sheetData sheetId="7">
        <row r="121">
          <cell r="D121">
            <v>52.85</v>
          </cell>
          <cell r="E121">
            <v>55.353999999999999</v>
          </cell>
          <cell r="F121">
            <v>56.009</v>
          </cell>
          <cell r="G121">
            <v>59.633000000000003</v>
          </cell>
          <cell r="H121">
            <v>57.444000000000003</v>
          </cell>
          <cell r="I121">
            <v>58.01</v>
          </cell>
          <cell r="J121">
            <v>60.171999999999997</v>
          </cell>
          <cell r="K121">
            <v>63.753999999999998</v>
          </cell>
          <cell r="L121">
            <v>67.686000000000007</v>
          </cell>
          <cell r="M121">
            <v>73.899000000000001</v>
          </cell>
          <cell r="N121">
            <v>79.378</v>
          </cell>
        </row>
        <row r="214">
          <cell r="D214">
            <v>67.727000000000004</v>
          </cell>
          <cell r="E214">
            <v>71.459999999999994</v>
          </cell>
          <cell r="F214">
            <v>75.192999999999998</v>
          </cell>
          <cell r="G214">
            <v>77.86</v>
          </cell>
          <cell r="H214">
            <v>78.926000000000002</v>
          </cell>
          <cell r="I214">
            <v>79.992999999999995</v>
          </cell>
          <cell r="J214">
            <v>82.021000000000001</v>
          </cell>
          <cell r="K214">
            <v>85.756</v>
          </cell>
          <cell r="L214">
            <v>91.146000000000001</v>
          </cell>
          <cell r="M214">
            <v>92.287000000000006</v>
          </cell>
          <cell r="N214">
            <v>94.191999999999993</v>
          </cell>
        </row>
        <row r="237">
          <cell r="D237">
            <v>59.18</v>
          </cell>
          <cell r="E237">
            <v>61.92</v>
          </cell>
          <cell r="F237">
            <v>66.260000000000005</v>
          </cell>
          <cell r="G237">
            <v>70.28</v>
          </cell>
          <cell r="H237">
            <v>74.209999999999994</v>
          </cell>
          <cell r="I237">
            <v>75.010000000000005</v>
          </cell>
          <cell r="J237">
            <v>75.790000000000006</v>
          </cell>
          <cell r="K237">
            <v>78.349999999999994</v>
          </cell>
          <cell r="L237">
            <v>81.14</v>
          </cell>
          <cell r="M237">
            <v>85.18</v>
          </cell>
          <cell r="N237">
            <v>87.52</v>
          </cell>
        </row>
        <row r="257">
          <cell r="D257">
            <v>66.290000000000006</v>
          </cell>
          <cell r="E257">
            <v>70.209999999999994</v>
          </cell>
          <cell r="F257">
            <v>73.650000000000006</v>
          </cell>
          <cell r="G257">
            <v>76.34</v>
          </cell>
          <cell r="H257">
            <v>78.66</v>
          </cell>
          <cell r="I257">
            <v>80.73</v>
          </cell>
          <cell r="J257">
            <v>82.52</v>
          </cell>
          <cell r="K257">
            <v>83.87</v>
          </cell>
          <cell r="L257">
            <v>87.02</v>
          </cell>
          <cell r="M257">
            <v>89.79</v>
          </cell>
          <cell r="N257">
            <v>91.74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books/edition/Printing_and_Publishing/Kd_gAAAAMAAJ?hl=en&amp;gbpv=1&amp;dq=producer+price+index+newspaper&amp;pg=RA2-PA3&amp;printsec=frontcove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google.com/books/edition/Printing_and_Publishing/Kd_gAAAAMAAJ?hl=en&amp;gbpv=1&amp;dq=producer+price+index+newspaper&amp;pg=RA2-PA3&amp;printsec=frontcov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books/edition/Printing_and_Publishing/Kd_gAAAAMAAJ?hl=en&amp;gbpv=1&amp;dq=producer+price+index+newspaper&amp;pg=RA2-PA3&amp;printsec=frontcove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books/edition/Printing_and_Publishing/Kd_gAAAAMAAJ?hl=en&amp;gbpv=1&amp;dq=producer+price+index+newspaper&amp;pg=RA2-PA3&amp;printsec=frontcov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C588-D8C6-4168-8C06-2C34478C8F9A}">
  <dimension ref="A1:I156"/>
  <sheetViews>
    <sheetView workbookViewId="0">
      <pane xSplit="1" ySplit="2" topLeftCell="G115" activePane="bottomRight" state="frozen"/>
      <selection pane="topRight" activeCell="B1" sqref="B1"/>
      <selection pane="bottomLeft" activeCell="A3" sqref="A3"/>
      <selection pane="bottomRight" activeCell="I27" sqref="I27"/>
    </sheetView>
  </sheetViews>
  <sheetFormatPr defaultColWidth="9.109375" defaultRowHeight="14.4" x14ac:dyDescent="0.3"/>
  <cols>
    <col min="1" max="1" width="15.6640625" style="4" customWidth="1"/>
    <col min="2" max="6" width="15.6640625" style="3" customWidth="1"/>
    <col min="7" max="8" width="15.6640625" style="4" customWidth="1"/>
    <col min="9" max="9" width="15.6640625" style="13" customWidth="1"/>
    <col min="10" max="16384" width="9.109375" style="4"/>
  </cols>
  <sheetData>
    <row r="1" spans="1:9" x14ac:dyDescent="0.3">
      <c r="B1" s="20"/>
      <c r="C1" s="20"/>
      <c r="D1" s="21">
        <v>0.5</v>
      </c>
      <c r="E1" s="21">
        <f>1-D1</f>
        <v>0.5</v>
      </c>
      <c r="F1" s="20"/>
      <c r="G1" s="7"/>
    </row>
    <row r="2" spans="1:9" x14ac:dyDescent="0.3">
      <c r="B2" s="3" t="s">
        <v>107</v>
      </c>
      <c r="C2" s="3" t="s">
        <v>147</v>
      </c>
      <c r="D2" s="3" t="s">
        <v>126</v>
      </c>
      <c r="E2" s="3" t="s">
        <v>119</v>
      </c>
      <c r="F2" s="3" t="s">
        <v>128</v>
      </c>
      <c r="G2" s="4" t="s">
        <v>0</v>
      </c>
      <c r="I2" s="23" t="s">
        <v>189</v>
      </c>
    </row>
    <row r="3" spans="1:9" x14ac:dyDescent="0.3">
      <c r="A3" s="4">
        <v>2020</v>
      </c>
      <c r="B3" s="3">
        <v>103.696</v>
      </c>
      <c r="D3" s="3">
        <f>'Predicted PPIs'!EV3*100/'Predicted PPIs'!EV$11</f>
        <v>92.594384960898481</v>
      </c>
      <c r="E3" s="3">
        <f>'Summary, hourly ad costs'!AY3</f>
        <v>113.71631861232845</v>
      </c>
      <c r="F3" s="3">
        <f>D3^D$1*E3^E$1</f>
        <v>102.61331581196528</v>
      </c>
      <c r="I3" s="23">
        <f t="shared" ref="I3:I26" si="0">B3</f>
        <v>103.696</v>
      </c>
    </row>
    <row r="4" spans="1:9" x14ac:dyDescent="0.3">
      <c r="A4" s="4">
        <v>2019</v>
      </c>
      <c r="B4" s="3">
        <v>104.91500000000001</v>
      </c>
      <c r="D4" s="3">
        <f>'Predicted PPIs'!EV4*100/'Predicted PPIs'!EV$11</f>
        <v>93.988129903304525</v>
      </c>
      <c r="E4" s="3">
        <f>'Summary, hourly ad costs'!AY4</f>
        <v>120.80042642570771</v>
      </c>
      <c r="F4" s="3">
        <f t="shared" ref="F4:F67" si="1">D4^D$1*E4^E$1</f>
        <v>106.55424051286742</v>
      </c>
      <c r="I4" s="23">
        <f t="shared" si="0"/>
        <v>104.91500000000001</v>
      </c>
    </row>
    <row r="5" spans="1:9" x14ac:dyDescent="0.3">
      <c r="A5" s="4">
        <v>2018</v>
      </c>
      <c r="B5" s="3">
        <v>103.952</v>
      </c>
      <c r="D5" s="3">
        <f>'Predicted PPIs'!EV5*100/'Predicted PPIs'!EV$11</f>
        <v>94.671979866626501</v>
      </c>
      <c r="E5" s="3">
        <f>'Summary, hourly ad costs'!AY5</f>
        <v>114.03055532930036</v>
      </c>
      <c r="F5" s="3">
        <f t="shared" si="1"/>
        <v>103.90138804807067</v>
      </c>
      <c r="I5" s="23">
        <f t="shared" si="0"/>
        <v>103.952</v>
      </c>
    </row>
    <row r="6" spans="1:9" x14ac:dyDescent="0.3">
      <c r="A6" s="4">
        <v>2017</v>
      </c>
      <c r="B6" s="3">
        <v>103.809</v>
      </c>
      <c r="D6" s="3">
        <f>'Predicted PPIs'!EV6*100/'Predicted PPIs'!EV$11</f>
        <v>97.87686332365972</v>
      </c>
      <c r="E6" s="3">
        <f>'Summary, hourly ad costs'!AY6</f>
        <v>114.76046739027521</v>
      </c>
      <c r="F6" s="3">
        <f t="shared" si="1"/>
        <v>105.98299194548753</v>
      </c>
      <c r="I6" s="23">
        <f t="shared" si="0"/>
        <v>103.809</v>
      </c>
    </row>
    <row r="7" spans="1:9" x14ac:dyDescent="0.3">
      <c r="A7" s="4">
        <v>2016</v>
      </c>
      <c r="B7" s="3">
        <v>103.337</v>
      </c>
      <c r="D7" s="3">
        <f>'Predicted PPIs'!EV7*100/'Predicted PPIs'!EV$11</f>
        <v>99.385376573255982</v>
      </c>
      <c r="E7" s="3">
        <f>'Summary, hourly ad costs'!AY7</f>
        <v>112.32093427792907</v>
      </c>
      <c r="F7" s="3">
        <f t="shared" si="1"/>
        <v>105.65537539695704</v>
      </c>
      <c r="I7" s="23">
        <f t="shared" si="0"/>
        <v>103.337</v>
      </c>
    </row>
    <row r="8" spans="1:9" x14ac:dyDescent="0.3">
      <c r="A8" s="4">
        <v>2015</v>
      </c>
      <c r="B8" s="3">
        <v>102.77500000000001</v>
      </c>
      <c r="D8" s="3">
        <f>'Predicted PPIs'!EV8*100/'Predicted PPIs'!EV$11</f>
        <v>99.864691667723321</v>
      </c>
      <c r="E8" s="3">
        <f>'Summary, hourly ad costs'!AY8</f>
        <v>107.93608310544674</v>
      </c>
      <c r="F8" s="3">
        <f t="shared" si="1"/>
        <v>103.82198061656887</v>
      </c>
      <c r="I8" s="23">
        <f t="shared" si="0"/>
        <v>102.77500000000001</v>
      </c>
    </row>
    <row r="9" spans="1:9" x14ac:dyDescent="0.3">
      <c r="A9" s="4">
        <v>2014</v>
      </c>
      <c r="B9" s="3">
        <v>102.127</v>
      </c>
      <c r="D9" s="3">
        <f>'Predicted PPIs'!EV9*100/'Predicted PPIs'!EV$11</f>
        <v>99.889596990213533</v>
      </c>
      <c r="E9" s="3">
        <f>'Summary, hourly ad costs'!AY9</f>
        <v>100.37041265648344</v>
      </c>
      <c r="F9" s="3">
        <f t="shared" si="1"/>
        <v>100.12971621850107</v>
      </c>
      <c r="I9" s="23">
        <f t="shared" si="0"/>
        <v>102.127</v>
      </c>
    </row>
    <row r="10" spans="1:9" x14ac:dyDescent="0.3">
      <c r="A10" s="4">
        <v>2013</v>
      </c>
      <c r="B10" s="3">
        <v>101.21</v>
      </c>
      <c r="D10" s="3">
        <f>'Predicted PPIs'!EV10*100/'Predicted PPIs'!EV$11</f>
        <v>99.291212517591092</v>
      </c>
      <c r="E10" s="3">
        <f>'Summary, hourly ad costs'!AY10</f>
        <v>96.703920074328892</v>
      </c>
      <c r="F10" s="3">
        <f t="shared" si="1"/>
        <v>97.989027341760732</v>
      </c>
      <c r="I10" s="23">
        <f t="shared" si="0"/>
        <v>101.21</v>
      </c>
    </row>
    <row r="11" spans="1:9" x14ac:dyDescent="0.3">
      <c r="A11" s="4">
        <v>2012</v>
      </c>
      <c r="B11" s="3">
        <v>100</v>
      </c>
      <c r="D11" s="3">
        <f>'Predicted PPIs'!EV11*100/'Predicted PPIs'!EV$11</f>
        <v>100</v>
      </c>
      <c r="E11" s="3">
        <f>'Summary, hourly ad costs'!AY11</f>
        <v>100</v>
      </c>
      <c r="F11" s="3">
        <f t="shared" si="1"/>
        <v>100</v>
      </c>
      <c r="I11" s="23">
        <f t="shared" si="0"/>
        <v>100</v>
      </c>
    </row>
    <row r="12" spans="1:9" x14ac:dyDescent="0.3">
      <c r="A12" s="4">
        <v>2011</v>
      </c>
      <c r="B12" s="3">
        <v>98.722999999999999</v>
      </c>
      <c r="D12" s="3">
        <f>'Predicted PPIs'!EV12*100/'Predicted PPIs'!EV$11</f>
        <v>98.504784698327811</v>
      </c>
      <c r="E12" s="3">
        <f>'Summary, hourly ad costs'!AY12</f>
        <v>97.044484175651064</v>
      </c>
      <c r="F12" s="3">
        <f t="shared" si="1"/>
        <v>97.771908132565301</v>
      </c>
      <c r="I12" s="23">
        <f t="shared" si="0"/>
        <v>98.722999999999999</v>
      </c>
    </row>
    <row r="13" spans="1:9" x14ac:dyDescent="0.3">
      <c r="A13" s="4">
        <v>2010</v>
      </c>
      <c r="B13" s="3">
        <v>97.611999999999995</v>
      </c>
      <c r="D13" s="3">
        <f>'Predicted PPIs'!EV13*100/'Predicted PPIs'!EV$11</f>
        <v>97.962607151464994</v>
      </c>
      <c r="E13" s="3">
        <f>'Summary, hourly ad costs'!AY13</f>
        <v>90.634816661564486</v>
      </c>
      <c r="F13" s="3">
        <f t="shared" si="1"/>
        <v>94.227506275301025</v>
      </c>
      <c r="I13" s="23">
        <f t="shared" si="0"/>
        <v>97.611999999999995</v>
      </c>
    </row>
    <row r="14" spans="1:9" x14ac:dyDescent="0.3">
      <c r="A14" s="4">
        <v>2009</v>
      </c>
      <c r="B14" s="3">
        <v>97.695999999999998</v>
      </c>
      <c r="D14" s="3">
        <f>'Predicted PPIs'!EV14*100/'Predicted PPIs'!EV$11</f>
        <v>97.409531512852098</v>
      </c>
      <c r="E14" s="3">
        <f>'Summary, hourly ad costs'!AY14</f>
        <v>85.87099897110285</v>
      </c>
      <c r="F14" s="3">
        <f t="shared" si="1"/>
        <v>91.458481183079641</v>
      </c>
      <c r="I14" s="23">
        <f t="shared" si="0"/>
        <v>97.695999999999998</v>
      </c>
    </row>
    <row r="15" spans="1:9" x14ac:dyDescent="0.3">
      <c r="A15" s="4">
        <v>2008</v>
      </c>
      <c r="B15" s="3">
        <v>98.087999999999994</v>
      </c>
      <c r="D15" s="3">
        <f>'Predicted PPIs'!EV15*100/'Predicted PPIs'!EV$11</f>
        <v>99.885333683803026</v>
      </c>
      <c r="E15" s="3">
        <f>'Summary, hourly ad costs'!AY15</f>
        <v>101.09828600318488</v>
      </c>
      <c r="F15" s="3">
        <f t="shared" si="1"/>
        <v>100.48997976061432</v>
      </c>
      <c r="I15" s="23">
        <f t="shared" si="0"/>
        <v>98.087999999999994</v>
      </c>
    </row>
    <row r="16" spans="1:9" x14ac:dyDescent="0.3">
      <c r="A16" s="4">
        <v>2007</v>
      </c>
      <c r="B16" s="3">
        <v>97.537000000000006</v>
      </c>
      <c r="D16" s="3">
        <f>'Predicted PPIs'!EV16*100/'Predicted PPIs'!EV$11</f>
        <v>98.582970508411847</v>
      </c>
      <c r="E16" s="3">
        <f>'Summary, hourly ad costs'!AY16</f>
        <v>107.76325315983193</v>
      </c>
      <c r="F16" s="3">
        <f t="shared" si="1"/>
        <v>103.07095424098019</v>
      </c>
      <c r="I16" s="23">
        <f t="shared" si="0"/>
        <v>97.537000000000006</v>
      </c>
    </row>
    <row r="17" spans="1:9" x14ac:dyDescent="0.3">
      <c r="A17" s="4">
        <v>2006</v>
      </c>
      <c r="B17" s="3">
        <v>95.709000000000003</v>
      </c>
      <c r="D17" s="3">
        <f>'Predicted PPIs'!EV17*100/'Predicted PPIs'!EV$11</f>
        <v>98.166200339207876</v>
      </c>
      <c r="E17" s="3">
        <f>'Summary, hourly ad costs'!AY17</f>
        <v>106.75728063056442</v>
      </c>
      <c r="F17" s="3">
        <f t="shared" si="1"/>
        <v>102.37165915451907</v>
      </c>
      <c r="I17" s="23">
        <f t="shared" si="0"/>
        <v>95.709000000000003</v>
      </c>
    </row>
    <row r="18" spans="1:9" x14ac:dyDescent="0.3">
      <c r="A18" s="4">
        <v>2005</v>
      </c>
      <c r="B18" s="3">
        <v>89.7</v>
      </c>
      <c r="D18" s="3">
        <f>'Predicted PPIs'!EV18*100/'Predicted PPIs'!EV$11</f>
        <v>96.111129158137544</v>
      </c>
      <c r="E18" s="3">
        <f>'Summary, hourly ad costs'!AY18</f>
        <v>103.49248450954983</v>
      </c>
      <c r="F18" s="3">
        <f t="shared" si="1"/>
        <v>99.733542730587345</v>
      </c>
      <c r="I18" s="23">
        <f t="shared" si="0"/>
        <v>89.7</v>
      </c>
    </row>
    <row r="19" spans="1:9" x14ac:dyDescent="0.3">
      <c r="A19" s="4">
        <v>2004</v>
      </c>
      <c r="B19" s="3">
        <v>84.608999999999995</v>
      </c>
      <c r="D19" s="3">
        <f>'Predicted PPIs'!EV19*100/'Predicted PPIs'!EV$11</f>
        <v>94.423246060261249</v>
      </c>
      <c r="E19" s="3">
        <f>'Summary, hourly ad costs'!AY19</f>
        <v>99.373213787049565</v>
      </c>
      <c r="F19" s="3">
        <f t="shared" si="1"/>
        <v>96.86661662932967</v>
      </c>
      <c r="I19" s="23">
        <f t="shared" si="0"/>
        <v>84.608999999999995</v>
      </c>
    </row>
    <row r="20" spans="1:9" x14ac:dyDescent="0.3">
      <c r="A20" s="4">
        <v>2003</v>
      </c>
      <c r="B20" s="3">
        <v>83.778000000000006</v>
      </c>
      <c r="D20" s="3">
        <f>'Predicted PPIs'!EV20*100/'Predicted PPIs'!EV$11</f>
        <v>92.158366053485778</v>
      </c>
      <c r="E20" s="3">
        <f>'Summary, hourly ad costs'!AY20</f>
        <v>94.372586134770657</v>
      </c>
      <c r="F20" s="3">
        <f t="shared" si="1"/>
        <v>93.258904874667664</v>
      </c>
      <c r="I20" s="23">
        <f t="shared" si="0"/>
        <v>83.778000000000006</v>
      </c>
    </row>
    <row r="21" spans="1:9" x14ac:dyDescent="0.3">
      <c r="A21" s="4">
        <v>2002</v>
      </c>
      <c r="B21" s="3">
        <v>82.635999999999996</v>
      </c>
      <c r="D21" s="3">
        <f>'Predicted PPIs'!EV21*100/'Predicted PPIs'!EV$11</f>
        <v>89.890226254950619</v>
      </c>
      <c r="E21" s="3">
        <f>'Summary, hourly ad costs'!AY21</f>
        <v>91.917479662032179</v>
      </c>
      <c r="F21" s="3">
        <f t="shared" si="1"/>
        <v>90.898201542191657</v>
      </c>
      <c r="I21" s="23">
        <f t="shared" si="0"/>
        <v>82.635999999999996</v>
      </c>
    </row>
    <row r="22" spans="1:9" x14ac:dyDescent="0.3">
      <c r="A22" s="4">
        <v>2001</v>
      </c>
      <c r="B22" s="3">
        <v>85.123999999999995</v>
      </c>
      <c r="D22" s="3">
        <f>'Predicted PPIs'!EV22*100/'Predicted PPIs'!EV$11</f>
        <v>88.682345724659626</v>
      </c>
      <c r="E22" s="3">
        <f>'Summary, hourly ad costs'!AY22</f>
        <v>91.51950408886313</v>
      </c>
      <c r="F22" s="3">
        <f t="shared" si="1"/>
        <v>90.08975692140568</v>
      </c>
      <c r="I22" s="23">
        <f t="shared" si="0"/>
        <v>85.123999999999995</v>
      </c>
    </row>
    <row r="23" spans="1:9" x14ac:dyDescent="0.3">
      <c r="A23" s="4">
        <v>2000</v>
      </c>
      <c r="B23" s="3">
        <v>84.646000000000001</v>
      </c>
      <c r="D23" s="3">
        <f>'Predicted PPIs'!EV23*100/'Predicted PPIs'!EV$11</f>
        <v>85.619484378011762</v>
      </c>
      <c r="E23" s="3">
        <f>'Summary, hourly ad costs'!AY23</f>
        <v>98.540172030221314</v>
      </c>
      <c r="F23" s="3">
        <f t="shared" si="1"/>
        <v>91.852918950614324</v>
      </c>
      <c r="I23" s="23">
        <f t="shared" si="0"/>
        <v>84.646000000000001</v>
      </c>
    </row>
    <row r="24" spans="1:9" x14ac:dyDescent="0.3">
      <c r="A24" s="4">
        <v>1999</v>
      </c>
      <c r="B24" s="3">
        <v>83.418999999999997</v>
      </c>
      <c r="D24" s="3">
        <f>'Predicted PPIs'!EV24*100/'Predicted PPIs'!EV$11</f>
        <v>82.288162915601902</v>
      </c>
      <c r="E24" s="3">
        <f>'Summary, hourly ad costs'!AY24</f>
        <v>88.863270331678379</v>
      </c>
      <c r="F24" s="3">
        <f t="shared" si="1"/>
        <v>85.512544496502528</v>
      </c>
      <c r="I24" s="23">
        <f t="shared" si="0"/>
        <v>83.418999999999997</v>
      </c>
    </row>
    <row r="25" spans="1:9" x14ac:dyDescent="0.3">
      <c r="A25" s="4">
        <v>1998</v>
      </c>
      <c r="B25" s="3">
        <v>80.512</v>
      </c>
      <c r="D25" s="3">
        <f>'Predicted PPIs'!EV25*100/'Predicted PPIs'!EV$11</f>
        <v>80.032495904003653</v>
      </c>
      <c r="E25" s="3">
        <f>'Summary, hourly ad costs'!AY25</f>
        <v>81.551921297080867</v>
      </c>
      <c r="F25" s="3">
        <f t="shared" si="1"/>
        <v>80.788636621571058</v>
      </c>
      <c r="I25" s="23">
        <f t="shared" si="0"/>
        <v>80.512</v>
      </c>
    </row>
    <row r="26" spans="1:9" x14ac:dyDescent="0.3">
      <c r="A26" s="4">
        <v>1997</v>
      </c>
      <c r="B26" s="3">
        <v>79.278000000000006</v>
      </c>
      <c r="C26" s="3">
        <f>'[1]Advertising Agencies'!$F$119</f>
        <v>79.278000000000006</v>
      </c>
      <c r="D26" s="3">
        <f>'Predicted PPIs'!EV26*100/'Predicted PPIs'!EV$11</f>
        <v>78.265112850352253</v>
      </c>
      <c r="E26" s="3">
        <f>'Summary, hourly ad costs'!AY26</f>
        <v>75.836906506394214</v>
      </c>
      <c r="F26" s="3">
        <f t="shared" si="1"/>
        <v>77.0414436906822</v>
      </c>
      <c r="I26" s="23">
        <f t="shared" si="0"/>
        <v>79.278000000000006</v>
      </c>
    </row>
    <row r="27" spans="1:9" x14ac:dyDescent="0.3">
      <c r="A27" s="4">
        <v>1996</v>
      </c>
      <c r="C27" s="3">
        <f>'[1]Advertising Agencies'!$F$118</f>
        <v>77.674085287415437</v>
      </c>
      <c r="D27" s="3">
        <f>'Predicted PPIs'!EV27*100/'Predicted PPIs'!EV$11</f>
        <v>75.639536606693284</v>
      </c>
      <c r="E27" s="3">
        <f>'Summary, hourly ad costs'!AY27</f>
        <v>70.441818843777071</v>
      </c>
      <c r="F27" s="3">
        <f t="shared" si="1"/>
        <v>72.994428109794327</v>
      </c>
      <c r="I27" s="13">
        <f>I26*F27/F26</f>
        <v>75.113497287540682</v>
      </c>
    </row>
    <row r="28" spans="1:9" x14ac:dyDescent="0.3">
      <c r="A28" s="4">
        <v>1995</v>
      </c>
      <c r="C28" s="3">
        <f>'[1]Advertising Agencies'!$F$117</f>
        <v>75.281723460563043</v>
      </c>
      <c r="D28" s="3">
        <f>'Predicted PPIs'!EV28*100/'Predicted PPIs'!EV$11</f>
        <v>72.56810962037838</v>
      </c>
      <c r="E28" s="3">
        <f>'Summary, hourly ad costs'!AY28</f>
        <v>65.492877854933866</v>
      </c>
      <c r="F28" s="3">
        <f t="shared" si="1"/>
        <v>68.939787782752077</v>
      </c>
      <c r="I28" s="13">
        <f t="shared" ref="I28:I91" si="2">I27*F28/F27</f>
        <v>70.941148478270733</v>
      </c>
    </row>
    <row r="29" spans="1:9" x14ac:dyDescent="0.3">
      <c r="A29" s="4">
        <v>1994</v>
      </c>
      <c r="C29" s="3">
        <f>'[1]Advertising Agencies'!$F$116</f>
        <v>74.706935229436155</v>
      </c>
      <c r="D29" s="3">
        <f>'Predicted PPIs'!EV29*100/'Predicted PPIs'!EV$11</f>
        <v>69.012353724525383</v>
      </c>
      <c r="E29" s="3">
        <f>'Summary, hourly ad costs'!AY29</f>
        <v>60.450869436529167</v>
      </c>
      <c r="F29" s="3">
        <f t="shared" si="1"/>
        <v>64.5899124051802</v>
      </c>
      <c r="I29" s="13">
        <f t="shared" si="2"/>
        <v>66.464993779408942</v>
      </c>
    </row>
    <row r="30" spans="1:9" x14ac:dyDescent="0.3">
      <c r="A30" s="4">
        <v>1993</v>
      </c>
      <c r="C30" s="3">
        <f>'[1]Advertising Agencies'!$F$115</f>
        <v>71.879598524974227</v>
      </c>
      <c r="D30" s="3">
        <f>'Predicted PPIs'!EV30*100/'Predicted PPIs'!EV$11</f>
        <v>66.431237766170028</v>
      </c>
      <c r="E30" s="3">
        <f>'Summary, hourly ad costs'!AY30</f>
        <v>56.573595679924573</v>
      </c>
      <c r="F30" s="3">
        <f t="shared" si="1"/>
        <v>61.304600038661363</v>
      </c>
      <c r="I30" s="13">
        <f t="shared" si="2"/>
        <v>63.084306952736966</v>
      </c>
    </row>
    <row r="31" spans="1:9" x14ac:dyDescent="0.3">
      <c r="A31" s="4">
        <v>1992</v>
      </c>
      <c r="C31" s="3">
        <f>'[1]Advertising Agencies'!$F$114</f>
        <v>72.104853372307744</v>
      </c>
      <c r="D31" s="3">
        <f>'Predicted PPIs'!EV31*100/'Predicted PPIs'!EV$11</f>
        <v>64.315746656593248</v>
      </c>
      <c r="E31" s="3">
        <f>'Summary, hourly ad costs'!AY31</f>
        <v>55.242564668803787</v>
      </c>
      <c r="F31" s="3">
        <f t="shared" si="1"/>
        <v>59.606768020915659</v>
      </c>
      <c r="I31" s="13">
        <f t="shared" si="2"/>
        <v>61.337185919501152</v>
      </c>
    </row>
    <row r="32" spans="1:9" x14ac:dyDescent="0.3">
      <c r="A32" s="4">
        <v>1991</v>
      </c>
      <c r="C32" s="3">
        <f>'[1]Advertising Agencies'!$F$113</f>
        <v>67.762872004741212</v>
      </c>
      <c r="D32" s="3">
        <f>'Predicted PPIs'!EV32*100/'Predicted PPIs'!EV$11</f>
        <v>62.635670629255877</v>
      </c>
      <c r="E32" s="3">
        <f>'Summary, hourly ad costs'!AY32</f>
        <v>53.515508601017444</v>
      </c>
      <c r="F32" s="3">
        <f t="shared" si="1"/>
        <v>57.896284598326673</v>
      </c>
      <c r="I32" s="13">
        <f t="shared" si="2"/>
        <v>59.577046204045509</v>
      </c>
    </row>
    <row r="33" spans="1:9" x14ac:dyDescent="0.3">
      <c r="A33" s="4">
        <v>1990</v>
      </c>
      <c r="C33" s="3">
        <f>'[1]Advertising Agencies'!$F$112</f>
        <v>66.279296975751592</v>
      </c>
      <c r="D33" s="3">
        <f>'Predicted PPIs'!EV33*100/'Predicted PPIs'!EV$11</f>
        <v>60.973079217090259</v>
      </c>
      <c r="E33" s="3">
        <f>'Summary, hourly ad costs'!AY33</f>
        <v>56.210697131127354</v>
      </c>
      <c r="F33" s="3">
        <f t="shared" si="1"/>
        <v>58.543482037064521</v>
      </c>
      <c r="I33" s="13">
        <f t="shared" si="2"/>
        <v>60.243032147328975</v>
      </c>
    </row>
    <row r="34" spans="1:9" x14ac:dyDescent="0.3">
      <c r="A34" s="4">
        <v>1989</v>
      </c>
      <c r="C34" s="3">
        <f>'[1]Advertising Agencies'!$F$111</f>
        <v>62.869404631634055</v>
      </c>
      <c r="D34" s="3">
        <f>'Predicted PPIs'!EV34*100/'Predicted PPIs'!EV$11</f>
        <v>58.222630195846278</v>
      </c>
      <c r="E34" s="3">
        <f>'Summary, hourly ad costs'!AY34</f>
        <v>55.224707309514883</v>
      </c>
      <c r="F34" s="3">
        <f t="shared" si="1"/>
        <v>56.703859757125301</v>
      </c>
      <c r="I34" s="13">
        <f t="shared" si="2"/>
        <v>58.350004601082972</v>
      </c>
    </row>
    <row r="35" spans="1:9" x14ac:dyDescent="0.3">
      <c r="A35" s="4">
        <v>1988</v>
      </c>
      <c r="C35" s="3">
        <f>'[1]Advertising Agencies'!$F$110</f>
        <v>61.572247407334224</v>
      </c>
      <c r="D35" s="3">
        <f>'Predicted PPIs'!EV35*100/'Predicted PPIs'!EV$11</f>
        <v>55.372686151419252</v>
      </c>
      <c r="E35" s="3">
        <f>'Summary, hourly ad costs'!AY35</f>
        <v>52.361072390679624</v>
      </c>
      <c r="F35" s="3">
        <f t="shared" si="1"/>
        <v>53.845828325329414</v>
      </c>
      <c r="I35" s="13">
        <f t="shared" si="2"/>
        <v>55.409002914255574</v>
      </c>
    </row>
    <row r="36" spans="1:9" x14ac:dyDescent="0.3">
      <c r="A36" s="4">
        <v>1987</v>
      </c>
      <c r="C36" s="3">
        <f>'[1]Advertising Agencies'!$F$109</f>
        <v>57.152591954480279</v>
      </c>
      <c r="D36" s="3">
        <f>'Predicted PPIs'!EV36*100/'Predicted PPIs'!EV$11</f>
        <v>52.459359849307141</v>
      </c>
      <c r="E36" s="3">
        <f>'Summary, hourly ad costs'!AY36</f>
        <v>48.743537569446978</v>
      </c>
      <c r="F36" s="3">
        <f t="shared" si="1"/>
        <v>50.567329153158184</v>
      </c>
      <c r="I36" s="13">
        <f t="shared" si="2"/>
        <v>52.035327072783431</v>
      </c>
    </row>
    <row r="37" spans="1:9" x14ac:dyDescent="0.3">
      <c r="A37" s="4">
        <v>1986</v>
      </c>
      <c r="C37" s="3">
        <f>'[1]Advertising Agencies'!$F$108</f>
        <v>55.746691010778065</v>
      </c>
      <c r="D37" s="3">
        <f>'Predicted PPIs'!EV37*100/'Predicted PPIs'!EV$11</f>
        <v>49.728752627880247</v>
      </c>
      <c r="E37" s="3">
        <f>'Summary, hourly ad costs'!AY37</f>
        <v>46.618786965663105</v>
      </c>
      <c r="F37" s="3">
        <f t="shared" si="1"/>
        <v>48.148666906024594</v>
      </c>
      <c r="I37" s="13">
        <f t="shared" si="2"/>
        <v>49.546449704413874</v>
      </c>
    </row>
    <row r="38" spans="1:9" x14ac:dyDescent="0.3">
      <c r="A38" s="4">
        <v>1985</v>
      </c>
      <c r="C38" s="3">
        <f>'[1]Advertising Agencies'!$F$107</f>
        <v>54.146604853857305</v>
      </c>
      <c r="D38" s="3">
        <f>'Predicted PPIs'!EV38*100/'Predicted PPIs'!EV$11</f>
        <v>46.951549330839789</v>
      </c>
      <c r="E38" s="3">
        <f>'Summary, hourly ad costs'!AY38</f>
        <v>43.59394221259474</v>
      </c>
      <c r="F38" s="3">
        <f t="shared" si="1"/>
        <v>45.241608374597178</v>
      </c>
      <c r="I38" s="13">
        <f t="shared" si="2"/>
        <v>46.554997633761978</v>
      </c>
    </row>
    <row r="39" spans="1:9" x14ac:dyDescent="0.3">
      <c r="A39" s="4">
        <v>1984</v>
      </c>
      <c r="C39" s="3">
        <f>'[1]Advertising Agencies'!$F$106</f>
        <v>51.342570374981598</v>
      </c>
      <c r="D39" s="3">
        <f>'Predicted PPIs'!EV39*100/'Predicted PPIs'!EV$11</f>
        <v>43.826020061896806</v>
      </c>
      <c r="E39" s="3">
        <f>'Summary, hourly ad costs'!AY39</f>
        <v>41.2172898032291</v>
      </c>
      <c r="F39" s="3">
        <f t="shared" si="1"/>
        <v>42.501644318935867</v>
      </c>
      <c r="I39" s="13">
        <f t="shared" si="2"/>
        <v>43.735490885201543</v>
      </c>
    </row>
    <row r="40" spans="1:9" x14ac:dyDescent="0.3">
      <c r="A40" s="4">
        <v>1983</v>
      </c>
      <c r="C40" s="3">
        <f>'[1]Advertising Agencies'!$F$105</f>
        <v>49.276439706336348</v>
      </c>
      <c r="D40" s="3">
        <f>'Predicted PPIs'!EV40*100/'Predicted PPIs'!EV$11</f>
        <v>40.061353825930276</v>
      </c>
      <c r="E40" s="3">
        <f>'Summary, hourly ad costs'!AY40</f>
        <v>36.923676016768724</v>
      </c>
      <c r="F40" s="3">
        <f t="shared" si="1"/>
        <v>38.460531060579335</v>
      </c>
      <c r="I40" s="13">
        <f t="shared" si="2"/>
        <v>39.577061843006213</v>
      </c>
    </row>
    <row r="41" spans="1:9" x14ac:dyDescent="0.3">
      <c r="A41" s="4">
        <v>1982</v>
      </c>
      <c r="C41" s="3">
        <f>'[1]Advertising Agencies'!$F$104</f>
        <v>45.874314770747553</v>
      </c>
      <c r="D41" s="3">
        <f>'Predicted PPIs'!EV41*100/'Predicted PPIs'!EV$11</f>
        <v>36.717418955414075</v>
      </c>
      <c r="E41" s="3">
        <f>'Summary, hourly ad costs'!AY41</f>
        <v>32.150359181768877</v>
      </c>
      <c r="F41" s="3">
        <f t="shared" si="1"/>
        <v>34.358087950933061</v>
      </c>
      <c r="I41" s="13">
        <f t="shared" si="2"/>
        <v>35.355522509549083</v>
      </c>
    </row>
    <row r="42" spans="1:9" x14ac:dyDescent="0.3">
      <c r="A42" s="4">
        <v>1981</v>
      </c>
      <c r="C42" s="3">
        <f>'[1]Advertising Agencies'!$F$103</f>
        <v>41.718751207870831</v>
      </c>
      <c r="D42" s="3">
        <f>'Predicted PPIs'!EV42*100/'Predicted PPIs'!EV$11</f>
        <v>33.090058932372031</v>
      </c>
      <c r="E42" s="3">
        <f>'Summary, hourly ad costs'!AY42</f>
        <v>30.466112134944716</v>
      </c>
      <c r="F42" s="3">
        <f t="shared" si="1"/>
        <v>31.750991259889435</v>
      </c>
      <c r="I42" s="13">
        <f t="shared" si="2"/>
        <v>32.672740339703083</v>
      </c>
    </row>
    <row r="43" spans="1:9" x14ac:dyDescent="0.3">
      <c r="A43" s="4">
        <v>1980</v>
      </c>
      <c r="C43" s="3">
        <f>'[1]Advertising Agencies'!$F$102</f>
        <v>38.106906242006012</v>
      </c>
      <c r="D43" s="3">
        <f>'Predicted PPIs'!EV43*100/'Predicted PPIs'!EV$11</f>
        <v>29.702058154376999</v>
      </c>
      <c r="E43" s="3">
        <f>'Summary, hourly ad costs'!AY43</f>
        <v>27.87447723593375</v>
      </c>
      <c r="F43" s="3">
        <f t="shared" si="1"/>
        <v>28.773761378807635</v>
      </c>
      <c r="I43" s="13">
        <f t="shared" si="2"/>
        <v>29.609079805769582</v>
      </c>
    </row>
    <row r="44" spans="1:9" x14ac:dyDescent="0.3">
      <c r="A44" s="4">
        <v>1979</v>
      </c>
      <c r="C44" s="3">
        <f>'[1]Advertising Agencies'!$F$101</f>
        <v>35.240732494900378</v>
      </c>
      <c r="D44" s="3">
        <f>'Predicted PPIs'!EV44*100/'Predicted PPIs'!EV$11</f>
        <v>26.805001864784462</v>
      </c>
      <c r="E44" s="3">
        <f>'Summary, hourly ad costs'!AY44</f>
        <v>26.036219645238653</v>
      </c>
      <c r="F44" s="3">
        <f t="shared" si="1"/>
        <v>26.41781437103683</v>
      </c>
      <c r="I44" s="13">
        <f t="shared" si="2"/>
        <v>27.184738335327442</v>
      </c>
    </row>
    <row r="45" spans="1:9" x14ac:dyDescent="0.3">
      <c r="A45" s="4">
        <v>1978</v>
      </c>
      <c r="C45" s="3">
        <f>'[1]Advertising Agencies'!$F$100</f>
        <v>32.592046186599518</v>
      </c>
      <c r="D45" s="3">
        <f>'Predicted PPIs'!EV45*100/'Predicted PPIs'!EV$11</f>
        <v>24.485021694963098</v>
      </c>
      <c r="E45" s="3">
        <f>'Summary, hourly ad costs'!AY45</f>
        <v>23.386732926461956</v>
      </c>
      <c r="F45" s="3">
        <f t="shared" si="1"/>
        <v>23.929577160466685</v>
      </c>
      <c r="I45" s="13">
        <f t="shared" si="2"/>
        <v>24.62426620332042</v>
      </c>
    </row>
    <row r="46" spans="1:9" x14ac:dyDescent="0.3">
      <c r="A46" s="4">
        <v>1977</v>
      </c>
      <c r="C46" s="3">
        <f>'[1]Advertising Agencies'!$F$99</f>
        <v>30.828844450575179</v>
      </c>
      <c r="D46" s="3">
        <f>'Predicted PPIs'!EV46*100/'Predicted PPIs'!EV$11</f>
        <v>22.839848086317911</v>
      </c>
      <c r="E46" s="3">
        <f>'Summary, hourly ad costs'!AY46</f>
        <v>20.777618134810172</v>
      </c>
      <c r="F46" s="3">
        <f t="shared" si="1"/>
        <v>21.784343960619712</v>
      </c>
      <c r="I46" s="13">
        <f t="shared" si="2"/>
        <v>22.416755680798403</v>
      </c>
    </row>
    <row r="47" spans="1:9" x14ac:dyDescent="0.3">
      <c r="A47" s="4">
        <v>1976</v>
      </c>
      <c r="C47" s="3">
        <f>'[1]Advertising Agencies'!$F$98</f>
        <v>28.203460367860547</v>
      </c>
      <c r="D47" s="3">
        <f>'Predicted PPIs'!EV47*100/'Predicted PPIs'!EV$11</f>
        <v>21.408921288749834</v>
      </c>
      <c r="E47" s="3">
        <f>'Summary, hourly ad costs'!AY47</f>
        <v>18.827554274618151</v>
      </c>
      <c r="F47" s="3">
        <f t="shared" si="1"/>
        <v>20.076793258012234</v>
      </c>
      <c r="I47" s="13">
        <f t="shared" si="2"/>
        <v>20.659633823829772</v>
      </c>
    </row>
    <row r="48" spans="1:9" x14ac:dyDescent="0.3">
      <c r="A48" s="4">
        <v>1975</v>
      </c>
      <c r="C48" s="3">
        <f>'[1]Advertising Agencies'!$F$97</f>
        <v>25.539239242502198</v>
      </c>
      <c r="D48" s="3">
        <f>'Predicted PPIs'!EV48*100/'Predicted PPIs'!EV$11</f>
        <v>19.576334962464415</v>
      </c>
      <c r="E48" s="3">
        <f>'Summary, hourly ad costs'!AY48</f>
        <v>15.997318150355859</v>
      </c>
      <c r="F48" s="3">
        <f t="shared" si="1"/>
        <v>17.696577596034718</v>
      </c>
      <c r="I48" s="13">
        <f t="shared" si="2"/>
        <v>18.210319166541282</v>
      </c>
    </row>
    <row r="49" spans="1:9" x14ac:dyDescent="0.3">
      <c r="A49" s="4">
        <v>1974</v>
      </c>
      <c r="C49" s="3">
        <f>'[1]Advertising Agencies'!$F$96</f>
        <v>22.440043239534315</v>
      </c>
      <c r="D49" s="3">
        <f>'Predicted PPIs'!EV49*100/'Predicted PPIs'!EV$11</f>
        <v>17.623047835576426</v>
      </c>
      <c r="E49" s="3">
        <f>'Summary, hourly ad costs'!AY49</f>
        <v>15.644212438935007</v>
      </c>
      <c r="F49" s="3">
        <f t="shared" si="1"/>
        <v>16.604177310582763</v>
      </c>
      <c r="I49" s="13">
        <f t="shared" si="2"/>
        <v>17.086205888267731</v>
      </c>
    </row>
    <row r="50" spans="1:9" x14ac:dyDescent="0.3">
      <c r="A50" s="4">
        <v>1973</v>
      </c>
      <c r="C50" s="3">
        <f>'[1]Advertising Agencies'!$F$95</f>
        <v>21.539023850200302</v>
      </c>
      <c r="D50" s="3">
        <f>'Predicted PPIs'!EV50*100/'Predicted PPIs'!EV$11</f>
        <v>16.09048981925428</v>
      </c>
      <c r="E50" s="3">
        <f>'Summary, hourly ad costs'!AY50</f>
        <v>14.975178197213697</v>
      </c>
      <c r="F50" s="3">
        <f t="shared" si="1"/>
        <v>15.522820372721759</v>
      </c>
      <c r="I50" s="13">
        <f t="shared" si="2"/>
        <v>15.973456552157964</v>
      </c>
    </row>
    <row r="51" spans="1:9" x14ac:dyDescent="0.3">
      <c r="A51" s="4">
        <v>1972</v>
      </c>
      <c r="C51" s="3">
        <f>'[1]Advertising Agencies'!$F$94</f>
        <v>19.869031016520871</v>
      </c>
      <c r="D51" s="3">
        <f>'Predicted PPIs'!EV51*100/'Predicted PPIs'!EV$11</f>
        <v>15.281730000199156</v>
      </c>
      <c r="E51" s="3">
        <f>'Summary, hourly ad costs'!AY51</f>
        <v>14.332355880781243</v>
      </c>
      <c r="F51" s="3">
        <f t="shared" si="1"/>
        <v>14.799432179542075</v>
      </c>
      <c r="I51" s="13">
        <f t="shared" si="2"/>
        <v>15.229067994109238</v>
      </c>
    </row>
    <row r="52" spans="1:9" x14ac:dyDescent="0.3">
      <c r="A52" s="4">
        <v>1971</v>
      </c>
      <c r="D52" s="3">
        <f>'Predicted PPIs'!EV52*100/'Predicted PPIs'!EV$11</f>
        <v>14.524235739834911</v>
      </c>
      <c r="E52" s="3">
        <f>'Summary, hourly ad costs'!AY52</f>
        <v>13.136426416349261</v>
      </c>
      <c r="F52" s="3">
        <f t="shared" si="1"/>
        <v>13.812912583885101</v>
      </c>
      <c r="I52" s="13">
        <f t="shared" si="2"/>
        <v>14.213909181425246</v>
      </c>
    </row>
    <row r="53" spans="1:9" x14ac:dyDescent="0.3">
      <c r="A53" s="4">
        <v>1970</v>
      </c>
      <c r="D53" s="3">
        <f>'Predicted PPIs'!EV53*100/'Predicted PPIs'!EV$11</f>
        <v>14.066527413522683</v>
      </c>
      <c r="E53" s="3">
        <f>'Summary, hourly ad costs'!AY53</f>
        <v>12.833371864662279</v>
      </c>
      <c r="F53" s="3">
        <f t="shared" si="1"/>
        <v>13.435809508258245</v>
      </c>
      <c r="I53" s="13">
        <f t="shared" si="2"/>
        <v>13.825858592062241</v>
      </c>
    </row>
    <row r="54" spans="1:9" x14ac:dyDescent="0.3">
      <c r="A54" s="4">
        <v>1969</v>
      </c>
      <c r="D54" s="3">
        <f>'Predicted PPIs'!EV54*100/'Predicted PPIs'!EV$11</f>
        <v>13.306005971208812</v>
      </c>
      <c r="E54" s="3">
        <f>'Summary, hourly ad costs'!AY54</f>
        <v>13.09650641674363</v>
      </c>
      <c r="F54" s="3">
        <f t="shared" si="1"/>
        <v>13.200840601384641</v>
      </c>
      <c r="I54" s="13">
        <f t="shared" si="2"/>
        <v>13.584068406069418</v>
      </c>
    </row>
    <row r="55" spans="1:9" x14ac:dyDescent="0.3">
      <c r="A55" s="4">
        <v>1968</v>
      </c>
      <c r="D55" s="3">
        <f>'Predicted PPIs'!EV55*100/'Predicted PPIs'!EV$11</f>
        <v>12.513516412328514</v>
      </c>
      <c r="E55" s="3">
        <f>'Summary, hourly ad costs'!AY55</f>
        <v>12.294997432038596</v>
      </c>
      <c r="F55" s="3">
        <f t="shared" si="1"/>
        <v>12.403775721745047</v>
      </c>
      <c r="I55" s="13">
        <f t="shared" si="2"/>
        <v>12.763864286040572</v>
      </c>
    </row>
    <row r="56" spans="1:9" x14ac:dyDescent="0.3">
      <c r="A56" s="4">
        <v>1967</v>
      </c>
      <c r="D56" s="3">
        <f>'Predicted PPIs'!EV56*100/'Predicted PPIs'!EV$11</f>
        <v>11.98923488702682</v>
      </c>
      <c r="E56" s="3">
        <f>'Summary, hourly ad costs'!AY56</f>
        <v>11.743237585614569</v>
      </c>
      <c r="F56" s="3">
        <f t="shared" si="1"/>
        <v>11.865598752195138</v>
      </c>
      <c r="I56" s="13">
        <f t="shared" si="2"/>
        <v>12.21006373729595</v>
      </c>
    </row>
    <row r="57" spans="1:9" x14ac:dyDescent="0.3">
      <c r="A57" s="4">
        <v>1966</v>
      </c>
      <c r="D57" s="3">
        <f>'Predicted PPIs'!EV57*100/'Predicted PPIs'!EV$11</f>
        <v>11.680397186656261</v>
      </c>
      <c r="E57" s="3">
        <f>'Summary, hourly ad costs'!AY57</f>
        <v>11.653867459366436</v>
      </c>
      <c r="F57" s="3">
        <f t="shared" si="1"/>
        <v>11.66712478231242</v>
      </c>
      <c r="I57" s="13">
        <f t="shared" si="2"/>
        <v>12.005827956778443</v>
      </c>
    </row>
    <row r="58" spans="1:9" x14ac:dyDescent="0.3">
      <c r="A58" s="4">
        <v>1965</v>
      </c>
      <c r="D58" s="3">
        <f>'Predicted PPIs'!EV58*100/'Predicted PPIs'!EV$11</f>
        <v>11.17708222390262</v>
      </c>
      <c r="E58" s="3">
        <f>'Summary, hourly ad costs'!AY58</f>
        <v>10.68853881520489</v>
      </c>
      <c r="F58" s="3">
        <f t="shared" si="1"/>
        <v>10.930081298458841</v>
      </c>
      <c r="I58" s="13">
        <f t="shared" si="2"/>
        <v>11.247387687310711</v>
      </c>
    </row>
    <row r="59" spans="1:9" x14ac:dyDescent="0.3">
      <c r="A59" s="4">
        <v>1964</v>
      </c>
      <c r="D59" s="3">
        <f>'Predicted PPIs'!EV59*100/'Predicted PPIs'!EV$11</f>
        <v>10.919669534816858</v>
      </c>
      <c r="E59" s="3">
        <f>'Summary, hourly ad costs'!AY59</f>
        <v>9.8046477640674325</v>
      </c>
      <c r="F59" s="3">
        <f t="shared" si="1"/>
        <v>10.347150017705232</v>
      </c>
      <c r="I59" s="13">
        <f t="shared" si="2"/>
        <v>10.647533584613335</v>
      </c>
    </row>
    <row r="60" spans="1:9" x14ac:dyDescent="0.3">
      <c r="A60" s="4">
        <v>1963</v>
      </c>
      <c r="D60" s="3">
        <f>'Predicted PPIs'!EV60*100/'Predicted PPIs'!EV$11</f>
        <v>10.675058466843502</v>
      </c>
      <c r="E60" s="3">
        <f>'Summary, hourly ad costs'!AY60</f>
        <v>9.0308429652390796</v>
      </c>
      <c r="F60" s="3">
        <f t="shared" si="1"/>
        <v>9.8185934154953944</v>
      </c>
      <c r="I60" s="13">
        <f t="shared" si="2"/>
        <v>10.103632687867036</v>
      </c>
    </row>
    <row r="61" spans="1:9" x14ac:dyDescent="0.3">
      <c r="A61" s="4">
        <v>1962</v>
      </c>
      <c r="D61" s="3">
        <f>'Predicted PPIs'!EV61*100/'Predicted PPIs'!EV$11</f>
        <v>10.389053978466013</v>
      </c>
      <c r="E61" s="3">
        <f>'Summary, hourly ad costs'!AY61</f>
        <v>8.7030676313000033</v>
      </c>
      <c r="F61" s="3">
        <f t="shared" si="1"/>
        <v>9.5087664499563811</v>
      </c>
      <c r="I61" s="13">
        <f t="shared" si="2"/>
        <v>9.784811271791046</v>
      </c>
    </row>
    <row r="62" spans="1:9" x14ac:dyDescent="0.3">
      <c r="A62" s="4">
        <v>1961</v>
      </c>
      <c r="D62" s="3">
        <f>'Predicted PPIs'!EV62*100/'Predicted PPIs'!EV$11</f>
        <v>10.269593895200206</v>
      </c>
      <c r="E62" s="3">
        <f>'Summary, hourly ad costs'!AY62</f>
        <v>8.4960013552991605</v>
      </c>
      <c r="F62" s="3">
        <f t="shared" si="1"/>
        <v>9.3407967353964487</v>
      </c>
      <c r="I62" s="13">
        <f t="shared" si="2"/>
        <v>9.6119653022328091</v>
      </c>
    </row>
    <row r="63" spans="1:9" x14ac:dyDescent="0.3">
      <c r="A63" s="4">
        <v>1960</v>
      </c>
      <c r="D63" s="3">
        <f>'Predicted PPIs'!EV63*100/'Predicted PPIs'!EV$11</f>
        <v>10.02917100684906</v>
      </c>
      <c r="E63" s="3">
        <f>'Summary, hourly ad costs'!AY63</f>
        <v>8.614756063412095</v>
      </c>
      <c r="F63" s="3">
        <f t="shared" si="1"/>
        <v>9.2950988021779359</v>
      </c>
      <c r="I63" s="13">
        <f t="shared" si="2"/>
        <v>9.5649407323890401</v>
      </c>
    </row>
    <row r="64" spans="1:9" x14ac:dyDescent="0.3">
      <c r="A64" s="4">
        <v>1959</v>
      </c>
      <c r="D64" s="3">
        <f>'Predicted PPIs'!EV64*100/'Predicted PPIs'!EV$11</f>
        <v>9.5659232564164327</v>
      </c>
      <c r="E64" s="3">
        <f>'Summary, hourly ad costs'!AY64</f>
        <v>8.3114553637978155</v>
      </c>
      <c r="F64" s="3">
        <f t="shared" si="1"/>
        <v>8.9166554357124639</v>
      </c>
      <c r="I64" s="13">
        <f t="shared" si="2"/>
        <v>9.1755109427928421</v>
      </c>
    </row>
    <row r="65" spans="1:9" x14ac:dyDescent="0.3">
      <c r="A65" s="4">
        <v>1958</v>
      </c>
      <c r="D65" s="3">
        <f>'Predicted PPIs'!EV65*100/'Predicted PPIs'!EV$11</f>
        <v>9.3772095037080376</v>
      </c>
      <c r="E65" s="3">
        <f>'Summary, hourly ad costs'!AY65</f>
        <v>7.7316422591371143</v>
      </c>
      <c r="F65" s="3">
        <f t="shared" si="1"/>
        <v>8.5147653679741069</v>
      </c>
      <c r="I65" s="13">
        <f t="shared" si="2"/>
        <v>8.7619537810386809</v>
      </c>
    </row>
    <row r="66" spans="1:9" x14ac:dyDescent="0.3">
      <c r="A66" s="4">
        <v>1957</v>
      </c>
      <c r="D66" s="3">
        <f>'Predicted PPIs'!EV66*100/'Predicted PPIs'!EV$11</f>
        <v>9.0510956843181365</v>
      </c>
      <c r="E66" s="3">
        <f>'Summary, hourly ad costs'!AY66</f>
        <v>7.7627501967817576</v>
      </c>
      <c r="F66" s="3">
        <f t="shared" si="1"/>
        <v>8.3822070366062391</v>
      </c>
      <c r="I66" s="13">
        <f t="shared" si="2"/>
        <v>8.6255472069825831</v>
      </c>
    </row>
    <row r="67" spans="1:9" x14ac:dyDescent="0.3">
      <c r="A67" s="4">
        <v>1956</v>
      </c>
      <c r="D67" s="3">
        <f>'Predicted PPIs'!EV67*100/'Predicted PPIs'!EV$11</f>
        <v>8.4432803501208511</v>
      </c>
      <c r="E67" s="3">
        <f>'Summary, hourly ad costs'!AY67</f>
        <v>7.442314356156646</v>
      </c>
      <c r="F67" s="3">
        <f t="shared" si="1"/>
        <v>7.9270137228820117</v>
      </c>
      <c r="I67" s="13">
        <f t="shared" si="2"/>
        <v>8.1571393761231796</v>
      </c>
    </row>
    <row r="68" spans="1:9" x14ac:dyDescent="0.3">
      <c r="A68" s="4">
        <v>1955</v>
      </c>
      <c r="D68" s="3">
        <f>'Predicted PPIs'!EV68*100/'Predicted PPIs'!EV$11</f>
        <v>7.7656949268305739</v>
      </c>
      <c r="E68" s="3">
        <f>'Summary, hourly ad costs'!AY68</f>
        <v>6.8517533981382073</v>
      </c>
      <c r="F68" s="3">
        <f t="shared" ref="F68:F123" si="3">D68^D$1*E68^E$1</f>
        <v>7.2944243504073727</v>
      </c>
      <c r="I68" s="13">
        <f t="shared" si="2"/>
        <v>7.5061855794576333</v>
      </c>
    </row>
    <row r="69" spans="1:9" x14ac:dyDescent="0.3">
      <c r="A69" s="4">
        <v>1954</v>
      </c>
      <c r="D69" s="3">
        <f>'Predicted PPIs'!EV69*100/'Predicted PPIs'!EV$11</f>
        <v>7.5385239219505662</v>
      </c>
      <c r="E69" s="3">
        <f>'Summary, hourly ad costs'!AY69</f>
        <v>6.3701552561290082</v>
      </c>
      <c r="F69" s="3">
        <f t="shared" si="3"/>
        <v>6.9297595762672506</v>
      </c>
      <c r="I69" s="13">
        <f t="shared" si="2"/>
        <v>7.1309343824479754</v>
      </c>
    </row>
    <row r="70" spans="1:9" x14ac:dyDescent="0.3">
      <c r="A70" s="4">
        <v>1953</v>
      </c>
      <c r="D70" s="3">
        <f>'Predicted PPIs'!EV70*100/'Predicted PPIs'!EV$11</f>
        <v>7.3474111504578845</v>
      </c>
      <c r="E70" s="3">
        <f>'Summary, hourly ad costs'!AY70</f>
        <v>6.4659759783767292</v>
      </c>
      <c r="F70" s="3">
        <f t="shared" si="3"/>
        <v>6.8926180803899193</v>
      </c>
      <c r="I70" s="13">
        <f t="shared" si="2"/>
        <v>7.0927146481192018</v>
      </c>
    </row>
    <row r="71" spans="1:9" x14ac:dyDescent="0.3">
      <c r="A71" s="4">
        <v>1952</v>
      </c>
      <c r="D71" s="3">
        <f>'Predicted PPIs'!EV71*100/'Predicted PPIs'!EV$11</f>
        <v>7.2174748568008882</v>
      </c>
      <c r="E71" s="3">
        <f>'Summary, hourly ad costs'!AY71</f>
        <v>6.1674763897085425</v>
      </c>
      <c r="F71" s="3">
        <f t="shared" si="3"/>
        <v>6.6718517498993126</v>
      </c>
      <c r="I71" s="13">
        <f t="shared" si="2"/>
        <v>6.8655393472654991</v>
      </c>
    </row>
    <row r="72" spans="1:9" x14ac:dyDescent="0.3">
      <c r="A72" s="4">
        <v>1951</v>
      </c>
      <c r="D72" s="3">
        <f>'Predicted PPIs'!EV72*100/'Predicted PPIs'!EV$11</f>
        <v>6.6546396991177339</v>
      </c>
      <c r="E72" s="3">
        <f>'Summary, hourly ad costs'!AY72</f>
        <v>5.749978079867363</v>
      </c>
      <c r="F72" s="3">
        <f t="shared" si="3"/>
        <v>6.1857927866476512</v>
      </c>
      <c r="I72" s="13">
        <f t="shared" si="2"/>
        <v>6.3653698197657729</v>
      </c>
    </row>
    <row r="73" spans="1:9" x14ac:dyDescent="0.3">
      <c r="A73" s="4">
        <v>1950</v>
      </c>
      <c r="D73" s="3">
        <f>'Predicted PPIs'!EV73*100/'Predicted PPIs'!EV$11</f>
        <v>5.8945165419938341</v>
      </c>
      <c r="E73" s="3">
        <f>'Summary, hourly ad costs'!AY73</f>
        <v>5.1932728860748103</v>
      </c>
      <c r="F73" s="3">
        <f t="shared" si="3"/>
        <v>5.5327961225817841</v>
      </c>
      <c r="I73" s="13">
        <f t="shared" si="2"/>
        <v>5.6934162963912502</v>
      </c>
    </row>
    <row r="74" spans="1:9" x14ac:dyDescent="0.3">
      <c r="A74" s="4">
        <v>1949</v>
      </c>
      <c r="D74" s="3">
        <f>'Predicted PPIs'!EV74*100/'Predicted PPIs'!EV$11</f>
        <v>6.0656856685569149</v>
      </c>
      <c r="E74" s="3">
        <f>'Summary, hourly ad costs'!AY74</f>
        <v>4.9954002325728393</v>
      </c>
      <c r="F74" s="3">
        <f t="shared" si="3"/>
        <v>5.504591501594188</v>
      </c>
      <c r="I74" s="13">
        <f t="shared" si="2"/>
        <v>5.6643928794413796</v>
      </c>
    </row>
    <row r="75" spans="1:9" x14ac:dyDescent="0.3">
      <c r="A75" s="4">
        <v>1948</v>
      </c>
      <c r="D75" s="3">
        <f>'Predicted PPIs'!EV75*100/'Predicted PPIs'!EV$11</f>
        <v>5.9341533576486256</v>
      </c>
      <c r="E75" s="3">
        <f>'Summary, hourly ad costs'!AY75</f>
        <v>4.9825931158483474</v>
      </c>
      <c r="F75" s="3">
        <f t="shared" si="3"/>
        <v>5.4375979686078662</v>
      </c>
      <c r="I75" s="13">
        <f t="shared" si="2"/>
        <v>5.5954544866275908</v>
      </c>
    </row>
    <row r="76" spans="1:9" x14ac:dyDescent="0.3">
      <c r="A76" s="4">
        <v>1947</v>
      </c>
      <c r="D76" s="3">
        <f>'Predicted PPIs'!EV76*100/'Predicted PPIs'!EV$11</f>
        <v>5.3608267065395161</v>
      </c>
      <c r="E76" s="3">
        <f>'Summary, hourly ad costs'!AY76</f>
        <v>4.6634158389596108</v>
      </c>
      <c r="F76" s="3">
        <f t="shared" si="3"/>
        <v>4.9999764172637926</v>
      </c>
      <c r="I76" s="13">
        <f t="shared" si="2"/>
        <v>5.1451285362631438</v>
      </c>
    </row>
    <row r="77" spans="1:9" x14ac:dyDescent="0.3">
      <c r="A77" s="4">
        <v>1946</v>
      </c>
      <c r="D77" s="3">
        <f>'Predicted PPIs'!EV77*100/'Predicted PPIs'!EV$11</f>
        <v>4.6140422387144389</v>
      </c>
      <c r="E77" s="3">
        <f>'Summary, hourly ad costs'!AY77</f>
        <v>3.9341322128263791</v>
      </c>
      <c r="F77" s="3">
        <f t="shared" si="3"/>
        <v>4.2605459981870881</v>
      </c>
      <c r="I77" s="13">
        <f t="shared" si="2"/>
        <v>4.384232037504348</v>
      </c>
    </row>
    <row r="78" spans="1:9" x14ac:dyDescent="0.3">
      <c r="A78" s="4">
        <v>1945</v>
      </c>
      <c r="D78" s="3">
        <f>'Predicted PPIs'!EV78*100/'Predicted PPIs'!EV$11</f>
        <v>4.7805577237396886</v>
      </c>
      <c r="E78" s="3">
        <f>'Summary, hourly ad costs'!AY78</f>
        <v>3.6127142157722614</v>
      </c>
      <c r="F78" s="3">
        <f t="shared" si="3"/>
        <v>4.1558138610715298</v>
      </c>
      <c r="I78" s="13">
        <f t="shared" si="2"/>
        <v>4.276459467722515</v>
      </c>
    </row>
    <row r="79" spans="1:9" x14ac:dyDescent="0.3">
      <c r="A79" s="4">
        <v>1944</v>
      </c>
      <c r="D79" s="3">
        <f>'Predicted PPIs'!EV79*100/'Predicted PPIs'!EV$11</f>
        <v>4.793716048795047</v>
      </c>
      <c r="E79" s="3">
        <f>'Summary, hourly ad costs'!AY79</f>
        <v>3.6194400822530284</v>
      </c>
      <c r="F79" s="3">
        <f t="shared" si="3"/>
        <v>4.1654013023895313</v>
      </c>
      <c r="I79" s="13">
        <f t="shared" si="2"/>
        <v>4.2863252378378851</v>
      </c>
    </row>
    <row r="80" spans="1:9" x14ac:dyDescent="0.3">
      <c r="A80" s="4">
        <v>1943</v>
      </c>
      <c r="D80" s="3">
        <f>'Predicted PPIs'!EV80*100/'Predicted PPIs'!EV$11</f>
        <v>4.4394815336151687</v>
      </c>
      <c r="E80" s="3">
        <f>'Summary, hourly ad costs'!AY80</f>
        <v>3.4157828489996533</v>
      </c>
      <c r="F80" s="3">
        <f t="shared" si="3"/>
        <v>3.8941372447531135</v>
      </c>
      <c r="I80" s="13">
        <f t="shared" si="2"/>
        <v>4.007186232504047</v>
      </c>
    </row>
    <row r="81" spans="1:9" x14ac:dyDescent="0.3">
      <c r="A81" s="4">
        <v>1942</v>
      </c>
      <c r="D81" s="3">
        <f>'Predicted PPIs'!EV81*100/'Predicted PPIs'!EV$11</f>
        <v>3.8671686341767315</v>
      </c>
      <c r="E81" s="3">
        <f>'Summary, hourly ad costs'!AY81</f>
        <v>2.9045680191815393</v>
      </c>
      <c r="F81" s="3">
        <f t="shared" si="3"/>
        <v>3.3514853930178017</v>
      </c>
      <c r="I81" s="13">
        <f t="shared" si="2"/>
        <v>3.4487808932350061</v>
      </c>
    </row>
    <row r="82" spans="1:9" x14ac:dyDescent="0.3">
      <c r="A82" s="4">
        <v>1941</v>
      </c>
      <c r="D82" s="3">
        <f>'Predicted PPIs'!EV82*100/'Predicted PPIs'!EV$11</f>
        <v>3.7240948563480774</v>
      </c>
      <c r="E82" s="3">
        <f>'Summary, hourly ad costs'!AY82</f>
        <v>3.1230470803373369</v>
      </c>
      <c r="F82" s="3">
        <f t="shared" si="3"/>
        <v>3.4103553433648459</v>
      </c>
      <c r="I82" s="13">
        <f t="shared" si="2"/>
        <v>3.5093598712504117</v>
      </c>
    </row>
    <row r="83" spans="1:9" x14ac:dyDescent="0.3">
      <c r="A83" s="4">
        <v>1940</v>
      </c>
      <c r="D83" s="3">
        <f>'Predicted PPIs'!EV83*100/'Predicted PPIs'!EV$11</f>
        <v>3.7071737417460668</v>
      </c>
      <c r="E83" s="3">
        <f>'Summary, hourly ad costs'!AY83</f>
        <v>3.0507573785692648</v>
      </c>
      <c r="F83" s="3">
        <f t="shared" si="3"/>
        <v>3.3629879045679072</v>
      </c>
      <c r="I83" s="13">
        <f t="shared" si="2"/>
        <v>3.4606173291451441</v>
      </c>
    </row>
    <row r="84" spans="1:9" x14ac:dyDescent="0.3">
      <c r="A84" s="4">
        <v>1939</v>
      </c>
      <c r="D84" s="3">
        <f>'Predicted PPIs'!EV84*100/'Predicted PPIs'!EV$11</f>
        <v>3.7175928660933728</v>
      </c>
      <c r="E84" s="3">
        <f>'Summary, hourly ad costs'!AY84</f>
        <v>3.0083384902032027</v>
      </c>
      <c r="F84" s="3">
        <f t="shared" si="3"/>
        <v>3.3442155597349781</v>
      </c>
      <c r="I84" s="13">
        <f t="shared" si="2"/>
        <v>3.441300012615613</v>
      </c>
    </row>
    <row r="85" spans="1:9" x14ac:dyDescent="0.3">
      <c r="A85" s="4">
        <v>1938</v>
      </c>
      <c r="D85" s="3">
        <f>'Predicted PPIs'!EV85*100/'Predicted PPIs'!EV$11</f>
        <v>3.6980235416468514</v>
      </c>
      <c r="E85" s="3">
        <f>'Summary, hourly ad costs'!AY85</f>
        <v>2.9129713228178109</v>
      </c>
      <c r="F85" s="3">
        <f t="shared" si="3"/>
        <v>3.2821085490767112</v>
      </c>
      <c r="I85" s="13">
        <f t="shared" si="2"/>
        <v>3.3773900006130524</v>
      </c>
    </row>
    <row r="86" spans="1:9" x14ac:dyDescent="0.3">
      <c r="A86" s="4">
        <v>1937</v>
      </c>
      <c r="D86" s="3">
        <f>'Predicted PPIs'!EV86*100/'Predicted PPIs'!EV$11</f>
        <v>3.8204534447290697</v>
      </c>
      <c r="E86" s="3">
        <f>'Summary, hourly ad costs'!AY86</f>
        <v>3.285687642711308</v>
      </c>
      <c r="F86" s="3">
        <f t="shared" si="3"/>
        <v>3.5429954378887016</v>
      </c>
      <c r="I86" s="13">
        <f t="shared" si="2"/>
        <v>3.6458505820927636</v>
      </c>
    </row>
    <row r="87" spans="1:9" x14ac:dyDescent="0.3">
      <c r="A87" s="4">
        <v>1936</v>
      </c>
      <c r="D87" s="3">
        <f>'Predicted PPIs'!EV87*100/'Predicted PPIs'!EV$11</f>
        <v>3.7145897623689677</v>
      </c>
      <c r="E87" s="3">
        <f>'Summary, hourly ad costs'!AY87</f>
        <v>3.2064950814948441</v>
      </c>
      <c r="F87" s="3">
        <f t="shared" si="3"/>
        <v>3.4512046886278993</v>
      </c>
      <c r="I87" s="13">
        <f t="shared" si="2"/>
        <v>3.5513950959116549</v>
      </c>
    </row>
    <row r="88" spans="1:9" x14ac:dyDescent="0.3">
      <c r="A88" s="4">
        <v>1935</v>
      </c>
      <c r="D88" s="3">
        <f>'Predicted PPIs'!EV88*100/'Predicted PPIs'!EV$11</f>
        <v>3.8017865347649602</v>
      </c>
      <c r="E88" s="3">
        <f>'Summary, hourly ad costs'!AY88</f>
        <v>3.0602299327163851</v>
      </c>
      <c r="F88" s="3">
        <f t="shared" si="3"/>
        <v>3.4109149727728236</v>
      </c>
      <c r="I88" s="13">
        <f t="shared" si="2"/>
        <v>3.5099357470139005</v>
      </c>
    </row>
    <row r="89" spans="1:9" x14ac:dyDescent="0.3">
      <c r="A89" s="4">
        <v>1934</v>
      </c>
      <c r="D89" s="3">
        <f>'Predicted PPIs'!EV89*100/'Predicted PPIs'!EV$11</f>
        <v>3.7534871968310144</v>
      </c>
      <c r="E89" s="3">
        <f>'Summary, hourly ad costs'!AY89</f>
        <v>2.935110473837506</v>
      </c>
      <c r="F89" s="3">
        <f t="shared" si="3"/>
        <v>3.319171520851806</v>
      </c>
      <c r="I89" s="13">
        <f t="shared" si="2"/>
        <v>3.4155289312408712</v>
      </c>
    </row>
    <row r="90" spans="1:9" x14ac:dyDescent="0.3">
      <c r="A90" s="4">
        <v>1933</v>
      </c>
      <c r="D90" s="3">
        <f>'Predicted PPIs'!EV90*100/'Predicted PPIs'!EV$11</f>
        <v>3.480335516215137</v>
      </c>
      <c r="E90" s="3">
        <f>'Summary, hourly ad costs'!AY90</f>
        <v>2.5009068663976652</v>
      </c>
      <c r="F90" s="3">
        <f t="shared" si="3"/>
        <v>2.9502533772322161</v>
      </c>
      <c r="I90" s="13">
        <f t="shared" si="2"/>
        <v>3.0359008870507918</v>
      </c>
    </row>
    <row r="91" spans="1:9" x14ac:dyDescent="0.3">
      <c r="A91" s="4">
        <v>1932</v>
      </c>
      <c r="D91" s="3">
        <f>'Predicted PPIs'!EV91*100/'Predicted PPIs'!EV$11</f>
        <v>3.7340079515901361</v>
      </c>
      <c r="E91" s="3">
        <f>'Summary, hourly ad costs'!AY91</f>
        <v>2.9243334689982188</v>
      </c>
      <c r="F91" s="3">
        <f t="shared" si="3"/>
        <v>3.3044643176073967</v>
      </c>
      <c r="I91" s="13">
        <f t="shared" si="2"/>
        <v>3.4003947696395973</v>
      </c>
    </row>
    <row r="92" spans="1:9" x14ac:dyDescent="0.3">
      <c r="A92" s="4">
        <v>1931</v>
      </c>
      <c r="D92" s="3">
        <f>'Predicted PPIs'!EV92*100/'Predicted PPIs'!EV$11</f>
        <v>3.9845631815196692</v>
      </c>
      <c r="E92" s="3">
        <f>'Summary, hourly ad costs'!AY92</f>
        <v>3.6382581798908866</v>
      </c>
      <c r="F92" s="3">
        <f t="shared" si="3"/>
        <v>3.8074754875712586</v>
      </c>
      <c r="I92" s="13">
        <f t="shared" ref="I92:I123" si="4">I91*F92/F91</f>
        <v>3.9180086359178854</v>
      </c>
    </row>
    <row r="93" spans="1:9" x14ac:dyDescent="0.3">
      <c r="A93" s="4">
        <v>1930</v>
      </c>
      <c r="D93" s="3">
        <f>'Predicted PPIs'!EV93*100/'Predicted PPIs'!EV$11</f>
        <v>4.1733202468053179</v>
      </c>
      <c r="E93" s="3">
        <f>'Summary, hourly ad costs'!AY93</f>
        <v>4.1269429395514399</v>
      </c>
      <c r="F93" s="3">
        <f t="shared" si="3"/>
        <v>4.1500668099490019</v>
      </c>
      <c r="I93" s="13">
        <f t="shared" si="4"/>
        <v>4.2705455764833911</v>
      </c>
    </row>
    <row r="94" spans="1:9" x14ac:dyDescent="0.3">
      <c r="A94" s="4">
        <v>1929</v>
      </c>
      <c r="D94" s="3">
        <f>'Predicted PPIs'!EV94*100/'Predicted PPIs'!EV$11</f>
        <v>4.2098523278248559</v>
      </c>
      <c r="E94" s="3">
        <f>'Summary, hourly ad costs'!AY94</f>
        <v>4.6907968375049105</v>
      </c>
      <c r="F94" s="3">
        <f t="shared" si="3"/>
        <v>4.4438229021557012</v>
      </c>
      <c r="G94" s="5">
        <f>'[2]Ordinary Experience'!$AC$332</f>
        <v>2.09820105612964</v>
      </c>
      <c r="I94" s="13">
        <f t="shared" si="4"/>
        <v>4.5728295727629069</v>
      </c>
    </row>
    <row r="95" spans="1:9" x14ac:dyDescent="0.3">
      <c r="A95" s="4">
        <v>1928</v>
      </c>
      <c r="D95" s="3">
        <f>'Predicted PPIs'!EV95*100/'Predicted PPIs'!EV$11</f>
        <v>4.1906617526307928</v>
      </c>
      <c r="E95" s="3">
        <f>'Summary, hourly ad costs'!AY95</f>
        <v>4.7102154064602839</v>
      </c>
      <c r="F95" s="3">
        <f t="shared" si="3"/>
        <v>4.4428503857889945</v>
      </c>
      <c r="G95" s="5">
        <f>'[2]Ordinary Experience'!$AC$331</f>
        <v>2.0378317625848572</v>
      </c>
      <c r="I95" s="13">
        <f t="shared" si="4"/>
        <v>4.5718288237007618</v>
      </c>
    </row>
    <row r="96" spans="1:9" x14ac:dyDescent="0.3">
      <c r="A96" s="4">
        <v>1927</v>
      </c>
      <c r="D96" s="3">
        <f>'Predicted PPIs'!EV96*100/'Predicted PPIs'!EV$11</f>
        <v>4.1184934832549196</v>
      </c>
      <c r="E96" s="3">
        <f>'Summary, hourly ad costs'!AY96</f>
        <v>4.7436493349015159</v>
      </c>
      <c r="F96" s="3">
        <f t="shared" si="3"/>
        <v>4.4200326777794787</v>
      </c>
      <c r="G96" s="5">
        <f>'[2]Ordinary Experience'!$AC$330</f>
        <v>2.0319420754097566</v>
      </c>
      <c r="I96" s="13">
        <f t="shared" si="4"/>
        <v>4.5483487048332956</v>
      </c>
    </row>
    <row r="97" spans="1:9" x14ac:dyDescent="0.3">
      <c r="A97" s="4">
        <v>1926</v>
      </c>
      <c r="D97" s="3">
        <f>'Predicted PPIs'!EV97*100/'Predicted PPIs'!EV$11</f>
        <v>4.0477256002593363</v>
      </c>
      <c r="E97" s="3">
        <f>'Summary, hourly ad costs'!AY97</f>
        <v>4.6789639570390245</v>
      </c>
      <c r="F97" s="3">
        <f t="shared" si="3"/>
        <v>4.3519147730163077</v>
      </c>
      <c r="G97" s="5">
        <f>'[2]Ordinary Experience'!$AC$329</f>
        <v>1.9818797344214001</v>
      </c>
      <c r="I97" s="13">
        <f t="shared" si="4"/>
        <v>4.4782532990995136</v>
      </c>
    </row>
    <row r="98" spans="1:9" x14ac:dyDescent="0.3">
      <c r="A98" s="4">
        <v>1925</v>
      </c>
      <c r="D98" s="3">
        <f>'Predicted PPIs'!EV98*100/'Predicted PPIs'!EV$11</f>
        <v>3.9299172823786792</v>
      </c>
      <c r="E98" s="3">
        <f>'Summary, hourly ad costs'!AY98</f>
        <v>4.6085927291836351</v>
      </c>
      <c r="F98" s="3">
        <f t="shared" si="3"/>
        <v>4.2557476680206845</v>
      </c>
      <c r="G98" s="5">
        <f>'[2]Ordinary Experience'!$AC$328</f>
        <v>1.9391795024019196</v>
      </c>
      <c r="I98" s="13">
        <f t="shared" si="4"/>
        <v>4.3792944091226751</v>
      </c>
    </row>
    <row r="99" spans="1:9" x14ac:dyDescent="0.3">
      <c r="A99" s="4">
        <v>1924</v>
      </c>
      <c r="D99" s="3">
        <f>'Predicted PPIs'!EV99*100/'Predicted PPIs'!EV$11</f>
        <v>3.9456617986675067</v>
      </c>
      <c r="E99" s="3">
        <f>'Summary, hourly ad costs'!AY99</f>
        <v>4.4501651675503275</v>
      </c>
      <c r="F99" s="3">
        <f t="shared" si="3"/>
        <v>4.1903277556014764</v>
      </c>
      <c r="G99" s="5">
        <f>'[2]Ordinary Experience'!$AC$327</f>
        <v>1.9038413793513154</v>
      </c>
      <c r="I99" s="13">
        <f t="shared" si="4"/>
        <v>4.3119753199634303</v>
      </c>
    </row>
    <row r="100" spans="1:9" x14ac:dyDescent="0.3">
      <c r="A100" s="4">
        <v>1923</v>
      </c>
      <c r="D100" s="3">
        <f>'Predicted PPIs'!EV100*100/'Predicted PPIs'!EV$11</f>
        <v>3.8552135441071638</v>
      </c>
      <c r="E100" s="3">
        <f>'Summary, hourly ad costs'!AY100</f>
        <v>4.4823766345684559</v>
      </c>
      <c r="F100" s="3">
        <f t="shared" si="3"/>
        <v>4.1569843770908976</v>
      </c>
      <c r="G100" s="5">
        <f>'[2]Ordinary Experience'!$AC$326</f>
        <v>1.8817550524446875</v>
      </c>
      <c r="I100" s="13">
        <f t="shared" si="4"/>
        <v>4.2776639644782612</v>
      </c>
    </row>
    <row r="101" spans="1:9" x14ac:dyDescent="0.3">
      <c r="A101" s="4">
        <v>1922</v>
      </c>
      <c r="D101" s="3">
        <f>'Predicted PPIs'!EV101*100/'Predicted PPIs'!EV$11</f>
        <v>3.402177839378612</v>
      </c>
      <c r="E101" s="3">
        <f>'Summary, hourly ad costs'!AY101</f>
        <v>4.4988960633046409</v>
      </c>
      <c r="F101" s="3">
        <f t="shared" si="3"/>
        <v>3.9122940186344279</v>
      </c>
      <c r="G101" s="5">
        <f>'[2]Ordinary Experience'!$AC$325</f>
        <v>1.7521819345924712</v>
      </c>
      <c r="I101" s="13">
        <f t="shared" si="4"/>
        <v>4.0258701077120733</v>
      </c>
    </row>
    <row r="102" spans="1:9" x14ac:dyDescent="0.3">
      <c r="A102" s="4">
        <v>1921</v>
      </c>
      <c r="D102" s="3">
        <f>'Predicted PPIs'!EV102*100/'Predicted PPIs'!EV$11</f>
        <v>3.4548449791827691</v>
      </c>
      <c r="E102" s="3">
        <f>'Summary, hourly ad costs'!AY102</f>
        <v>3.9573420426400219</v>
      </c>
      <c r="F102" s="3">
        <f t="shared" si="3"/>
        <v>3.697567211954877</v>
      </c>
      <c r="G102" s="5">
        <f>'[2]Ordinary Experience'!$AC$324</f>
        <v>1.8066615409621529</v>
      </c>
      <c r="I102" s="13">
        <f t="shared" si="4"/>
        <v>3.8049096614321667</v>
      </c>
    </row>
    <row r="103" spans="1:9" x14ac:dyDescent="0.3">
      <c r="A103" s="4">
        <v>1920</v>
      </c>
      <c r="D103" s="3">
        <f>'Predicted PPIs'!EV103*100/'Predicted PPIs'!EV$11</f>
        <v>4.3908935108820524</v>
      </c>
      <c r="E103" s="3">
        <f>'Summary, hourly ad costs'!AY103</f>
        <v>4.8350712786100605</v>
      </c>
      <c r="F103" s="3">
        <f t="shared" si="3"/>
        <v>4.6076331344738266</v>
      </c>
      <c r="G103" s="5">
        <f>'[2]Ordinary Experience'!$AC$323</f>
        <v>1.9759900472462992</v>
      </c>
      <c r="I103" s="13">
        <f t="shared" si="4"/>
        <v>4.7413953079775375</v>
      </c>
    </row>
    <row r="104" spans="1:9" x14ac:dyDescent="0.3">
      <c r="A104" s="4">
        <v>1919</v>
      </c>
      <c r="D104" s="3">
        <f>'Predicted PPIs'!EV104*100/'Predicted PPIs'!EV$11</f>
        <v>3.679814186702266</v>
      </c>
      <c r="E104" s="3">
        <f>'Summary, hourly ad costs'!AY104</f>
        <v>4.191617481848998</v>
      </c>
      <c r="F104" s="3">
        <f t="shared" si="3"/>
        <v>3.9273876145520918</v>
      </c>
      <c r="G104" s="5">
        <f>'[2]Ordinary Experience'!$AC$322</f>
        <v>1.681505688491262</v>
      </c>
      <c r="I104" s="13">
        <f t="shared" si="4"/>
        <v>4.0414018791825663</v>
      </c>
    </row>
    <row r="105" spans="1:9" x14ac:dyDescent="0.3">
      <c r="A105" s="4">
        <v>1918</v>
      </c>
      <c r="D105" s="3">
        <f>'Predicted PPIs'!EV105*100/'Predicted PPIs'!EV$11</f>
        <v>2.4715113589709095</v>
      </c>
      <c r="E105" s="3">
        <f>'Summary, hourly ad costs'!AY105</f>
        <v>2.706236403254116</v>
      </c>
      <c r="F105" s="3">
        <f t="shared" si="3"/>
        <v>2.5862122903395086</v>
      </c>
      <c r="G105" s="5">
        <f>'[2]Ordinary Experience'!$AC$321</f>
        <v>1.4635872630125344</v>
      </c>
      <c r="I105" s="13">
        <f t="shared" si="4"/>
        <v>2.6612914832790584</v>
      </c>
    </row>
    <row r="106" spans="1:9" x14ac:dyDescent="0.3">
      <c r="A106" s="4">
        <v>1917</v>
      </c>
      <c r="D106" s="3">
        <f>'Predicted PPIs'!EV106*100/'Predicted PPIs'!EV$11</f>
        <v>2.3028701475241373</v>
      </c>
      <c r="E106" s="3">
        <f>'Summary, hourly ad costs'!AY106</f>
        <v>2.775068308514467</v>
      </c>
      <c r="F106" s="3">
        <f t="shared" si="3"/>
        <v>2.5279679517387614</v>
      </c>
      <c r="G106" s="5">
        <f>'[2]Ordinary Experience'!$AC$320</f>
        <v>1.1882443875765747</v>
      </c>
      <c r="I106" s="13">
        <f t="shared" si="4"/>
        <v>2.6013562788697397</v>
      </c>
    </row>
    <row r="107" spans="1:9" x14ac:dyDescent="0.3">
      <c r="A107" s="4">
        <v>1916</v>
      </c>
      <c r="D107" s="3">
        <f>'Predicted PPIs'!EV107*100/'Predicted PPIs'!EV$11</f>
        <v>1.9701312662926045</v>
      </c>
      <c r="E107" s="3">
        <f>'Summary, hourly ad costs'!AY107</f>
        <v>2.6304434681550033</v>
      </c>
      <c r="F107" s="3">
        <f t="shared" si="3"/>
        <v>2.2764707160047823</v>
      </c>
      <c r="G107" s="5">
        <f>'[2]Ordinary Experience'!$AC$319</f>
        <v>1.0380573646115059</v>
      </c>
      <c r="I107" s="13">
        <f t="shared" si="4"/>
        <v>2.3425579373618972</v>
      </c>
    </row>
    <row r="108" spans="1:9" x14ac:dyDescent="0.3">
      <c r="A108" s="4">
        <v>1915</v>
      </c>
      <c r="D108" s="3">
        <f>'Predicted PPIs'!EV108*100/'Predicted PPIs'!EV$11</f>
        <v>1.7125616578733165</v>
      </c>
      <c r="E108" s="3">
        <f>'Summary, hourly ad costs'!AY108</f>
        <v>2.3766491125622449</v>
      </c>
      <c r="F108" s="3">
        <f t="shared" si="3"/>
        <v>2.0174632944350548</v>
      </c>
      <c r="G108" s="5">
        <f>'[2]Ordinary Experience'!$AC$318</f>
        <v>0.93498783904724292</v>
      </c>
      <c r="I108" s="13">
        <f t="shared" si="4"/>
        <v>2.076031385112354</v>
      </c>
    </row>
    <row r="109" spans="1:9" x14ac:dyDescent="0.3">
      <c r="A109" s="4">
        <v>1914</v>
      </c>
      <c r="D109" s="3">
        <f>'Predicted PPIs'!EV109*100/'Predicted PPIs'!EV$11</f>
        <v>1.6093358706449412</v>
      </c>
      <c r="E109" s="3">
        <f>'Summary, hourly ad costs'!AY109</f>
        <v>2.2987975011753816</v>
      </c>
      <c r="F109" s="3">
        <f t="shared" si="3"/>
        <v>1.9234181235473731</v>
      </c>
      <c r="G109" s="5">
        <f>'[2]Ordinary Experience'!$AC$317</f>
        <v>0.94087752622234366</v>
      </c>
      <c r="I109" s="13">
        <f t="shared" si="4"/>
        <v>1.9792560301804296</v>
      </c>
    </row>
    <row r="110" spans="1:9" x14ac:dyDescent="0.3">
      <c r="A110" s="4">
        <v>1913</v>
      </c>
      <c r="D110" s="3">
        <f>'Predicted PPIs'!EV110*100/'Predicted PPIs'!EV$11</f>
        <v>1.6014303048665406</v>
      </c>
      <c r="E110" s="3">
        <f>'Summary, hourly ad costs'!AY110</f>
        <v>2.3439384692835867</v>
      </c>
      <c r="F110" s="3">
        <f t="shared" si="3"/>
        <v>1.9374349272822629</v>
      </c>
      <c r="G110" s="5">
        <f>'[2]Ordinary Experience'!$AC$316</f>
        <v>0.93204299545969249</v>
      </c>
      <c r="I110" s="13">
        <f t="shared" si="4"/>
        <v>1.9936797495872998</v>
      </c>
    </row>
    <row r="111" spans="1:9" x14ac:dyDescent="0.3">
      <c r="A111" s="4">
        <v>1912</v>
      </c>
      <c r="D111" s="3">
        <f>'Predicted PPIs'!EV111*100/'Predicted PPIs'!EV$11</f>
        <v>1.4729701499701113</v>
      </c>
      <c r="E111" s="3">
        <f>'Summary, hourly ad costs'!AY111</f>
        <v>2.3041837487271435</v>
      </c>
      <c r="F111" s="3">
        <f t="shared" si="3"/>
        <v>1.8422795341427731</v>
      </c>
      <c r="G111" s="5">
        <f>'[2]Ordinary Experience'!$AC$315</f>
        <v>0.88492549805888654</v>
      </c>
      <c r="I111" s="13">
        <f t="shared" si="4"/>
        <v>1.8957619420290692</v>
      </c>
    </row>
    <row r="112" spans="1:9" x14ac:dyDescent="0.3">
      <c r="A112" s="4">
        <v>1911</v>
      </c>
      <c r="D112" s="3">
        <f>'Predicted PPIs'!EV112*100/'Predicted PPIs'!EV$11</f>
        <v>1.4828751619539189</v>
      </c>
      <c r="E112" s="3">
        <f>'Summary, hourly ad costs'!AY112</f>
        <v>2.2957756448545448</v>
      </c>
      <c r="F112" s="3">
        <f t="shared" si="3"/>
        <v>1.8450877163900758</v>
      </c>
      <c r="G112" s="5">
        <f>'[2]Ordinary Experience'!$AC$314</f>
        <v>0.86431159294603388</v>
      </c>
      <c r="I112" s="13">
        <f t="shared" si="4"/>
        <v>1.898651647381626</v>
      </c>
    </row>
    <row r="113" spans="1:9" x14ac:dyDescent="0.3">
      <c r="A113" s="4">
        <v>1910</v>
      </c>
      <c r="D113" s="3">
        <f>'Predicted PPIs'!EV113*100/'Predicted PPIs'!EV$11</f>
        <v>1.5190206030736884</v>
      </c>
      <c r="E113" s="3">
        <f>'Summary, hourly ad costs'!AY113</f>
        <v>2.3876485337952138</v>
      </c>
      <c r="F113" s="3">
        <f t="shared" si="3"/>
        <v>1.9044388453645902</v>
      </c>
      <c r="G113" s="5">
        <f>'[2]Ordinary Experience'!$AC$313</f>
        <v>0.84664253142073165</v>
      </c>
      <c r="I113" s="13">
        <f t="shared" si="4"/>
        <v>1.9597257729098658</v>
      </c>
    </row>
    <row r="114" spans="1:9" x14ac:dyDescent="0.3">
      <c r="A114" s="4">
        <v>1909</v>
      </c>
      <c r="D114" s="3">
        <f>'Predicted PPIs'!EV114*100/'Predicted PPIs'!EV$11</f>
        <v>1.4697741595859766</v>
      </c>
      <c r="E114" s="3">
        <f>'Summary, hourly ad costs'!AY114</f>
        <v>2.4465937906391644</v>
      </c>
      <c r="F114" s="3">
        <f t="shared" si="3"/>
        <v>1.8962964780025686</v>
      </c>
      <c r="G114" s="5">
        <f>'[2]Ordinary Experience'!$AC$312</f>
        <v>0.80246987760747601</v>
      </c>
      <c r="I114" s="13">
        <f t="shared" si="4"/>
        <v>1.951347028057705</v>
      </c>
    </row>
    <row r="115" spans="1:9" x14ac:dyDescent="0.3">
      <c r="A115" s="4">
        <v>1908</v>
      </c>
      <c r="D115" s="3">
        <f>'Predicted PPIs'!EV115*100/'Predicted PPIs'!EV$11</f>
        <v>1.550691957538924</v>
      </c>
      <c r="E115" s="3">
        <f>'Summary, hourly ad costs'!AY115</f>
        <v>2.4702828131224241</v>
      </c>
      <c r="F115" s="3">
        <f t="shared" si="3"/>
        <v>1.9572040494428711</v>
      </c>
      <c r="G115" s="5">
        <f>'[2]Ordinary Experience'!$AC$311</f>
        <v>0.76418691096932112</v>
      </c>
      <c r="I115" s="13">
        <f t="shared" si="4"/>
        <v>2.0140227804492494</v>
      </c>
    </row>
    <row r="116" spans="1:9" x14ac:dyDescent="0.3">
      <c r="A116" s="4">
        <v>1907</v>
      </c>
      <c r="D116" s="3">
        <f>'Predicted PPIs'!EV116*100/'Predicted PPIs'!EV$11</f>
        <v>1.4300721363665156</v>
      </c>
      <c r="E116" s="3">
        <f>'Summary, hourly ad costs'!AY116</f>
        <v>2.2119535302072215</v>
      </c>
      <c r="F116" s="3">
        <f t="shared" si="3"/>
        <v>1.7785536569040858</v>
      </c>
      <c r="G116" s="5">
        <f>'[2]Ordinary Experience'!$AC$310</f>
        <v>0.77891112890707304</v>
      </c>
      <c r="I116" s="13">
        <f t="shared" si="4"/>
        <v>1.8301860668415217</v>
      </c>
    </row>
    <row r="117" spans="1:9" x14ac:dyDescent="0.3">
      <c r="A117" s="4">
        <v>1906</v>
      </c>
      <c r="D117" s="3">
        <f>'Predicted PPIs'!EV117*100/'Predicted PPIs'!EV$11</f>
        <v>1.3712675599500972</v>
      </c>
      <c r="E117" s="3">
        <f>'Summary, hourly ad costs'!AY117</f>
        <v>2.2326402666228815</v>
      </c>
      <c r="F117" s="3">
        <f t="shared" si="3"/>
        <v>1.7497277418668005</v>
      </c>
      <c r="G117" s="5">
        <f>'[2]Ordinary Experience'!$AC$309</f>
        <v>0.7421005840626933</v>
      </c>
      <c r="I117" s="13">
        <f t="shared" si="4"/>
        <v>1.8005233193273249</v>
      </c>
    </row>
    <row r="118" spans="1:9" x14ac:dyDescent="0.3">
      <c r="A118" s="4">
        <v>1905</v>
      </c>
      <c r="D118" s="3">
        <f>'Predicted PPIs'!EV118*100/'Predicted PPIs'!EV$11</f>
        <v>1.3630540274768292</v>
      </c>
      <c r="E118" s="3">
        <f>'Summary, hourly ad costs'!AY118</f>
        <v>2.3738909432096889</v>
      </c>
      <c r="F118" s="3">
        <f t="shared" si="3"/>
        <v>1.7988167252204252</v>
      </c>
      <c r="G118" s="5">
        <f>'[2]Ordinary Experience'!$AC$308</f>
        <v>0.72148667894984064</v>
      </c>
      <c r="I118" s="13">
        <f t="shared" si="4"/>
        <v>1.8510373833930707</v>
      </c>
    </row>
    <row r="119" spans="1:9" x14ac:dyDescent="0.3">
      <c r="A119" s="4">
        <v>1904</v>
      </c>
      <c r="D119" s="3">
        <f>'Predicted PPIs'!EV119*100/'Predicted PPIs'!EV$11</f>
        <v>1.3125886377849207</v>
      </c>
      <c r="E119" s="3">
        <f>'Summary, hourly ad costs'!AY119</f>
        <v>2.3715321801300879</v>
      </c>
      <c r="F119" s="3">
        <f t="shared" si="3"/>
        <v>1.7643259885236784</v>
      </c>
      <c r="G119" s="5">
        <f>'[2]Ordinary Experience'!$AC$307</f>
        <v>0.70970730459963915</v>
      </c>
      <c r="I119" s="13">
        <f t="shared" si="4"/>
        <v>1.8155453612702375</v>
      </c>
    </row>
    <row r="120" spans="1:9" x14ac:dyDescent="0.3">
      <c r="A120" s="4">
        <v>1903</v>
      </c>
      <c r="D120" s="3">
        <f>'Predicted PPIs'!EV120*100/'Predicted PPIs'!EV$11</f>
        <v>1.1944959479792041</v>
      </c>
      <c r="E120" s="3">
        <f>'Summary, hourly ad costs'!AY120</f>
        <v>2.198500706076207</v>
      </c>
      <c r="F120" s="3">
        <f t="shared" si="3"/>
        <v>1.6205246635079171</v>
      </c>
      <c r="G120" s="5">
        <f>'[2]Ordinary Experience'!$AC$306</f>
        <v>0.70234519563076325</v>
      </c>
      <c r="I120" s="13">
        <f t="shared" si="4"/>
        <v>1.6675694031564314</v>
      </c>
    </row>
    <row r="121" spans="1:9" x14ac:dyDescent="0.3">
      <c r="A121" s="4">
        <v>1902</v>
      </c>
      <c r="D121" s="3">
        <f>'Predicted PPIs'!EV121*100/'Predicted PPIs'!EV$11</f>
        <v>1.1282299936371625</v>
      </c>
      <c r="E121" s="3">
        <f>'Summary, hourly ad costs'!AY121</f>
        <v>2.0717528732197881</v>
      </c>
      <c r="F121" s="3">
        <f t="shared" si="3"/>
        <v>1.5288602718922795</v>
      </c>
      <c r="G121" s="5">
        <f>'[2]Ordinary Experience'!$AC$305</f>
        <v>0.69498308666188724</v>
      </c>
      <c r="I121" s="13">
        <f t="shared" si="4"/>
        <v>1.5732439428537783</v>
      </c>
    </row>
    <row r="122" spans="1:9" x14ac:dyDescent="0.3">
      <c r="A122" s="4">
        <v>1901</v>
      </c>
      <c r="D122" s="3">
        <f>'Predicted PPIs'!EV122*100/'Predicted PPIs'!EV$11</f>
        <v>1.0940958914155796</v>
      </c>
      <c r="E122" s="3">
        <f>'Summary, hourly ad costs'!AY122</f>
        <v>1.9637198658002908</v>
      </c>
      <c r="F122" s="3">
        <f t="shared" si="3"/>
        <v>1.4657755070484879</v>
      </c>
      <c r="G122" s="5">
        <f>'[2]Ordinary Experience'!$AC$304</f>
        <v>0.64492074567353097</v>
      </c>
      <c r="I122" s="13">
        <f t="shared" si="4"/>
        <v>1.5083277919134372</v>
      </c>
    </row>
    <row r="123" spans="1:9" x14ac:dyDescent="0.3">
      <c r="A123" s="4">
        <v>1900</v>
      </c>
      <c r="D123" s="3">
        <f>'Predicted PPIs'!EV123*100/'Predicted PPIs'!EV$11</f>
        <v>1.0204110086037967</v>
      </c>
      <c r="E123" s="3">
        <f>'Summary, hourly ad costs'!AY123</f>
        <v>1.8719584120693986</v>
      </c>
      <c r="F123" s="3">
        <f t="shared" si="3"/>
        <v>1.3820879028933353</v>
      </c>
      <c r="G123" s="5">
        <f>'[2]Ordinary Experience'!$AC$303</f>
        <v>0.61547230979802725</v>
      </c>
      <c r="I123" s="13">
        <f t="shared" si="4"/>
        <v>1.4222106896840223</v>
      </c>
    </row>
    <row r="124" spans="1:9" x14ac:dyDescent="0.3">
      <c r="A124" s="4">
        <v>1899</v>
      </c>
      <c r="G124" s="5">
        <f>'[2]Ordinary Experience'!$AC$302</f>
        <v>0.55424539640412696</v>
      </c>
      <c r="I124" s="13">
        <f>I123*(G124/G123)*((I$123/I$94)/(G$123/G$94))^(1/29)</f>
        <v>1.2833170966701652</v>
      </c>
    </row>
    <row r="125" spans="1:9" x14ac:dyDescent="0.3">
      <c r="A125" s="4">
        <v>1898</v>
      </c>
      <c r="G125" s="5">
        <f>'[2]Ordinary Experience'!$AC$301</f>
        <v>0.52584169196332298</v>
      </c>
      <c r="I125" s="13">
        <f t="shared" ref="I125:I156" si="5">I124*(G125/G124)*((I$123/I$94)/(G$123/G$94))^(1/29)</f>
        <v>1.2200099367513189</v>
      </c>
    </row>
    <row r="126" spans="1:9" x14ac:dyDescent="0.3">
      <c r="A126" s="4">
        <v>1897</v>
      </c>
      <c r="G126" s="5">
        <f>'[2]Ordinary Experience'!$AC$300</f>
        <v>0.51366800451127603</v>
      </c>
      <c r="I126" s="13">
        <f t="shared" si="5"/>
        <v>1.1941732321676657</v>
      </c>
    </row>
    <row r="127" spans="1:9" x14ac:dyDescent="0.3">
      <c r="A127" s="4">
        <v>1896</v>
      </c>
      <c r="G127" s="5">
        <f>'[2]Ordinary Experience'!$AC$299</f>
        <v>0.5330109713596346</v>
      </c>
      <c r="I127" s="13">
        <f t="shared" si="5"/>
        <v>1.2416449633746374</v>
      </c>
    </row>
    <row r="128" spans="1:9" x14ac:dyDescent="0.3">
      <c r="A128" s="4">
        <v>1895</v>
      </c>
      <c r="G128" s="5">
        <f>'[2]Ordinary Experience'!$AC$298</f>
        <v>0.57533001646624127</v>
      </c>
      <c r="I128" s="13">
        <f t="shared" si="5"/>
        <v>1.3429343462174193</v>
      </c>
    </row>
    <row r="129" spans="1:9" x14ac:dyDescent="0.3">
      <c r="A129" s="4">
        <v>1894</v>
      </c>
      <c r="G129" s="5">
        <f>'[2]Ordinary Experience'!$AC$297</f>
        <v>0.54752220796608142</v>
      </c>
      <c r="I129" s="13">
        <f t="shared" si="5"/>
        <v>1.2806072414567071</v>
      </c>
    </row>
    <row r="130" spans="1:9" x14ac:dyDescent="0.3">
      <c r="A130" s="4">
        <v>1893</v>
      </c>
      <c r="G130" s="5">
        <f>'[2]Ordinary Experience'!$AC$296</f>
        <v>0.5277771195951696</v>
      </c>
      <c r="I130" s="13">
        <f t="shared" si="5"/>
        <v>1.2369189365098188</v>
      </c>
    </row>
    <row r="131" spans="1:9" x14ac:dyDescent="0.3">
      <c r="A131" s="4">
        <v>1892</v>
      </c>
      <c r="G131" s="5">
        <f>'[2]Ordinary Experience'!$AC$295</f>
        <v>0.53866392826991483</v>
      </c>
      <c r="I131" s="13">
        <f t="shared" si="5"/>
        <v>1.2649840203096967</v>
      </c>
    </row>
    <row r="132" spans="1:9" x14ac:dyDescent="0.3">
      <c r="A132" s="4">
        <v>1891</v>
      </c>
      <c r="G132" s="5">
        <f>'[2]Ordinary Experience'!$AC$294</f>
        <v>0.53428867801909186</v>
      </c>
      <c r="I132" s="13">
        <f t="shared" si="5"/>
        <v>1.2572440311170154</v>
      </c>
    </row>
    <row r="133" spans="1:9" x14ac:dyDescent="0.3">
      <c r="A133" s="4">
        <v>1890</v>
      </c>
      <c r="G133" s="5">
        <f>'[2]Ordinary Experience'!$AC$293</f>
        <v>0.54487710522164945</v>
      </c>
      <c r="I133" s="13">
        <f t="shared" si="5"/>
        <v>1.2847500311677795</v>
      </c>
    </row>
    <row r="134" spans="1:9" x14ac:dyDescent="0.3">
      <c r="A134" s="4">
        <v>1889</v>
      </c>
      <c r="G134" s="5">
        <f>'[2]Ordinary Experience'!$AC$292</f>
        <v>0.56266172004333914</v>
      </c>
      <c r="I134" s="13">
        <f t="shared" si="5"/>
        <v>1.3293639953069027</v>
      </c>
    </row>
    <row r="135" spans="1:9" x14ac:dyDescent="0.3">
      <c r="A135" s="4">
        <v>1888</v>
      </c>
      <c r="G135" s="5">
        <f>'[2]Ordinary Experience'!$AC$291</f>
        <v>0.55219031998307622</v>
      </c>
      <c r="I135" s="13">
        <f t="shared" si="5"/>
        <v>1.3072594723623985</v>
      </c>
    </row>
    <row r="136" spans="1:9" x14ac:dyDescent="0.3">
      <c r="A136" s="4">
        <v>1887</v>
      </c>
      <c r="G136" s="5">
        <f>'[2]Ordinary Experience'!$AC$290</f>
        <v>0.56266172004333914</v>
      </c>
      <c r="I136" s="13">
        <f t="shared" si="5"/>
        <v>1.3347405155330785</v>
      </c>
    </row>
    <row r="137" spans="1:9" x14ac:dyDescent="0.3">
      <c r="A137" s="4">
        <v>1886</v>
      </c>
      <c r="G137" s="5">
        <f>'[2]Ordinary Experience'!$AC$289</f>
        <v>0.50717437209807514</v>
      </c>
      <c r="I137" s="13">
        <f t="shared" si="5"/>
        <v>1.2055444830355373</v>
      </c>
    </row>
    <row r="138" spans="1:9" x14ac:dyDescent="0.3">
      <c r="A138" s="4">
        <v>1885</v>
      </c>
      <c r="G138" s="5">
        <f>'[2]Ordinary Experience'!$AC$288</f>
        <v>0.4936415081059598</v>
      </c>
      <c r="I138" s="13">
        <f t="shared" si="5"/>
        <v>1.1757475321684105</v>
      </c>
    </row>
    <row r="139" spans="1:9" x14ac:dyDescent="0.3">
      <c r="A139" s="4">
        <v>1884</v>
      </c>
      <c r="G139" s="5">
        <f>'[2]Ordinary Experience'!$AC$287</f>
        <v>0.55377090279660468</v>
      </c>
      <c r="I139" s="13">
        <f t="shared" si="5"/>
        <v>1.3216273080891134</v>
      </c>
    </row>
    <row r="140" spans="1:9" x14ac:dyDescent="0.3">
      <c r="A140" s="4">
        <v>1883</v>
      </c>
      <c r="G140" s="5">
        <f>'[2]Ordinary Experience'!$AC$286</f>
        <v>0.58750736844143703</v>
      </c>
      <c r="I140" s="13">
        <f t="shared" si="5"/>
        <v>1.4049751881403623</v>
      </c>
    </row>
    <row r="141" spans="1:9" x14ac:dyDescent="0.3">
      <c r="A141" s="4">
        <v>1882</v>
      </c>
      <c r="G141" s="5">
        <f>'[2]Ordinary Experience'!$AC$285</f>
        <v>0.60012468834375665</v>
      </c>
      <c r="I141" s="13">
        <f t="shared" si="5"/>
        <v>1.4380477137376471</v>
      </c>
    </row>
    <row r="142" spans="1:9" x14ac:dyDescent="0.3">
      <c r="A142" s="4">
        <v>1881</v>
      </c>
      <c r="G142" s="5">
        <f>'[2]Ordinary Experience'!$AC$284</f>
        <v>0.54530345779971456</v>
      </c>
      <c r="I142" s="13">
        <f t="shared" si="5"/>
        <v>1.3093221646228652</v>
      </c>
    </row>
    <row r="143" spans="1:9" x14ac:dyDescent="0.3">
      <c r="A143" s="4">
        <v>1880</v>
      </c>
      <c r="G143" s="5">
        <f>'[2]Ordinary Experience'!$AC$283</f>
        <v>0.52159461180842259</v>
      </c>
      <c r="I143" s="13">
        <f t="shared" si="5"/>
        <v>1.2549251708779647</v>
      </c>
    </row>
    <row r="144" spans="1:9" x14ac:dyDescent="0.3">
      <c r="A144" s="4">
        <v>1879</v>
      </c>
      <c r="G144" s="5">
        <f>'[2]Ordinary Experience'!$AC$282</f>
        <v>0.49534553231806366</v>
      </c>
      <c r="I144" s="13">
        <f t="shared" si="5"/>
        <v>1.1941790556356036</v>
      </c>
    </row>
    <row r="145" spans="1:9" x14ac:dyDescent="0.3">
      <c r="A145" s="4">
        <v>1878</v>
      </c>
      <c r="G145" s="5">
        <f>'[2]Ordinary Experience'!$AC$281</f>
        <v>0.45978226333112582</v>
      </c>
      <c r="I145" s="13">
        <f t="shared" si="5"/>
        <v>1.1106823721614458</v>
      </c>
    </row>
    <row r="146" spans="1:9" x14ac:dyDescent="0.3">
      <c r="A146" s="4">
        <v>1877</v>
      </c>
      <c r="G146" s="5">
        <f>'[2]Ordinary Experience'!$AC$280</f>
        <v>0.4386723318956442</v>
      </c>
      <c r="I146" s="13">
        <f t="shared" si="5"/>
        <v>1.0618284914359781</v>
      </c>
    </row>
    <row r="147" spans="1:9" x14ac:dyDescent="0.3">
      <c r="A147" s="4">
        <v>1876</v>
      </c>
      <c r="G147" s="5">
        <f>'[2]Ordinary Experience'!$AC$279</f>
        <v>0.44239976145591559</v>
      </c>
      <c r="I147" s="13">
        <f t="shared" si="5"/>
        <v>1.0730142284877389</v>
      </c>
    </row>
    <row r="148" spans="1:9" x14ac:dyDescent="0.3">
      <c r="A148" s="4">
        <v>1875</v>
      </c>
      <c r="G148" s="5">
        <f>'[2]Ordinary Experience'!$AC$278</f>
        <v>0.48802026906808693</v>
      </c>
      <c r="I148" s="13">
        <f t="shared" si="5"/>
        <v>1.1860552561803743</v>
      </c>
    </row>
    <row r="149" spans="1:9" x14ac:dyDescent="0.3">
      <c r="A149" s="4">
        <v>1874</v>
      </c>
      <c r="G149" s="5">
        <f>'[2]Ordinary Experience'!$AC$277</f>
        <v>0.47248343082646072</v>
      </c>
      <c r="I149" s="13">
        <f t="shared" si="5"/>
        <v>1.1506152117209272</v>
      </c>
    </row>
    <row r="150" spans="1:9" x14ac:dyDescent="0.3">
      <c r="A150" s="4">
        <v>1873</v>
      </c>
      <c r="G150" s="5">
        <f>'[2]Ordinary Experience'!$AC$276</f>
        <v>0.46054828102276629</v>
      </c>
      <c r="I150" s="13">
        <f t="shared" si="5"/>
        <v>1.1238158669456655</v>
      </c>
    </row>
    <row r="151" spans="1:9" x14ac:dyDescent="0.3">
      <c r="A151" s="4">
        <v>1872</v>
      </c>
      <c r="G151" s="5">
        <f>'[2]Ordinary Experience'!$AC$275</f>
        <v>0.39675145620532731</v>
      </c>
      <c r="I151" s="13">
        <f t="shared" si="5"/>
        <v>0.97009661458950069</v>
      </c>
    </row>
    <row r="152" spans="1:9" x14ac:dyDescent="0.3">
      <c r="A152" s="4">
        <v>1871</v>
      </c>
      <c r="G152" s="5">
        <f>'[2]Ordinary Experience'!$AC$274</f>
        <v>0.37390765970649437</v>
      </c>
      <c r="I152" s="13">
        <f t="shared" si="5"/>
        <v>0.9160881961876941</v>
      </c>
    </row>
    <row r="153" spans="1:9" x14ac:dyDescent="0.3">
      <c r="A153" s="4">
        <v>1870</v>
      </c>
      <c r="G153" s="5">
        <f>'[2]Ordinary Experience'!$AC$273</f>
        <v>0.39099813710286946</v>
      </c>
      <c r="I153" s="13">
        <f t="shared" si="5"/>
        <v>0.95989577295922224</v>
      </c>
    </row>
    <row r="154" spans="1:9" x14ac:dyDescent="0.3">
      <c r="A154" s="4">
        <v>1869</v>
      </c>
      <c r="G154" s="5">
        <f>'[2]Ordinary Experience'!$AC$272</f>
        <v>0.42210213309496547</v>
      </c>
      <c r="I154" s="13">
        <f t="shared" si="5"/>
        <v>1.0383491304693979</v>
      </c>
    </row>
    <row r="155" spans="1:9" x14ac:dyDescent="0.3">
      <c r="A155" s="4">
        <v>1868</v>
      </c>
      <c r="G155" s="5">
        <f>'[2]Ordinary Experience'!$AC$271</f>
        <v>0.42143662771171808</v>
      </c>
      <c r="I155" s="13">
        <f t="shared" si="5"/>
        <v>1.0388063614682597</v>
      </c>
    </row>
    <row r="156" spans="1:9" x14ac:dyDescent="0.3">
      <c r="A156" s="4">
        <v>1867</v>
      </c>
      <c r="G156" s="5">
        <f>'[2]Ordinary Experience'!$AC$270</f>
        <v>0.44219501759238933</v>
      </c>
      <c r="I156" s="13">
        <f t="shared" si="5"/>
        <v>1.0921760102237688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B582-5957-4AF8-9C79-405E12E5F18A}">
  <dimension ref="A1:M124"/>
  <sheetViews>
    <sheetView workbookViewId="0">
      <selection sqref="A1:XFD1"/>
    </sheetView>
  </sheetViews>
  <sheetFormatPr defaultRowHeight="14.4" x14ac:dyDescent="0.3"/>
  <cols>
    <col min="1" max="16384" width="8.88671875" style="4"/>
  </cols>
  <sheetData>
    <row r="1" spans="1:13" x14ac:dyDescent="0.3">
      <c r="A1" t="s">
        <v>21</v>
      </c>
      <c r="B1" t="s">
        <v>22</v>
      </c>
      <c r="C1"/>
      <c r="D1"/>
      <c r="E1"/>
      <c r="F1"/>
      <c r="G1"/>
      <c r="H1"/>
      <c r="I1"/>
      <c r="J1"/>
      <c r="K1"/>
      <c r="L1"/>
      <c r="M1"/>
    </row>
    <row r="2" spans="1:13" x14ac:dyDescent="0.3">
      <c r="A2" t="s">
        <v>23</v>
      </c>
      <c r="B2"/>
      <c r="C2"/>
      <c r="D2"/>
      <c r="E2"/>
      <c r="F2"/>
      <c r="G2"/>
      <c r="H2"/>
      <c r="I2"/>
      <c r="J2"/>
      <c r="K2"/>
      <c r="L2"/>
      <c r="M2"/>
    </row>
    <row r="3" spans="1:13" x14ac:dyDescent="0.3">
      <c r="A3" t="s">
        <v>24</v>
      </c>
      <c r="B3" t="s">
        <v>25</v>
      </c>
      <c r="C3"/>
      <c r="D3"/>
      <c r="E3"/>
      <c r="F3"/>
      <c r="G3"/>
      <c r="H3"/>
      <c r="I3"/>
      <c r="J3"/>
      <c r="K3"/>
      <c r="L3"/>
      <c r="M3"/>
    </row>
    <row r="4" spans="1:13" x14ac:dyDescent="0.3">
      <c r="A4" t="s">
        <v>26</v>
      </c>
      <c r="B4" t="s">
        <v>27</v>
      </c>
      <c r="C4"/>
      <c r="D4"/>
      <c r="E4"/>
      <c r="F4"/>
      <c r="G4"/>
      <c r="H4"/>
      <c r="I4"/>
      <c r="J4"/>
      <c r="K4"/>
      <c r="L4"/>
      <c r="M4"/>
    </row>
    <row r="5" spans="1:13" x14ac:dyDescent="0.3">
      <c r="A5" t="s">
        <v>28</v>
      </c>
      <c r="B5" t="s">
        <v>29</v>
      </c>
      <c r="C5"/>
      <c r="D5"/>
      <c r="E5"/>
      <c r="F5"/>
      <c r="G5"/>
      <c r="H5"/>
      <c r="I5"/>
      <c r="J5"/>
      <c r="K5"/>
      <c r="L5"/>
      <c r="M5"/>
    </row>
    <row r="6" spans="1:13" x14ac:dyDescent="0.3">
      <c r="A6" t="s">
        <v>30</v>
      </c>
      <c r="B6">
        <v>198200</v>
      </c>
      <c r="C6"/>
      <c r="D6"/>
      <c r="E6"/>
      <c r="F6"/>
      <c r="G6"/>
      <c r="H6"/>
      <c r="I6"/>
      <c r="J6"/>
      <c r="K6"/>
      <c r="L6"/>
      <c r="M6"/>
    </row>
    <row r="7" spans="1:13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3">
      <c r="A8" t="s">
        <v>31</v>
      </c>
      <c r="B8"/>
      <c r="C8"/>
      <c r="D8"/>
      <c r="E8"/>
      <c r="F8"/>
      <c r="G8"/>
      <c r="H8"/>
      <c r="I8"/>
      <c r="J8"/>
      <c r="K8"/>
      <c r="L8"/>
      <c r="M8"/>
    </row>
    <row r="9" spans="1:13" x14ac:dyDescent="0.3">
      <c r="A9" t="s">
        <v>32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</row>
    <row r="10" spans="1:13" x14ac:dyDescent="0.3">
      <c r="A10">
        <v>1980</v>
      </c>
      <c r="B10"/>
      <c r="C10"/>
      <c r="D10"/>
      <c r="E10"/>
      <c r="F10"/>
      <c r="G10"/>
      <c r="H10"/>
      <c r="I10"/>
      <c r="J10"/>
      <c r="K10"/>
      <c r="L10"/>
      <c r="M10">
        <v>82.8</v>
      </c>
    </row>
    <row r="11" spans="1:13" x14ac:dyDescent="0.3">
      <c r="A11">
        <v>1981</v>
      </c>
      <c r="B11">
        <v>87</v>
      </c>
      <c r="C11">
        <v>87.9</v>
      </c>
      <c r="D11">
        <v>87.9</v>
      </c>
      <c r="E11">
        <v>88.5</v>
      </c>
      <c r="F11">
        <v>89.3</v>
      </c>
      <c r="G11">
        <v>88.8</v>
      </c>
      <c r="H11">
        <v>89.4</v>
      </c>
      <c r="I11">
        <v>89.6</v>
      </c>
      <c r="J11">
        <v>90.4</v>
      </c>
      <c r="K11">
        <v>90.8</v>
      </c>
      <c r="L11">
        <v>91.1</v>
      </c>
      <c r="M11">
        <v>91</v>
      </c>
    </row>
    <row r="12" spans="1:13" x14ac:dyDescent="0.3">
      <c r="A12">
        <v>1982</v>
      </c>
      <c r="B12">
        <v>96.5</v>
      </c>
      <c r="C12">
        <v>98.2</v>
      </c>
      <c r="D12">
        <v>98.7</v>
      </c>
      <c r="E12">
        <v>99.8</v>
      </c>
      <c r="F12">
        <v>100.1</v>
      </c>
      <c r="G12">
        <v>100.1</v>
      </c>
      <c r="H12">
        <v>100.2</v>
      </c>
      <c r="I12">
        <v>100.5</v>
      </c>
      <c r="J12">
        <v>100.6</v>
      </c>
      <c r="K12">
        <v>101.7</v>
      </c>
      <c r="L12">
        <v>101.8</v>
      </c>
      <c r="M12">
        <v>102</v>
      </c>
    </row>
    <row r="13" spans="1:13" x14ac:dyDescent="0.3">
      <c r="A13">
        <v>1983</v>
      </c>
      <c r="B13">
        <v>105.4</v>
      </c>
      <c r="C13">
        <v>106.4</v>
      </c>
      <c r="D13">
        <v>106.6</v>
      </c>
      <c r="E13">
        <v>107.4</v>
      </c>
      <c r="F13">
        <v>107.3</v>
      </c>
      <c r="G13">
        <v>107.8</v>
      </c>
      <c r="H13">
        <v>108.4</v>
      </c>
      <c r="I13">
        <v>108.5</v>
      </c>
      <c r="J13">
        <v>108.5</v>
      </c>
      <c r="K13">
        <v>110.5</v>
      </c>
      <c r="L13">
        <v>110.4</v>
      </c>
      <c r="M13">
        <v>110.6</v>
      </c>
    </row>
    <row r="14" spans="1:13" x14ac:dyDescent="0.3">
      <c r="A14">
        <v>1984</v>
      </c>
      <c r="B14">
        <v>114.7</v>
      </c>
      <c r="C14">
        <v>115</v>
      </c>
      <c r="D14">
        <v>116.1</v>
      </c>
      <c r="E14">
        <v>116.1</v>
      </c>
      <c r="F14">
        <v>116.7</v>
      </c>
      <c r="G14">
        <v>117.5</v>
      </c>
      <c r="H14">
        <v>117.7</v>
      </c>
      <c r="I14">
        <v>117.8</v>
      </c>
      <c r="J14">
        <v>118.3</v>
      </c>
      <c r="K14">
        <v>118.7</v>
      </c>
      <c r="L14">
        <v>118.9</v>
      </c>
      <c r="M14">
        <v>119</v>
      </c>
    </row>
    <row r="15" spans="1:13" x14ac:dyDescent="0.3">
      <c r="A15">
        <v>1985</v>
      </c>
      <c r="B15">
        <v>123.2</v>
      </c>
      <c r="C15">
        <v>124.8</v>
      </c>
      <c r="D15">
        <v>126.2</v>
      </c>
      <c r="E15">
        <v>126.4</v>
      </c>
      <c r="F15">
        <v>126.4</v>
      </c>
      <c r="G15">
        <v>126.5</v>
      </c>
      <c r="H15">
        <v>126.6</v>
      </c>
      <c r="I15">
        <v>127.4</v>
      </c>
      <c r="J15">
        <v>128.4</v>
      </c>
      <c r="K15">
        <v>129.69999999999999</v>
      </c>
      <c r="L15">
        <v>130.19999999999999</v>
      </c>
      <c r="M15">
        <v>130.1</v>
      </c>
    </row>
    <row r="16" spans="1:13" x14ac:dyDescent="0.3">
      <c r="A16">
        <v>1986</v>
      </c>
      <c r="B16">
        <v>135.69999999999999</v>
      </c>
      <c r="C16">
        <v>136.9</v>
      </c>
      <c r="D16">
        <v>137</v>
      </c>
      <c r="E16">
        <v>137</v>
      </c>
      <c r="F16">
        <v>137</v>
      </c>
      <c r="G16">
        <v>137.4</v>
      </c>
      <c r="H16">
        <v>137.5</v>
      </c>
      <c r="I16">
        <v>137.69999999999999</v>
      </c>
      <c r="J16">
        <v>138.1</v>
      </c>
      <c r="K16">
        <v>138.69999999999999</v>
      </c>
      <c r="L16">
        <v>138.80000000000001</v>
      </c>
      <c r="M16">
        <v>138.9</v>
      </c>
    </row>
    <row r="17" spans="1:13" x14ac:dyDescent="0.3">
      <c r="A17">
        <v>1987</v>
      </c>
      <c r="B17">
        <v>143</v>
      </c>
      <c r="C17">
        <v>143.6</v>
      </c>
      <c r="D17">
        <v>144</v>
      </c>
      <c r="E17">
        <v>144.1</v>
      </c>
      <c r="F17">
        <v>144</v>
      </c>
      <c r="G17">
        <v>144</v>
      </c>
      <c r="H17">
        <v>144</v>
      </c>
      <c r="I17">
        <v>144.30000000000001</v>
      </c>
      <c r="J17">
        <v>145.19999999999999</v>
      </c>
      <c r="K17">
        <v>146.1</v>
      </c>
      <c r="L17">
        <v>146.30000000000001</v>
      </c>
      <c r="M17">
        <v>146.5</v>
      </c>
    </row>
    <row r="18" spans="1:13" x14ac:dyDescent="0.3">
      <c r="A18">
        <v>1988</v>
      </c>
      <c r="B18">
        <v>151.19999999999999</v>
      </c>
      <c r="C18">
        <v>152.80000000000001</v>
      </c>
      <c r="D18">
        <v>153.1</v>
      </c>
      <c r="E18">
        <v>153.5</v>
      </c>
      <c r="F18">
        <v>153.9</v>
      </c>
      <c r="G18">
        <v>154</v>
      </c>
      <c r="H18">
        <v>154.6</v>
      </c>
      <c r="I18">
        <v>154.69999999999999</v>
      </c>
      <c r="J18">
        <v>155</v>
      </c>
      <c r="K18">
        <v>155.9</v>
      </c>
      <c r="L18">
        <v>156.1</v>
      </c>
      <c r="M18">
        <v>156.19999999999999</v>
      </c>
    </row>
    <row r="19" spans="1:13" x14ac:dyDescent="0.3">
      <c r="A19">
        <v>1989</v>
      </c>
      <c r="B19">
        <v>162</v>
      </c>
      <c r="C19">
        <v>163.5</v>
      </c>
      <c r="D19">
        <v>163.6</v>
      </c>
      <c r="E19">
        <v>163.9</v>
      </c>
      <c r="F19">
        <v>163.9</v>
      </c>
      <c r="G19">
        <v>164.2</v>
      </c>
      <c r="H19">
        <v>164.4</v>
      </c>
      <c r="I19">
        <v>165.2</v>
      </c>
      <c r="J19">
        <v>166.8</v>
      </c>
      <c r="K19">
        <v>167.4</v>
      </c>
      <c r="L19">
        <v>168.2</v>
      </c>
      <c r="M19">
        <v>168.3</v>
      </c>
    </row>
    <row r="20" spans="1:13" x14ac:dyDescent="0.3">
      <c r="A20">
        <v>1990</v>
      </c>
      <c r="B20">
        <v>175.4</v>
      </c>
      <c r="C20">
        <v>176.9</v>
      </c>
      <c r="D20">
        <v>177.7</v>
      </c>
      <c r="E20">
        <v>177.3</v>
      </c>
      <c r="F20">
        <v>177.3</v>
      </c>
      <c r="G20">
        <v>177.3</v>
      </c>
      <c r="H20">
        <v>176.7</v>
      </c>
      <c r="I20">
        <v>176.9</v>
      </c>
      <c r="J20">
        <v>178.3</v>
      </c>
      <c r="K20">
        <v>178.5</v>
      </c>
      <c r="L20">
        <v>178.7</v>
      </c>
      <c r="M20">
        <v>179.7</v>
      </c>
    </row>
    <row r="21" spans="1:13" x14ac:dyDescent="0.3">
      <c r="A21">
        <v>1991</v>
      </c>
      <c r="B21">
        <v>190.6</v>
      </c>
      <c r="C21">
        <v>191.5</v>
      </c>
      <c r="D21">
        <v>192.1</v>
      </c>
      <c r="E21">
        <v>192.5</v>
      </c>
      <c r="F21">
        <v>191.7</v>
      </c>
      <c r="G21">
        <v>191.9</v>
      </c>
      <c r="H21">
        <v>190.5</v>
      </c>
      <c r="I21">
        <v>191.5</v>
      </c>
      <c r="J21">
        <v>191.4</v>
      </c>
      <c r="K21">
        <v>191.9</v>
      </c>
      <c r="L21">
        <v>192.3</v>
      </c>
      <c r="M21">
        <v>192.8</v>
      </c>
    </row>
    <row r="22" spans="1:13" x14ac:dyDescent="0.3">
      <c r="A22">
        <v>1992</v>
      </c>
      <c r="B22">
        <v>203.3</v>
      </c>
      <c r="C22">
        <v>202.1</v>
      </c>
      <c r="D22">
        <v>203.5</v>
      </c>
      <c r="E22">
        <v>202.2</v>
      </c>
      <c r="F22">
        <v>202.3</v>
      </c>
      <c r="G22">
        <v>202.7</v>
      </c>
      <c r="H22">
        <v>202.5</v>
      </c>
      <c r="I22">
        <v>202.8</v>
      </c>
      <c r="J22">
        <v>202.9</v>
      </c>
      <c r="K22">
        <v>204.1</v>
      </c>
      <c r="L22">
        <v>203</v>
      </c>
      <c r="M22">
        <v>205.1</v>
      </c>
    </row>
    <row r="23" spans="1:13" x14ac:dyDescent="0.3">
      <c r="A23">
        <v>1993</v>
      </c>
      <c r="B23">
        <v>210.7</v>
      </c>
      <c r="C23">
        <v>208.3</v>
      </c>
      <c r="D23">
        <v>208.4</v>
      </c>
      <c r="E23">
        <v>204.5</v>
      </c>
      <c r="F23">
        <v>205.7</v>
      </c>
      <c r="G23">
        <v>203.2</v>
      </c>
      <c r="H23">
        <v>205.1</v>
      </c>
      <c r="I23">
        <v>207.8</v>
      </c>
      <c r="J23">
        <v>205.8</v>
      </c>
      <c r="K23">
        <v>212.3</v>
      </c>
      <c r="L23">
        <v>209</v>
      </c>
      <c r="M23">
        <v>212.4</v>
      </c>
    </row>
    <row r="24" spans="1:13" x14ac:dyDescent="0.3">
      <c r="A24">
        <v>1994</v>
      </c>
      <c r="B24">
        <v>215.6</v>
      </c>
      <c r="C24">
        <v>212.6</v>
      </c>
      <c r="D24">
        <v>212.3</v>
      </c>
      <c r="E24">
        <v>210</v>
      </c>
      <c r="F24">
        <v>212.3</v>
      </c>
      <c r="G24">
        <v>207.5</v>
      </c>
      <c r="H24">
        <v>209.4</v>
      </c>
      <c r="I24">
        <v>206.3</v>
      </c>
      <c r="J24">
        <v>210.5</v>
      </c>
      <c r="K24">
        <v>210.5</v>
      </c>
      <c r="L24">
        <v>210.7</v>
      </c>
      <c r="M24">
        <v>213.8</v>
      </c>
    </row>
    <row r="25" spans="1:13" x14ac:dyDescent="0.3">
      <c r="A25">
        <v>1995</v>
      </c>
      <c r="B25">
        <v>215.6</v>
      </c>
      <c r="C25">
        <v>216.1</v>
      </c>
      <c r="D25">
        <v>215.1</v>
      </c>
      <c r="E25">
        <v>218.6</v>
      </c>
      <c r="F25">
        <v>217.4</v>
      </c>
      <c r="G25">
        <v>216.4</v>
      </c>
      <c r="H25">
        <v>219.1</v>
      </c>
      <c r="I25">
        <v>220.1</v>
      </c>
      <c r="J25">
        <v>215</v>
      </c>
      <c r="K25">
        <v>217.3</v>
      </c>
      <c r="L25">
        <v>221.7</v>
      </c>
      <c r="M25">
        <v>219.4</v>
      </c>
    </row>
    <row r="26" spans="1:13" x14ac:dyDescent="0.3">
      <c r="A26">
        <v>1996</v>
      </c>
      <c r="B26">
        <v>224.3</v>
      </c>
      <c r="C26">
        <v>217.5</v>
      </c>
      <c r="D26">
        <v>218.4</v>
      </c>
      <c r="E26">
        <v>220.9</v>
      </c>
      <c r="F26">
        <v>221.2</v>
      </c>
      <c r="G26">
        <v>222.3</v>
      </c>
      <c r="H26">
        <v>215.9</v>
      </c>
      <c r="I26">
        <v>220.4</v>
      </c>
      <c r="J26">
        <v>228</v>
      </c>
      <c r="K26">
        <v>221.9</v>
      </c>
      <c r="L26">
        <v>227.4</v>
      </c>
      <c r="M26">
        <v>229.7</v>
      </c>
    </row>
    <row r="27" spans="1:13" x14ac:dyDescent="0.3">
      <c r="A27">
        <v>1997</v>
      </c>
      <c r="B27">
        <v>229.5</v>
      </c>
      <c r="C27">
        <v>228.9</v>
      </c>
      <c r="D27">
        <v>229</v>
      </c>
      <c r="E27">
        <v>233.2</v>
      </c>
      <c r="F27">
        <v>231.9</v>
      </c>
      <c r="G27">
        <v>231.9</v>
      </c>
      <c r="H27">
        <v>228.4</v>
      </c>
      <c r="I27">
        <v>229.1</v>
      </c>
      <c r="J27">
        <v>231.5</v>
      </c>
      <c r="K27">
        <v>230.4</v>
      </c>
      <c r="L27">
        <v>231.1</v>
      </c>
      <c r="M27">
        <v>236.3</v>
      </c>
    </row>
    <row r="28" spans="1:13" x14ac:dyDescent="0.3">
      <c r="A28">
        <v>1998</v>
      </c>
      <c r="B28">
        <v>248.4</v>
      </c>
      <c r="C28">
        <v>244.5</v>
      </c>
      <c r="D28">
        <v>239.6</v>
      </c>
      <c r="E28">
        <v>249.1</v>
      </c>
      <c r="F28">
        <v>252</v>
      </c>
      <c r="G28">
        <v>247.9</v>
      </c>
      <c r="H28">
        <v>243.3</v>
      </c>
      <c r="I28">
        <v>243.5</v>
      </c>
      <c r="J28">
        <v>244.2</v>
      </c>
      <c r="K28">
        <v>246</v>
      </c>
      <c r="L28">
        <v>241.9</v>
      </c>
      <c r="M28">
        <v>243.3</v>
      </c>
    </row>
    <row r="29" spans="1:13" x14ac:dyDescent="0.3">
      <c r="A29">
        <v>1999</v>
      </c>
      <c r="B29">
        <v>251.3</v>
      </c>
      <c r="C29">
        <v>252.9</v>
      </c>
      <c r="D29">
        <v>255.8</v>
      </c>
      <c r="E29">
        <v>256.2</v>
      </c>
      <c r="F29">
        <v>256.39999999999998</v>
      </c>
      <c r="G29">
        <v>253.6</v>
      </c>
      <c r="H29">
        <v>253.6</v>
      </c>
      <c r="I29">
        <v>254.8</v>
      </c>
      <c r="J29">
        <v>254.4</v>
      </c>
      <c r="K29">
        <v>255.7</v>
      </c>
      <c r="L29">
        <v>255.4</v>
      </c>
      <c r="M29">
        <v>257.2</v>
      </c>
    </row>
    <row r="30" spans="1:13" x14ac:dyDescent="0.3">
      <c r="A30">
        <v>2000</v>
      </c>
      <c r="B30">
        <v>262.60000000000002</v>
      </c>
      <c r="C30">
        <v>265.8</v>
      </c>
      <c r="D30">
        <v>264</v>
      </c>
      <c r="E30">
        <v>264.89999999999998</v>
      </c>
      <c r="F30">
        <v>261.2</v>
      </c>
      <c r="G30">
        <v>265.5</v>
      </c>
      <c r="H30">
        <v>264.10000000000002</v>
      </c>
      <c r="I30">
        <v>264.60000000000002</v>
      </c>
      <c r="J30">
        <v>264.3</v>
      </c>
      <c r="K30">
        <v>265.8</v>
      </c>
      <c r="L30">
        <v>267.8</v>
      </c>
      <c r="M30">
        <v>267.39999999999998</v>
      </c>
    </row>
    <row r="31" spans="1:13" x14ac:dyDescent="0.3">
      <c r="A31">
        <v>2001</v>
      </c>
      <c r="B31">
        <v>286.8</v>
      </c>
      <c r="C31">
        <v>287.39999999999998</v>
      </c>
      <c r="D31">
        <v>287.2</v>
      </c>
      <c r="E31">
        <v>286.39999999999998</v>
      </c>
      <c r="F31">
        <v>286.8</v>
      </c>
      <c r="G31">
        <v>287</v>
      </c>
      <c r="H31">
        <v>287.3</v>
      </c>
      <c r="I31">
        <v>287.89999999999998</v>
      </c>
      <c r="J31">
        <v>287.8</v>
      </c>
      <c r="K31">
        <v>287.8</v>
      </c>
      <c r="L31">
        <v>287.10000000000002</v>
      </c>
      <c r="M31">
        <v>291.8</v>
      </c>
    </row>
    <row r="32" spans="1:13" x14ac:dyDescent="0.3">
      <c r="A32">
        <v>2002</v>
      </c>
      <c r="B32">
        <v>300.8</v>
      </c>
      <c r="C32">
        <v>302.89999999999998</v>
      </c>
      <c r="D32">
        <v>301.8</v>
      </c>
      <c r="E32">
        <v>304.89999999999998</v>
      </c>
      <c r="F32">
        <v>303.60000000000002</v>
      </c>
      <c r="G32">
        <v>304.39999999999998</v>
      </c>
      <c r="H32">
        <v>305.39999999999998</v>
      </c>
      <c r="I32">
        <v>303.5</v>
      </c>
      <c r="J32">
        <v>304.7</v>
      </c>
      <c r="K32">
        <v>305</v>
      </c>
      <c r="L32">
        <v>305.7</v>
      </c>
      <c r="M32">
        <v>305.60000000000002</v>
      </c>
    </row>
    <row r="33" spans="1:13" x14ac:dyDescent="0.3">
      <c r="A33">
        <v>2003</v>
      </c>
      <c r="B33">
        <v>314.60000000000002</v>
      </c>
      <c r="C33">
        <v>315.5</v>
      </c>
      <c r="D33">
        <v>315.10000000000002</v>
      </c>
      <c r="E33">
        <v>314.8</v>
      </c>
      <c r="F33">
        <v>316.10000000000002</v>
      </c>
      <c r="G33">
        <v>315.3</v>
      </c>
      <c r="H33">
        <v>316.10000000000002</v>
      </c>
      <c r="I33">
        <v>316.10000000000002</v>
      </c>
      <c r="J33">
        <v>313.5</v>
      </c>
      <c r="K33">
        <v>313.2</v>
      </c>
      <c r="L33">
        <v>312</v>
      </c>
      <c r="M33">
        <v>314.60000000000002</v>
      </c>
    </row>
    <row r="34" spans="1:13" x14ac:dyDescent="0.3">
      <c r="A34">
        <v>2004</v>
      </c>
      <c r="B34">
        <v>324.2</v>
      </c>
      <c r="C34">
        <v>324.8</v>
      </c>
      <c r="D34">
        <v>324.5</v>
      </c>
      <c r="E34">
        <v>326.3</v>
      </c>
      <c r="F34">
        <v>323.2</v>
      </c>
      <c r="G34">
        <v>322.5</v>
      </c>
      <c r="H34">
        <v>326.89999999999998</v>
      </c>
      <c r="I34">
        <v>324.10000000000002</v>
      </c>
      <c r="J34">
        <v>326.2</v>
      </c>
      <c r="K34">
        <v>322.60000000000002</v>
      </c>
      <c r="L34">
        <v>326.7</v>
      </c>
      <c r="M34">
        <v>325.3</v>
      </c>
    </row>
    <row r="35" spans="1:13" x14ac:dyDescent="0.3">
      <c r="A35">
        <v>2005</v>
      </c>
      <c r="B35">
        <v>335.8</v>
      </c>
      <c r="C35">
        <v>337.1</v>
      </c>
      <c r="D35">
        <v>335.9</v>
      </c>
      <c r="E35">
        <v>337.4</v>
      </c>
      <c r="F35">
        <v>336.4</v>
      </c>
      <c r="G35">
        <v>338.7</v>
      </c>
      <c r="H35">
        <v>340.6</v>
      </c>
      <c r="I35">
        <v>340</v>
      </c>
      <c r="J35">
        <v>340.7</v>
      </c>
      <c r="K35">
        <v>338.8</v>
      </c>
      <c r="L35">
        <v>341.7</v>
      </c>
      <c r="M35">
        <v>338</v>
      </c>
    </row>
    <row r="36" spans="1:13" x14ac:dyDescent="0.3">
      <c r="A36">
        <v>2006</v>
      </c>
      <c r="B36">
        <v>339.3</v>
      </c>
      <c r="C36">
        <v>342.6</v>
      </c>
      <c r="D36">
        <v>343.6</v>
      </c>
      <c r="E36">
        <v>346.2</v>
      </c>
      <c r="F36">
        <v>347.4</v>
      </c>
      <c r="G36">
        <v>347.5</v>
      </c>
      <c r="H36">
        <v>353.9</v>
      </c>
      <c r="I36">
        <v>351.3</v>
      </c>
      <c r="J36">
        <v>351.7</v>
      </c>
      <c r="K36">
        <v>351.7</v>
      </c>
      <c r="L36">
        <v>351.1</v>
      </c>
      <c r="M36">
        <v>351</v>
      </c>
    </row>
    <row r="37" spans="1:13" x14ac:dyDescent="0.3">
      <c r="A37">
        <v>2007</v>
      </c>
      <c r="B37">
        <v>365.9</v>
      </c>
      <c r="C37">
        <v>366</v>
      </c>
      <c r="D37">
        <v>366.5</v>
      </c>
      <c r="E37">
        <v>366.9</v>
      </c>
      <c r="F37">
        <v>367.2</v>
      </c>
      <c r="G37">
        <v>366.8</v>
      </c>
      <c r="H37">
        <v>367.1</v>
      </c>
      <c r="I37">
        <v>368</v>
      </c>
      <c r="J37">
        <v>366.3</v>
      </c>
      <c r="K37">
        <v>368.1</v>
      </c>
      <c r="L37">
        <v>365</v>
      </c>
      <c r="M37">
        <v>364.7</v>
      </c>
    </row>
    <row r="38" spans="1:13" x14ac:dyDescent="0.3">
      <c r="A38">
        <v>2008</v>
      </c>
      <c r="B38">
        <v>380.3</v>
      </c>
      <c r="C38">
        <v>383</v>
      </c>
      <c r="D38">
        <v>381.9</v>
      </c>
      <c r="E38">
        <v>381.9</v>
      </c>
      <c r="F38">
        <v>382.2</v>
      </c>
      <c r="G38">
        <v>379.6</v>
      </c>
      <c r="H38">
        <v>382.3</v>
      </c>
      <c r="I38">
        <v>383.6</v>
      </c>
      <c r="J38">
        <v>384</v>
      </c>
      <c r="K38">
        <v>379.4</v>
      </c>
      <c r="L38">
        <v>377</v>
      </c>
      <c r="M38">
        <v>376.8</v>
      </c>
    </row>
    <row r="39" spans="1:13" x14ac:dyDescent="0.3">
      <c r="A39">
        <v>2009</v>
      </c>
      <c r="B39">
        <v>394.2</v>
      </c>
      <c r="C39">
        <v>391.1</v>
      </c>
      <c r="D39">
        <v>391.3</v>
      </c>
      <c r="E39">
        <v>391.7</v>
      </c>
      <c r="F39">
        <v>386.6</v>
      </c>
      <c r="G39">
        <v>389.3</v>
      </c>
      <c r="H39">
        <v>391.3</v>
      </c>
      <c r="I39">
        <v>391.3</v>
      </c>
      <c r="J39">
        <v>378.6</v>
      </c>
      <c r="K39">
        <v>377.2</v>
      </c>
      <c r="L39">
        <v>379.4</v>
      </c>
      <c r="M39">
        <v>378.1</v>
      </c>
    </row>
    <row r="40" spans="1:13" x14ac:dyDescent="0.3">
      <c r="A40">
        <v>2010</v>
      </c>
      <c r="B40">
        <v>388.1</v>
      </c>
      <c r="C40">
        <v>387.6</v>
      </c>
      <c r="D40">
        <v>389.8</v>
      </c>
      <c r="E40">
        <v>391.1</v>
      </c>
      <c r="F40">
        <v>391.6</v>
      </c>
      <c r="G40">
        <v>389.7</v>
      </c>
      <c r="H40">
        <v>390.5</v>
      </c>
      <c r="I40">
        <v>387.8</v>
      </c>
      <c r="J40">
        <v>387.2</v>
      </c>
      <c r="K40">
        <v>388</v>
      </c>
      <c r="L40">
        <v>385.6</v>
      </c>
      <c r="M40">
        <v>385.2</v>
      </c>
    </row>
    <row r="41" spans="1:13" x14ac:dyDescent="0.3">
      <c r="A41">
        <v>2011</v>
      </c>
      <c r="B41">
        <v>398.2</v>
      </c>
      <c r="C41">
        <v>397.6</v>
      </c>
      <c r="D41">
        <v>398.8</v>
      </c>
      <c r="E41">
        <v>399.7</v>
      </c>
      <c r="F41">
        <v>399.7</v>
      </c>
      <c r="G41">
        <v>398.3</v>
      </c>
      <c r="H41">
        <v>399.9</v>
      </c>
      <c r="I41">
        <v>399.2</v>
      </c>
      <c r="J41">
        <v>397</v>
      </c>
      <c r="K41">
        <v>396.4</v>
      </c>
      <c r="L41">
        <v>396</v>
      </c>
      <c r="M41">
        <v>393.9</v>
      </c>
    </row>
    <row r="42" spans="1:13" x14ac:dyDescent="0.3">
      <c r="A42">
        <v>2012</v>
      </c>
      <c r="B42">
        <v>405</v>
      </c>
      <c r="C42">
        <v>404.6</v>
      </c>
      <c r="D42">
        <v>404.7</v>
      </c>
      <c r="E42">
        <v>406</v>
      </c>
      <c r="F42">
        <v>405.7</v>
      </c>
      <c r="G42">
        <v>406.1</v>
      </c>
      <c r="H42">
        <v>404.9</v>
      </c>
      <c r="I42">
        <v>404.8</v>
      </c>
      <c r="J42">
        <v>406.3</v>
      </c>
      <c r="K42">
        <v>403.6</v>
      </c>
      <c r="L42">
        <v>402.7</v>
      </c>
      <c r="M42">
        <v>401.4</v>
      </c>
    </row>
    <row r="43" spans="1:13" x14ac:dyDescent="0.3">
      <c r="A43">
        <v>2013</v>
      </c>
      <c r="B43">
        <v>414.7</v>
      </c>
      <c r="C43">
        <v>415.1</v>
      </c>
      <c r="D43">
        <v>415.3</v>
      </c>
      <c r="E43">
        <v>415.4</v>
      </c>
      <c r="F43">
        <v>414.7</v>
      </c>
      <c r="G43">
        <v>414.3</v>
      </c>
      <c r="H43">
        <v>415.4</v>
      </c>
      <c r="I43">
        <v>415.8</v>
      </c>
      <c r="J43">
        <v>415.2</v>
      </c>
      <c r="K43">
        <v>414.5</v>
      </c>
      <c r="L43">
        <v>414.5</v>
      </c>
      <c r="M43">
        <v>419.4</v>
      </c>
    </row>
    <row r="44" spans="1:13" x14ac:dyDescent="0.3">
      <c r="A44">
        <v>2014</v>
      </c>
      <c r="B44">
        <v>424.8</v>
      </c>
      <c r="C44">
        <v>424.9</v>
      </c>
      <c r="D44">
        <v>425.4</v>
      </c>
      <c r="E44">
        <v>426</v>
      </c>
      <c r="F44">
        <v>425.4</v>
      </c>
      <c r="G44">
        <v>425.6</v>
      </c>
      <c r="H44">
        <v>426.2</v>
      </c>
      <c r="I44">
        <v>426.3</v>
      </c>
      <c r="J44">
        <v>426.3</v>
      </c>
      <c r="K44">
        <v>426.3</v>
      </c>
      <c r="L44">
        <v>426.3</v>
      </c>
      <c r="M44">
        <v>426.3</v>
      </c>
    </row>
    <row r="45" spans="1:13" x14ac:dyDescent="0.3">
      <c r="A45">
        <v>2015</v>
      </c>
      <c r="B45">
        <v>428.2</v>
      </c>
      <c r="C45">
        <v>432</v>
      </c>
      <c r="D45">
        <v>431.2</v>
      </c>
      <c r="E45">
        <v>432.3</v>
      </c>
      <c r="F45">
        <v>430.9</v>
      </c>
      <c r="G45">
        <v>434.1</v>
      </c>
      <c r="H45">
        <v>432.9</v>
      </c>
      <c r="I45">
        <v>432.8</v>
      </c>
      <c r="J45">
        <v>433.2</v>
      </c>
      <c r="K45">
        <v>433.4</v>
      </c>
      <c r="L45">
        <v>432</v>
      </c>
      <c r="M45">
        <v>427.2</v>
      </c>
    </row>
    <row r="46" spans="1:13" x14ac:dyDescent="0.3">
      <c r="A46">
        <v>2016</v>
      </c>
      <c r="B46">
        <v>436.1</v>
      </c>
      <c r="C46">
        <v>435.2</v>
      </c>
      <c r="D46">
        <v>435.3</v>
      </c>
      <c r="E46">
        <v>436.8</v>
      </c>
      <c r="F46">
        <v>438</v>
      </c>
      <c r="G46">
        <v>437.5</v>
      </c>
      <c r="H46">
        <v>436.1</v>
      </c>
      <c r="I46">
        <v>435.9</v>
      </c>
      <c r="J46">
        <v>435.1</v>
      </c>
      <c r="K46">
        <v>436.1</v>
      </c>
      <c r="L46">
        <v>438.3</v>
      </c>
      <c r="M46">
        <v>438.8</v>
      </c>
    </row>
    <row r="47" spans="1:13" x14ac:dyDescent="0.3">
      <c r="A47">
        <v>2017</v>
      </c>
      <c r="B47">
        <v>444.5</v>
      </c>
      <c r="C47">
        <v>445.8</v>
      </c>
      <c r="D47">
        <v>447.1</v>
      </c>
      <c r="E47">
        <v>446.5</v>
      </c>
      <c r="F47">
        <v>444.5</v>
      </c>
      <c r="G47">
        <v>444.6</v>
      </c>
      <c r="H47">
        <v>449.6</v>
      </c>
      <c r="I47">
        <v>449.5</v>
      </c>
      <c r="J47">
        <v>446.8</v>
      </c>
      <c r="K47">
        <v>447.1</v>
      </c>
      <c r="L47">
        <v>447.9</v>
      </c>
      <c r="M47">
        <v>446.6</v>
      </c>
    </row>
    <row r="48" spans="1:13" x14ac:dyDescent="0.3">
      <c r="A48">
        <v>2018</v>
      </c>
      <c r="B48">
        <v>450.7</v>
      </c>
      <c r="C48">
        <v>446.3</v>
      </c>
      <c r="D48">
        <v>451.1</v>
      </c>
      <c r="E48">
        <v>452.9</v>
      </c>
      <c r="F48">
        <v>451</v>
      </c>
      <c r="G48">
        <v>449.4</v>
      </c>
      <c r="H48">
        <v>451.8</v>
      </c>
      <c r="I48">
        <v>456.6</v>
      </c>
      <c r="J48">
        <v>460.4</v>
      </c>
      <c r="K48">
        <v>454.5</v>
      </c>
      <c r="L48">
        <v>442.6</v>
      </c>
      <c r="M48">
        <v>451</v>
      </c>
    </row>
    <row r="49" spans="1:13" x14ac:dyDescent="0.3">
      <c r="A49">
        <v>2019</v>
      </c>
      <c r="B49">
        <v>459.4</v>
      </c>
      <c r="C49">
        <v>452.9</v>
      </c>
      <c r="D49">
        <v>456.6</v>
      </c>
      <c r="E49">
        <v>446.2</v>
      </c>
      <c r="F49">
        <v>452.9</v>
      </c>
      <c r="G49">
        <v>442.7</v>
      </c>
      <c r="H49">
        <v>445</v>
      </c>
      <c r="I49">
        <v>445.2</v>
      </c>
      <c r="J49">
        <v>439.2</v>
      </c>
      <c r="K49">
        <v>437.4</v>
      </c>
      <c r="L49">
        <v>441.4</v>
      </c>
      <c r="M49">
        <v>440.5</v>
      </c>
    </row>
    <row r="50" spans="1:13" x14ac:dyDescent="0.3">
      <c r="A50">
        <v>2020</v>
      </c>
      <c r="B50">
        <v>443.6</v>
      </c>
      <c r="C50">
        <v>444.3</v>
      </c>
      <c r="D50">
        <v>440.4</v>
      </c>
      <c r="E50">
        <v>444.7</v>
      </c>
      <c r="F50">
        <v>442.4</v>
      </c>
      <c r="G50">
        <v>441.6</v>
      </c>
      <c r="H50">
        <v>441.5</v>
      </c>
      <c r="I50">
        <v>440.5</v>
      </c>
      <c r="J50">
        <v>438.2</v>
      </c>
      <c r="K50">
        <v>439.1</v>
      </c>
      <c r="L50">
        <v>444.4</v>
      </c>
      <c r="M50">
        <v>442.4</v>
      </c>
    </row>
    <row r="51" spans="1:13" x14ac:dyDescent="0.3">
      <c r="A51">
        <v>2021</v>
      </c>
      <c r="B51">
        <v>436.8</v>
      </c>
      <c r="C51">
        <v>434.8</v>
      </c>
      <c r="D51">
        <v>438.2</v>
      </c>
      <c r="E51">
        <v>440.7</v>
      </c>
      <c r="F51">
        <v>441.5</v>
      </c>
      <c r="G51">
        <v>435</v>
      </c>
      <c r="H51">
        <v>429.88</v>
      </c>
      <c r="I51">
        <v>436.63299999999998</v>
      </c>
      <c r="J51">
        <v>434.61700000000002</v>
      </c>
      <c r="K51">
        <v>433.71899999999999</v>
      </c>
      <c r="L51">
        <v>435.21199999999999</v>
      </c>
      <c r="M51">
        <v>435.21199999999999</v>
      </c>
    </row>
    <row r="52" spans="1:13" x14ac:dyDescent="0.3">
      <c r="A52">
        <v>2022</v>
      </c>
      <c r="B52">
        <v>442.95600000000002</v>
      </c>
      <c r="C52">
        <v>442.95600000000002</v>
      </c>
      <c r="D52">
        <v>443.262</v>
      </c>
      <c r="E52">
        <v>443.262</v>
      </c>
      <c r="F52">
        <v>443.262</v>
      </c>
      <c r="G52">
        <v>443.262</v>
      </c>
      <c r="H52">
        <v>443.262</v>
      </c>
      <c r="I52">
        <v>443.262</v>
      </c>
      <c r="J52">
        <v>443.262</v>
      </c>
      <c r="K52">
        <v>443.262</v>
      </c>
      <c r="L52">
        <v>443.262</v>
      </c>
      <c r="M52">
        <v>443.262</v>
      </c>
    </row>
    <row r="53" spans="1:13" x14ac:dyDescent="0.3">
      <c r="A53">
        <v>2023</v>
      </c>
      <c r="B53">
        <v>456.39600000000002</v>
      </c>
      <c r="C53">
        <v>457.45600000000002</v>
      </c>
      <c r="D53">
        <v>466.35199999999998</v>
      </c>
      <c r="E53" t="s">
        <v>45</v>
      </c>
      <c r="F53" t="s">
        <v>45</v>
      </c>
      <c r="G53" t="s">
        <v>45</v>
      </c>
      <c r="H53" t="s">
        <v>45</v>
      </c>
      <c r="I53"/>
      <c r="J53"/>
      <c r="K53"/>
      <c r="L53"/>
      <c r="M53"/>
    </row>
    <row r="54" spans="1:13" x14ac:dyDescent="0.3">
      <c r="A54" t="s">
        <v>46</v>
      </c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">
      <c r="A56" t="s">
        <v>21</v>
      </c>
      <c r="B56" t="s">
        <v>57</v>
      </c>
      <c r="C56"/>
      <c r="D56"/>
      <c r="E56"/>
      <c r="F56"/>
      <c r="G56"/>
      <c r="H56"/>
      <c r="I56"/>
      <c r="J56"/>
      <c r="K56"/>
      <c r="L56"/>
      <c r="M56"/>
    </row>
    <row r="57" spans="1:13" x14ac:dyDescent="0.3">
      <c r="A57" t="s">
        <v>52</v>
      </c>
      <c r="B57" t="s">
        <v>58</v>
      </c>
      <c r="C57"/>
      <c r="D57"/>
      <c r="E57"/>
      <c r="F57"/>
      <c r="G57"/>
      <c r="H57"/>
      <c r="I57"/>
      <c r="J57"/>
      <c r="K57"/>
      <c r="L57"/>
      <c r="M57"/>
    </row>
    <row r="58" spans="1:13" x14ac:dyDescent="0.3">
      <c r="A58" t="s">
        <v>54</v>
      </c>
      <c r="B58" t="s">
        <v>12</v>
      </c>
      <c r="C58"/>
      <c r="D58"/>
      <c r="E58"/>
      <c r="F58"/>
      <c r="G58"/>
      <c r="H58"/>
      <c r="I58"/>
      <c r="J58"/>
      <c r="K58"/>
      <c r="L58"/>
      <c r="M58"/>
    </row>
    <row r="59" spans="1:13" x14ac:dyDescent="0.3">
      <c r="A59" t="s">
        <v>30</v>
      </c>
      <c r="B59">
        <v>7912</v>
      </c>
      <c r="C59"/>
      <c r="D59"/>
      <c r="E59"/>
      <c r="F59"/>
      <c r="G59"/>
      <c r="H59"/>
      <c r="I59"/>
      <c r="J59"/>
      <c r="K59"/>
      <c r="L59"/>
      <c r="M59"/>
    </row>
    <row r="60" spans="1:13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">
      <c r="A61" t="s">
        <v>31</v>
      </c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">
      <c r="A62" t="s">
        <v>32</v>
      </c>
      <c r="B62" t="s">
        <v>33</v>
      </c>
      <c r="C62" t="s">
        <v>34</v>
      </c>
      <c r="D62" t="s">
        <v>35</v>
      </c>
      <c r="E62" t="s">
        <v>36</v>
      </c>
      <c r="F62" t="s">
        <v>37</v>
      </c>
      <c r="G62" t="s">
        <v>38</v>
      </c>
      <c r="H62" t="s">
        <v>39</v>
      </c>
      <c r="I62" t="s">
        <v>40</v>
      </c>
      <c r="J62" t="s">
        <v>41</v>
      </c>
      <c r="K62" t="s">
        <v>42</v>
      </c>
      <c r="L62" t="s">
        <v>43</v>
      </c>
      <c r="M62" t="s">
        <v>44</v>
      </c>
    </row>
    <row r="63" spans="1:13" x14ac:dyDescent="0.3">
      <c r="A63">
        <v>1979</v>
      </c>
      <c r="B63"/>
      <c r="C63"/>
      <c r="D63"/>
      <c r="E63"/>
      <c r="F63"/>
      <c r="G63"/>
      <c r="H63"/>
      <c r="I63"/>
      <c r="J63"/>
      <c r="K63"/>
      <c r="L63"/>
      <c r="M63">
        <v>100</v>
      </c>
    </row>
    <row r="64" spans="1:13" x14ac:dyDescent="0.3">
      <c r="A64">
        <v>1980</v>
      </c>
      <c r="B64">
        <v>111.2</v>
      </c>
      <c r="C64">
        <v>104.6</v>
      </c>
      <c r="D64">
        <v>104.6</v>
      </c>
      <c r="E64">
        <v>104.9</v>
      </c>
      <c r="F64">
        <v>105.3</v>
      </c>
      <c r="G64">
        <v>105.3</v>
      </c>
      <c r="H64">
        <v>106.4</v>
      </c>
      <c r="I64">
        <v>106.6</v>
      </c>
      <c r="J64">
        <v>106.8</v>
      </c>
      <c r="K64">
        <v>107.1</v>
      </c>
      <c r="L64">
        <v>107.7</v>
      </c>
      <c r="M64">
        <v>107.8</v>
      </c>
    </row>
    <row r="65" spans="1:13" x14ac:dyDescent="0.3">
      <c r="A65">
        <v>1981</v>
      </c>
      <c r="B65">
        <v>113.8</v>
      </c>
      <c r="C65">
        <v>115</v>
      </c>
      <c r="D65">
        <v>115</v>
      </c>
      <c r="E65">
        <v>115.7</v>
      </c>
      <c r="F65">
        <v>116.7</v>
      </c>
      <c r="G65">
        <v>116</v>
      </c>
      <c r="H65">
        <v>117</v>
      </c>
      <c r="I65">
        <v>117.3</v>
      </c>
      <c r="J65">
        <v>118.2</v>
      </c>
      <c r="K65">
        <v>118.7</v>
      </c>
      <c r="L65">
        <v>119.1</v>
      </c>
      <c r="M65">
        <v>119</v>
      </c>
    </row>
    <row r="66" spans="1:13" x14ac:dyDescent="0.3">
      <c r="A66">
        <v>1982</v>
      </c>
      <c r="B66">
        <v>126.4</v>
      </c>
      <c r="C66">
        <v>128.69999999999999</v>
      </c>
      <c r="D66">
        <v>129.30000000000001</v>
      </c>
      <c r="E66">
        <v>131</v>
      </c>
      <c r="F66">
        <v>131.30000000000001</v>
      </c>
      <c r="G66">
        <v>131.4</v>
      </c>
      <c r="H66">
        <v>131.6</v>
      </c>
      <c r="I66">
        <v>132</v>
      </c>
      <c r="J66">
        <v>132.19999999999999</v>
      </c>
      <c r="K66">
        <v>133.30000000000001</v>
      </c>
      <c r="L66">
        <v>133.4</v>
      </c>
      <c r="M66">
        <v>133.6</v>
      </c>
    </row>
    <row r="67" spans="1:13" x14ac:dyDescent="0.3">
      <c r="A67">
        <v>1983</v>
      </c>
      <c r="B67">
        <v>138.19999999999999</v>
      </c>
      <c r="C67">
        <v>139.6</v>
      </c>
      <c r="D67">
        <v>139.9</v>
      </c>
      <c r="E67">
        <v>141</v>
      </c>
      <c r="F67">
        <v>141</v>
      </c>
      <c r="G67">
        <v>141.5</v>
      </c>
      <c r="H67">
        <v>142.4</v>
      </c>
      <c r="I67">
        <v>142.4</v>
      </c>
      <c r="J67">
        <v>142.4</v>
      </c>
      <c r="K67">
        <v>145</v>
      </c>
      <c r="L67">
        <v>144.9</v>
      </c>
      <c r="M67">
        <v>145</v>
      </c>
    </row>
    <row r="68" spans="1:13" x14ac:dyDescent="0.3">
      <c r="A68">
        <v>1984</v>
      </c>
      <c r="B68">
        <v>150.6</v>
      </c>
      <c r="C68">
        <v>151.1</v>
      </c>
      <c r="D68">
        <v>152.80000000000001</v>
      </c>
      <c r="E68">
        <v>152.69999999999999</v>
      </c>
      <c r="F68">
        <v>153.69999999999999</v>
      </c>
      <c r="G68">
        <v>154.80000000000001</v>
      </c>
      <c r="H68">
        <v>155.1</v>
      </c>
      <c r="I68">
        <v>155.19999999999999</v>
      </c>
      <c r="J68">
        <v>156</v>
      </c>
      <c r="K68">
        <v>156.30000000000001</v>
      </c>
      <c r="L68">
        <v>156.5</v>
      </c>
      <c r="M68">
        <v>156.6</v>
      </c>
    </row>
    <row r="69" spans="1:13" x14ac:dyDescent="0.3">
      <c r="A69">
        <v>1985</v>
      </c>
      <c r="B69">
        <v>162.69999999999999</v>
      </c>
      <c r="C69">
        <v>165</v>
      </c>
      <c r="D69">
        <v>167</v>
      </c>
      <c r="E69">
        <v>167.3</v>
      </c>
      <c r="F69">
        <v>167.3</v>
      </c>
      <c r="G69">
        <v>167.4</v>
      </c>
      <c r="H69">
        <v>167.6</v>
      </c>
      <c r="I69">
        <v>168.6</v>
      </c>
      <c r="J69">
        <v>170</v>
      </c>
      <c r="K69">
        <v>171.4</v>
      </c>
      <c r="L69">
        <v>172.2</v>
      </c>
      <c r="M69">
        <v>172</v>
      </c>
    </row>
    <row r="70" spans="1:13" x14ac:dyDescent="0.3">
      <c r="A70">
        <v>1986</v>
      </c>
      <c r="B70">
        <v>180.2</v>
      </c>
      <c r="C70">
        <v>181.8</v>
      </c>
      <c r="D70">
        <v>181.8</v>
      </c>
      <c r="E70">
        <v>181.9</v>
      </c>
      <c r="F70">
        <v>181.9</v>
      </c>
      <c r="G70">
        <v>182.5</v>
      </c>
      <c r="H70">
        <v>182.7</v>
      </c>
      <c r="I70">
        <v>182.8</v>
      </c>
      <c r="J70">
        <v>183.3</v>
      </c>
      <c r="K70">
        <v>184</v>
      </c>
      <c r="L70">
        <v>183.9</v>
      </c>
      <c r="M70">
        <v>184.2</v>
      </c>
    </row>
    <row r="71" spans="1:13" x14ac:dyDescent="0.3">
      <c r="A71">
        <v>1987</v>
      </c>
      <c r="B71">
        <v>189.1</v>
      </c>
      <c r="C71">
        <v>190.1</v>
      </c>
      <c r="D71">
        <v>190.9</v>
      </c>
      <c r="E71">
        <v>191</v>
      </c>
      <c r="F71">
        <v>190.8</v>
      </c>
      <c r="G71">
        <v>191</v>
      </c>
      <c r="H71">
        <v>190.9</v>
      </c>
      <c r="I71">
        <v>191.2</v>
      </c>
      <c r="J71">
        <v>192.6</v>
      </c>
      <c r="K71">
        <v>193.7</v>
      </c>
      <c r="L71">
        <v>193.8</v>
      </c>
      <c r="M71">
        <v>194.2</v>
      </c>
    </row>
    <row r="72" spans="1:13" x14ac:dyDescent="0.3">
      <c r="A72">
        <v>1988</v>
      </c>
      <c r="B72">
        <v>199.5</v>
      </c>
      <c r="C72">
        <v>201.9</v>
      </c>
      <c r="D72">
        <v>202.6</v>
      </c>
      <c r="E72">
        <v>203.3</v>
      </c>
      <c r="F72">
        <v>203.7</v>
      </c>
      <c r="G72">
        <v>203.9</v>
      </c>
      <c r="H72">
        <v>204.3</v>
      </c>
      <c r="I72">
        <v>204.6</v>
      </c>
      <c r="J72">
        <v>205</v>
      </c>
      <c r="K72">
        <v>206.2</v>
      </c>
      <c r="L72">
        <v>206.6</v>
      </c>
      <c r="M72">
        <v>206.8</v>
      </c>
    </row>
    <row r="73" spans="1:13" x14ac:dyDescent="0.3">
      <c r="A73">
        <v>1989</v>
      </c>
      <c r="B73">
        <v>213.9</v>
      </c>
      <c r="C73">
        <v>216.2</v>
      </c>
      <c r="D73">
        <v>216.3</v>
      </c>
      <c r="E73">
        <v>216.9</v>
      </c>
      <c r="F73">
        <v>216.9</v>
      </c>
      <c r="G73">
        <v>217.3</v>
      </c>
      <c r="H73">
        <v>217.4</v>
      </c>
      <c r="I73">
        <v>218.8</v>
      </c>
      <c r="J73">
        <v>221.2</v>
      </c>
      <c r="K73">
        <v>222.3</v>
      </c>
      <c r="L73">
        <v>223.3</v>
      </c>
      <c r="M73">
        <v>223.3</v>
      </c>
    </row>
    <row r="74" spans="1:13" x14ac:dyDescent="0.3">
      <c r="A74">
        <v>1990</v>
      </c>
      <c r="B74">
        <v>231.7</v>
      </c>
      <c r="C74">
        <v>234.2</v>
      </c>
      <c r="D74">
        <v>235.4</v>
      </c>
      <c r="E74">
        <v>234.5</v>
      </c>
      <c r="F74">
        <v>234.5</v>
      </c>
      <c r="G74">
        <v>234.8</v>
      </c>
      <c r="H74">
        <v>233.5</v>
      </c>
      <c r="I74">
        <v>234</v>
      </c>
      <c r="J74">
        <v>236.3</v>
      </c>
      <c r="K74">
        <v>236.7</v>
      </c>
      <c r="L74">
        <v>237</v>
      </c>
      <c r="M74">
        <v>238.4</v>
      </c>
    </row>
    <row r="75" spans="1:13" x14ac:dyDescent="0.3">
      <c r="A75">
        <v>1991</v>
      </c>
      <c r="B75">
        <v>250.9</v>
      </c>
      <c r="C75">
        <v>252.5</v>
      </c>
      <c r="D75">
        <v>253.5</v>
      </c>
      <c r="E75">
        <v>254.1</v>
      </c>
      <c r="F75">
        <v>252.8</v>
      </c>
      <c r="G75">
        <v>253.1</v>
      </c>
      <c r="H75">
        <v>250.9</v>
      </c>
      <c r="I75">
        <v>252.7</v>
      </c>
      <c r="J75">
        <v>252.5</v>
      </c>
      <c r="K75">
        <v>253.1</v>
      </c>
      <c r="L75">
        <v>253.6</v>
      </c>
      <c r="M75">
        <v>254</v>
      </c>
    </row>
    <row r="76" spans="1:13" x14ac:dyDescent="0.3">
      <c r="A76">
        <v>1992</v>
      </c>
      <c r="B76">
        <v>269.3</v>
      </c>
      <c r="C76">
        <v>267.60000000000002</v>
      </c>
      <c r="D76">
        <v>269.5</v>
      </c>
      <c r="E76">
        <v>267.5</v>
      </c>
      <c r="F76">
        <v>267.89999999999998</v>
      </c>
      <c r="G76">
        <v>268.5</v>
      </c>
      <c r="H76">
        <v>268.39999999999998</v>
      </c>
      <c r="I76">
        <v>268.7</v>
      </c>
      <c r="J76">
        <v>268.7</v>
      </c>
      <c r="K76">
        <v>270.5</v>
      </c>
      <c r="L76">
        <v>268.8</v>
      </c>
      <c r="M76">
        <v>271.89999999999998</v>
      </c>
    </row>
    <row r="77" spans="1:13" x14ac:dyDescent="0.3">
      <c r="A77">
        <v>1993</v>
      </c>
      <c r="B77">
        <v>279.2</v>
      </c>
      <c r="C77">
        <v>276.10000000000002</v>
      </c>
      <c r="D77">
        <v>276.3</v>
      </c>
      <c r="E77">
        <v>271</v>
      </c>
      <c r="F77">
        <v>272.7</v>
      </c>
      <c r="G77">
        <v>269.39999999999998</v>
      </c>
      <c r="H77">
        <v>271.89999999999998</v>
      </c>
      <c r="I77">
        <v>275.39999999999998</v>
      </c>
      <c r="J77">
        <v>272.8</v>
      </c>
      <c r="K77">
        <v>281.39999999999998</v>
      </c>
      <c r="L77">
        <v>277</v>
      </c>
      <c r="M77">
        <v>281.5</v>
      </c>
    </row>
    <row r="78" spans="1:13" x14ac:dyDescent="0.3">
      <c r="A78">
        <v>1994</v>
      </c>
      <c r="B78">
        <v>285.8</v>
      </c>
      <c r="C78">
        <v>281.8</v>
      </c>
      <c r="D78">
        <v>281.39999999999998</v>
      </c>
      <c r="E78">
        <v>278.39999999999998</v>
      </c>
      <c r="F78">
        <v>281.39999999999998</v>
      </c>
      <c r="G78">
        <v>275.10000000000002</v>
      </c>
      <c r="H78">
        <v>277.60000000000002</v>
      </c>
      <c r="I78">
        <v>273.7</v>
      </c>
      <c r="J78">
        <v>279.39999999999998</v>
      </c>
      <c r="K78">
        <v>279.39999999999998</v>
      </c>
      <c r="L78">
        <v>279.5</v>
      </c>
      <c r="M78">
        <v>283.7</v>
      </c>
    </row>
    <row r="79" spans="1:13" x14ac:dyDescent="0.3">
      <c r="A79">
        <v>1995</v>
      </c>
      <c r="B79">
        <v>286.10000000000002</v>
      </c>
      <c r="C79">
        <v>286.7</v>
      </c>
      <c r="D79">
        <v>285.3</v>
      </c>
      <c r="E79">
        <v>289.89999999999998</v>
      </c>
      <c r="F79">
        <v>288.39999999999998</v>
      </c>
      <c r="G79">
        <v>287.10000000000002</v>
      </c>
      <c r="H79">
        <v>290.60000000000002</v>
      </c>
      <c r="I79">
        <v>292</v>
      </c>
      <c r="J79">
        <v>285.3</v>
      </c>
      <c r="K79">
        <v>288.3</v>
      </c>
      <c r="L79">
        <v>294.5</v>
      </c>
      <c r="M79">
        <v>291.5</v>
      </c>
    </row>
    <row r="80" spans="1:13" x14ac:dyDescent="0.3">
      <c r="A80">
        <v>1996</v>
      </c>
      <c r="B80">
        <v>298.2</v>
      </c>
      <c r="C80">
        <v>289.60000000000002</v>
      </c>
      <c r="D80">
        <v>290.89999999999998</v>
      </c>
      <c r="E80">
        <v>294.10000000000002</v>
      </c>
      <c r="F80">
        <v>294.39999999999998</v>
      </c>
      <c r="G80">
        <v>295.8</v>
      </c>
      <c r="H80">
        <v>287.7</v>
      </c>
      <c r="I80">
        <v>293.39999999999998</v>
      </c>
      <c r="J80">
        <v>303.10000000000002</v>
      </c>
      <c r="K80">
        <v>295.3</v>
      </c>
      <c r="L80">
        <v>302.3</v>
      </c>
      <c r="M80">
        <v>305.2</v>
      </c>
    </row>
    <row r="81" spans="1:13" x14ac:dyDescent="0.3">
      <c r="A81">
        <v>1997</v>
      </c>
      <c r="B81">
        <v>305.39999999999998</v>
      </c>
      <c r="C81">
        <v>304.7</v>
      </c>
      <c r="D81">
        <v>304.89999999999998</v>
      </c>
      <c r="E81">
        <v>310.2</v>
      </c>
      <c r="F81">
        <v>308.5</v>
      </c>
      <c r="G81">
        <v>308.5</v>
      </c>
      <c r="H81">
        <v>304.2</v>
      </c>
      <c r="I81">
        <v>305</v>
      </c>
      <c r="J81">
        <v>308.10000000000002</v>
      </c>
      <c r="K81">
        <v>306.7</v>
      </c>
      <c r="L81">
        <v>307.60000000000002</v>
      </c>
      <c r="M81">
        <v>314.3</v>
      </c>
    </row>
    <row r="82" spans="1:13" x14ac:dyDescent="0.3">
      <c r="A82">
        <v>1998</v>
      </c>
      <c r="B82">
        <v>330.2</v>
      </c>
      <c r="C82">
        <v>325.2</v>
      </c>
      <c r="D82">
        <v>318.89999999999998</v>
      </c>
      <c r="E82">
        <v>330.9</v>
      </c>
      <c r="F82">
        <v>334.6</v>
      </c>
      <c r="G82">
        <v>329.4</v>
      </c>
      <c r="H82">
        <v>323.60000000000002</v>
      </c>
      <c r="I82">
        <v>323.89999999999998</v>
      </c>
      <c r="J82">
        <v>324.89999999999998</v>
      </c>
      <c r="K82">
        <v>327.2</v>
      </c>
      <c r="L82">
        <v>322</v>
      </c>
      <c r="M82">
        <v>323.8</v>
      </c>
    </row>
    <row r="83" spans="1:13" x14ac:dyDescent="0.3">
      <c r="A83">
        <v>1999</v>
      </c>
      <c r="B83">
        <v>334.5</v>
      </c>
      <c r="C83">
        <v>336.5</v>
      </c>
      <c r="D83">
        <v>340.2</v>
      </c>
      <c r="E83">
        <v>340.7</v>
      </c>
      <c r="F83">
        <v>341</v>
      </c>
      <c r="G83">
        <v>337.5</v>
      </c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B85" s="9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 s="4" t="s">
        <v>82</v>
      </c>
      <c r="B86" s="9" t="s">
        <v>83</v>
      </c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B87" s="4" t="s">
        <v>85</v>
      </c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 s="4">
        <v>1963</v>
      </c>
      <c r="B88" s="4">
        <v>91.7</v>
      </c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 s="4">
        <v>1964</v>
      </c>
      <c r="B89" s="4">
        <v>90.7</v>
      </c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 s="4">
        <v>1965</v>
      </c>
      <c r="B90" s="4">
        <v>90</v>
      </c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 s="4">
        <v>1966</v>
      </c>
      <c r="B91" s="4">
        <v>90</v>
      </c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 s="4">
        <v>1967</v>
      </c>
      <c r="B92" s="4">
        <v>90</v>
      </c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 s="4">
        <v>1968</v>
      </c>
      <c r="B93" s="4">
        <v>90.9</v>
      </c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 s="4">
        <v>1969</v>
      </c>
      <c r="B94" s="4">
        <v>95.5</v>
      </c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 s="4">
        <v>1970</v>
      </c>
      <c r="B95" s="4">
        <v>99.1</v>
      </c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 s="4">
        <v>1971</v>
      </c>
      <c r="B96" s="4">
        <v>99.1</v>
      </c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 s="4">
        <v>1972</v>
      </c>
      <c r="B97" s="4">
        <v>100</v>
      </c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 s="4">
        <v>1973</v>
      </c>
      <c r="B98" s="4">
        <v>101.9</v>
      </c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 s="4">
        <v>1974</v>
      </c>
      <c r="B99" s="4">
        <v>107.6</v>
      </c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 s="4">
        <v>1975</v>
      </c>
      <c r="B100" s="4">
        <v>116.2</v>
      </c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 s="4">
        <v>1976</v>
      </c>
      <c r="B101" s="4">
        <v>116.8</v>
      </c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 s="4">
        <v>1977</v>
      </c>
      <c r="B102" s="4">
        <v>119.6</v>
      </c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 s="4">
        <v>1978</v>
      </c>
      <c r="B103" s="4">
        <v>121.6</v>
      </c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</sheetData>
  <hyperlinks>
    <hyperlink ref="B86" r:id="rId1" xr:uid="{5CCB2F94-503A-4589-B46C-16528E63CEA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C9F4-918A-4F40-8AAB-8E5E51633D0E}">
  <dimension ref="A1:L125"/>
  <sheetViews>
    <sheetView workbookViewId="0">
      <selection activeCell="C1" sqref="C1:L1048576"/>
    </sheetView>
  </sheetViews>
  <sheetFormatPr defaultRowHeight="14.4" x14ac:dyDescent="0.3"/>
  <cols>
    <col min="1" max="6" width="8.88671875" style="4"/>
    <col min="7" max="7" width="12" style="4" bestFit="1" customWidth="1"/>
    <col min="8" max="8" width="8.88671875" style="4"/>
    <col min="9" max="9" width="12" style="4" customWidth="1"/>
    <col min="10" max="10" width="11" style="4" bestFit="1" customWidth="1"/>
    <col min="11" max="16384" width="8.88671875" style="4"/>
  </cols>
  <sheetData>
    <row r="1" spans="1:12" x14ac:dyDescent="0.3">
      <c r="B1" s="4" t="s">
        <v>274</v>
      </c>
      <c r="C1" s="4" t="s">
        <v>276</v>
      </c>
      <c r="D1" s="4" t="s">
        <v>15</v>
      </c>
      <c r="E1" s="4" t="s">
        <v>277</v>
      </c>
      <c r="F1" s="4" t="s">
        <v>272</v>
      </c>
      <c r="G1" s="4" t="s">
        <v>278</v>
      </c>
      <c r="H1" s="4" t="s">
        <v>279</v>
      </c>
      <c r="I1" s="4" t="s">
        <v>280</v>
      </c>
      <c r="J1" s="4" t="s">
        <v>11</v>
      </c>
      <c r="K1" s="4" t="s">
        <v>254</v>
      </c>
      <c r="L1" s="4" t="s">
        <v>255</v>
      </c>
    </row>
    <row r="2" spans="1:12" x14ac:dyDescent="0.3">
      <c r="A2" s="4">
        <v>2020</v>
      </c>
      <c r="B2" s="4">
        <f>B4*I2/I4</f>
        <v>99.581598292085559</v>
      </c>
      <c r="I2" s="4">
        <v>221.9</v>
      </c>
      <c r="K2" s="4">
        <v>331.44928099999998</v>
      </c>
      <c r="L2" s="4">
        <v>18.402334630350193</v>
      </c>
    </row>
    <row r="3" spans="1:12" x14ac:dyDescent="0.3">
      <c r="A3" s="4">
        <v>2019</v>
      </c>
      <c r="B3" s="4">
        <f>B4*(B2/B4)^0.5</f>
        <v>98.997045354272601</v>
      </c>
      <c r="K3" s="4">
        <v>329.10572873903209</v>
      </c>
      <c r="L3" s="4">
        <v>18.554737751424618</v>
      </c>
    </row>
    <row r="4" spans="1:12" x14ac:dyDescent="0.3">
      <c r="A4" s="4">
        <v>2018</v>
      </c>
      <c r="B4" s="4">
        <f>B6*I4/I6</f>
        <v>98.415923794776191</v>
      </c>
      <c r="I4" s="4">
        <v>219.30250030739359</v>
      </c>
      <c r="K4" s="4">
        <v>326.77874684799622</v>
      </c>
      <c r="L4" s="4">
        <v>18.708403033620428</v>
      </c>
    </row>
    <row r="5" spans="1:12" x14ac:dyDescent="0.3">
      <c r="A5" s="4">
        <v>2017</v>
      </c>
      <c r="B5" s="4">
        <f>B6*(B4/B6)^0.5</f>
        <v>98.342552759187754</v>
      </c>
      <c r="K5" s="4">
        <v>324.46821816408612</v>
      </c>
      <c r="L5" s="4">
        <v>18.863340929812118</v>
      </c>
    </row>
    <row r="6" spans="1:12" x14ac:dyDescent="0.3">
      <c r="A6" s="4">
        <v>2016</v>
      </c>
      <c r="B6" s="4">
        <f>B8*I6/I8</f>
        <v>98.269236423170838</v>
      </c>
      <c r="I6" s="4">
        <v>218.97563341313312</v>
      </c>
      <c r="K6" s="4">
        <v>322.17402635290921</v>
      </c>
      <c r="L6" s="4">
        <v>19.019561979442035</v>
      </c>
    </row>
    <row r="7" spans="1:12" x14ac:dyDescent="0.3">
      <c r="A7" s="4">
        <v>2015</v>
      </c>
      <c r="B7" s="4">
        <f>B8*(B6/B8)^0.5</f>
        <v>97.17171450325506</v>
      </c>
      <c r="K7" s="4">
        <v>319.89605590262937</v>
      </c>
      <c r="L7" s="4">
        <v>19.177076809237313</v>
      </c>
    </row>
    <row r="8" spans="1:12" x14ac:dyDescent="0.3">
      <c r="A8" s="4">
        <v>2014</v>
      </c>
      <c r="B8" s="4">
        <f t="shared" ref="B8:B15" si="0">C8*K8*(100-L8)/(C$10*K$10*(1-L$10*0.01))</f>
        <v>96.086450278713116</v>
      </c>
      <c r="C8" s="4">
        <v>1.8534281017759595</v>
      </c>
      <c r="I8" s="4">
        <v>214.11168009482546</v>
      </c>
      <c r="K8" s="4">
        <v>317.63419211815091</v>
      </c>
      <c r="L8" s="4">
        <v>19.335896133932749</v>
      </c>
    </row>
    <row r="9" spans="1:12" x14ac:dyDescent="0.3">
      <c r="A9" s="4">
        <v>2013</v>
      </c>
      <c r="B9" s="4">
        <f t="shared" si="0"/>
        <v>99.983186475863292</v>
      </c>
      <c r="C9" s="4">
        <v>1.9461899538616541</v>
      </c>
      <c r="K9" s="4">
        <v>315.38832111534367</v>
      </c>
      <c r="L9" s="4">
        <v>19.496030756999655</v>
      </c>
    </row>
    <row r="10" spans="1:12" x14ac:dyDescent="0.3">
      <c r="A10" s="4">
        <v>2012</v>
      </c>
      <c r="B10" s="4">
        <f t="shared" si="0"/>
        <v>100</v>
      </c>
      <c r="C10" s="4">
        <v>1.964318010550113</v>
      </c>
      <c r="E10" s="4">
        <v>19</v>
      </c>
      <c r="K10" s="4">
        <v>313.158329815309</v>
      </c>
      <c r="L10" s="4">
        <v>19.657491571380746</v>
      </c>
    </row>
    <row r="11" spans="1:12" x14ac:dyDescent="0.3">
      <c r="A11" s="4">
        <v>2011</v>
      </c>
      <c r="B11" s="4">
        <f t="shared" si="0"/>
        <v>96.13490886384723</v>
      </c>
      <c r="C11" s="4">
        <v>1.9057040643943157</v>
      </c>
      <c r="E11" s="4">
        <v>19.9295347222902</v>
      </c>
      <c r="G11" s="1">
        <v>312478313</v>
      </c>
      <c r="K11" s="4">
        <v>310.94410593868639</v>
      </c>
      <c r="L11" s="4">
        <v>19.820289560231117</v>
      </c>
    </row>
    <row r="12" spans="1:12" x14ac:dyDescent="0.3">
      <c r="A12" s="4">
        <v>2010</v>
      </c>
      <c r="B12" s="4">
        <f t="shared" si="0"/>
        <v>97.936230047773037</v>
      </c>
      <c r="C12" s="4">
        <v>1.9592478297234159</v>
      </c>
      <c r="D12" s="4">
        <v>20.952267038018867</v>
      </c>
      <c r="E12" s="4">
        <v>20.904544960366874</v>
      </c>
      <c r="G12" s="1">
        <v>325237070</v>
      </c>
      <c r="K12" s="4">
        <v>308.74553800000001</v>
      </c>
      <c r="L12" s="4">
        <v>19.984435797665366</v>
      </c>
    </row>
    <row r="13" spans="1:12" x14ac:dyDescent="0.3">
      <c r="A13" s="4">
        <v>2009</v>
      </c>
      <c r="B13" s="4">
        <f t="shared" si="0"/>
        <v>105.04006736156786</v>
      </c>
      <c r="C13" s="4">
        <v>2.1245686680469289</v>
      </c>
      <c r="D13" s="4">
        <v>21.851203087807161</v>
      </c>
      <c r="E13" s="4">
        <v>21.92725550743727</v>
      </c>
      <c r="G13" s="1">
        <v>346571912</v>
      </c>
      <c r="K13" s="4">
        <v>305.89784037524367</v>
      </c>
      <c r="L13" s="4">
        <v>20.121672673259901</v>
      </c>
    </row>
    <row r="14" spans="1:12" x14ac:dyDescent="0.3">
      <c r="A14" s="4">
        <v>2008</v>
      </c>
      <c r="B14" s="4">
        <f t="shared" si="0"/>
        <v>104.09323044476399</v>
      </c>
      <c r="C14" s="4">
        <v>2.1287000536493199</v>
      </c>
      <c r="D14" s="4">
        <v>22.665296143349121</v>
      </c>
      <c r="E14" s="4">
        <v>23</v>
      </c>
      <c r="G14" s="1">
        <v>368363773</v>
      </c>
      <c r="K14" s="4">
        <v>303.07640833416031</v>
      </c>
      <c r="L14" s="4">
        <v>20.259851980265246</v>
      </c>
    </row>
    <row r="15" spans="1:12" x14ac:dyDescent="0.3">
      <c r="A15" s="4">
        <v>2007</v>
      </c>
      <c r="B15" s="4">
        <f t="shared" si="0"/>
        <v>107.63287902019317</v>
      </c>
      <c r="C15" s="4">
        <v>2.2254591469970157</v>
      </c>
      <c r="D15" s="4">
        <v>23.383366636842101</v>
      </c>
      <c r="E15" s="4">
        <v>23.49468024894146</v>
      </c>
      <c r="G15" s="1">
        <v>369793587</v>
      </c>
      <c r="K15" s="4">
        <v>300.28099961757209</v>
      </c>
      <c r="L15" s="4">
        <v>20.398980190534971</v>
      </c>
    </row>
    <row r="16" spans="1:12" x14ac:dyDescent="0.3">
      <c r="A16" s="4">
        <v>2006</v>
      </c>
      <c r="B16" s="4">
        <f t="shared" ref="B16:B28" si="1">B$15*D16*K16*(100-L16)/(D$15*K$15*(100-L$15))</f>
        <v>109.25019105612841</v>
      </c>
      <c r="D16" s="4">
        <v>23.99791553535465</v>
      </c>
      <c r="E16" s="4">
        <v>24</v>
      </c>
      <c r="G16" s="1">
        <v>369620102</v>
      </c>
      <c r="K16" s="4">
        <v>297.51137420076537</v>
      </c>
      <c r="L16" s="4">
        <v>20.539063820366088</v>
      </c>
    </row>
    <row r="17" spans="1:12" x14ac:dyDescent="0.3">
      <c r="A17" s="4">
        <v>2005</v>
      </c>
      <c r="B17" s="4">
        <f t="shared" si="1"/>
        <v>108.93212369010112</v>
      </c>
      <c r="D17" s="4">
        <v>24.19374705866737</v>
      </c>
      <c r="E17" s="4">
        <v>24.494897427831781</v>
      </c>
      <c r="G17" s="1">
        <v>362281559</v>
      </c>
      <c r="K17" s="4">
        <v>294.76729427288137</v>
      </c>
      <c r="L17" s="4">
        <v>20.680109430804247</v>
      </c>
    </row>
    <row r="18" spans="1:12" x14ac:dyDescent="0.3">
      <c r="A18" s="4">
        <v>2004</v>
      </c>
      <c r="B18" s="4">
        <f t="shared" si="1"/>
        <v>107.29360136888772</v>
      </c>
      <c r="D18" s="4">
        <v>24.094811008879073</v>
      </c>
      <c r="E18" s="4">
        <v>25</v>
      </c>
      <c r="G18" s="1">
        <v>363135850</v>
      </c>
      <c r="K18" s="4">
        <v>292.04852421649667</v>
      </c>
      <c r="L18" s="4">
        <v>20.822123627951022</v>
      </c>
    </row>
    <row r="19" spans="1:12" x14ac:dyDescent="0.3">
      <c r="A19" s="4">
        <v>2003</v>
      </c>
      <c r="B19" s="4">
        <f t="shared" si="1"/>
        <v>106.51191881880763</v>
      </c>
      <c r="D19" s="4">
        <v>24.185618713134069</v>
      </c>
      <c r="E19" s="4">
        <v>23.979157616563597</v>
      </c>
      <c r="G19" s="1">
        <v>352601091</v>
      </c>
      <c r="K19" s="4">
        <v>289.35483058739248</v>
      </c>
      <c r="L19" s="4">
        <v>20.965113063273336</v>
      </c>
    </row>
    <row r="20" spans="1:12" x14ac:dyDescent="0.3">
      <c r="A20" s="4">
        <v>2002</v>
      </c>
      <c r="B20" s="4">
        <f t="shared" si="1"/>
        <v>106.64833270262162</v>
      </c>
      <c r="D20" s="4">
        <v>24.486639227567714</v>
      </c>
      <c r="E20" s="4">
        <v>23</v>
      </c>
      <c r="G20" s="1">
        <v>358370946</v>
      </c>
      <c r="K20" s="4">
        <v>286.68598209450988</v>
      </c>
      <c r="L20" s="4">
        <v>21.109084433914983</v>
      </c>
    </row>
    <row r="21" spans="1:12" x14ac:dyDescent="0.3">
      <c r="A21" s="4">
        <v>2001</v>
      </c>
      <c r="B21" s="4">
        <f t="shared" si="1"/>
        <v>108.05487213857018</v>
      </c>
      <c r="D21" s="4">
        <v>25.086639227567712</v>
      </c>
      <c r="E21" s="4">
        <v>24.454038521274967</v>
      </c>
      <c r="G21" s="1">
        <v>361356013</v>
      </c>
      <c r="K21" s="4">
        <v>284.04174958009048</v>
      </c>
      <c r="L21" s="4">
        <v>21.254044483010301</v>
      </c>
    </row>
    <row r="22" spans="1:12" x14ac:dyDescent="0.3">
      <c r="A22" s="4">
        <v>2000</v>
      </c>
      <c r="B22" s="4">
        <f t="shared" si="1"/>
        <v>111.13718782760115</v>
      </c>
      <c r="D22" s="4">
        <v>26.090807704254996</v>
      </c>
      <c r="E22" s="4">
        <v>26</v>
      </c>
      <c r="G22" s="1">
        <v>378918978</v>
      </c>
      <c r="K22" s="4">
        <v>281.42190599999998</v>
      </c>
      <c r="L22" s="4">
        <v>21.4</v>
      </c>
    </row>
    <row r="23" spans="1:12" x14ac:dyDescent="0.3">
      <c r="A23" s="4">
        <v>1999</v>
      </c>
      <c r="B23" s="4">
        <f t="shared" si="1"/>
        <v>117.33061362515663</v>
      </c>
      <c r="D23" s="4">
        <v>27.890807704254996</v>
      </c>
      <c r="E23" s="4">
        <v>28</v>
      </c>
      <c r="G23" s="1">
        <v>372115830</v>
      </c>
      <c r="K23" s="4">
        <v>277.96583047179496</v>
      </c>
      <c r="L23" s="4">
        <v>21.40997903398506</v>
      </c>
    </row>
    <row r="24" spans="1:12" x14ac:dyDescent="0.3">
      <c r="A24" s="4">
        <v>1998</v>
      </c>
      <c r="B24" s="4">
        <f t="shared" si="1"/>
        <v>121.72630654128642</v>
      </c>
      <c r="D24" s="4">
        <v>29.299206299209448</v>
      </c>
      <c r="E24" s="4">
        <v>29</v>
      </c>
      <c r="G24" s="1">
        <v>367073246</v>
      </c>
      <c r="K24" s="4">
        <v>274.55219818557629</v>
      </c>
      <c r="L24" s="4">
        <v>21.419962721293448</v>
      </c>
    </row>
    <row r="25" spans="1:12" x14ac:dyDescent="0.3">
      <c r="A25" s="4">
        <v>1997</v>
      </c>
      <c r="B25" s="4">
        <f t="shared" si="1"/>
        <v>124.31918284641773</v>
      </c>
      <c r="D25" s="4">
        <v>30.299206299209448</v>
      </c>
      <c r="E25" s="4">
        <v>32</v>
      </c>
      <c r="G25" s="1">
        <v>367378457</v>
      </c>
      <c r="K25" s="4">
        <v>271.18048790597885</v>
      </c>
      <c r="L25" s="4">
        <v>21.429951064095057</v>
      </c>
    </row>
    <row r="26" spans="1:12" x14ac:dyDescent="0.3">
      <c r="A26" s="4">
        <v>1996</v>
      </c>
      <c r="B26" s="4">
        <f t="shared" si="1"/>
        <v>126.82897782352029</v>
      </c>
      <c r="D26" s="4">
        <v>31.299206299209448</v>
      </c>
      <c r="E26" s="4">
        <v>31.496031496047245</v>
      </c>
      <c r="G26" s="1">
        <v>365517593</v>
      </c>
      <c r="K26" s="4">
        <v>267.850184798805</v>
      </c>
      <c r="L26" s="4">
        <v>21.439944064560791</v>
      </c>
    </row>
    <row r="27" spans="1:12" x14ac:dyDescent="0.3">
      <c r="A27" s="4">
        <v>1995</v>
      </c>
      <c r="B27" s="4">
        <f t="shared" si="1"/>
        <v>127.55576254612252</v>
      </c>
      <c r="D27" s="4">
        <v>31.874007874011809</v>
      </c>
      <c r="E27" s="4">
        <v>31</v>
      </c>
      <c r="G27" s="1">
        <v>364896329</v>
      </c>
      <c r="K27" s="4">
        <v>264.56078035241347</v>
      </c>
      <c r="L27" s="4">
        <v>21.449941724862565</v>
      </c>
    </row>
    <row r="28" spans="1:12" x14ac:dyDescent="0.3">
      <c r="A28" s="4">
        <v>1994</v>
      </c>
      <c r="B28" s="4">
        <f t="shared" si="1"/>
        <v>125.8072544029102</v>
      </c>
      <c r="D28" s="4">
        <v>31.832010498682411</v>
      </c>
      <c r="E28" s="4">
        <v>33</v>
      </c>
      <c r="G28" s="1">
        <v>363565911</v>
      </c>
      <c r="K28" s="4">
        <v>261.31177230007359</v>
      </c>
      <c r="L28" s="4">
        <v>21.459944047173309</v>
      </c>
    </row>
    <row r="29" spans="1:12" x14ac:dyDescent="0.3">
      <c r="A29" s="4">
        <v>1993</v>
      </c>
      <c r="B29" s="4">
        <f>G29*(B$28/G$28)^(32/33)*(B$61/G$61)^(1/33)</f>
        <v>126.26361908593131</v>
      </c>
      <c r="D29" s="4">
        <v>32</v>
      </c>
      <c r="G29" s="1">
        <v>364324046</v>
      </c>
      <c r="K29" s="4">
        <v>258.10266454327302</v>
      </c>
      <c r="L29" s="4">
        <v>21.469951033666963</v>
      </c>
    </row>
    <row r="30" spans="1:12" x14ac:dyDescent="0.3">
      <c r="A30" s="4">
        <v>1992</v>
      </c>
      <c r="B30" s="4">
        <f>G30*(B$28/G$28)^(31/33)*(B$61/G$61)^(2/33)</f>
        <v>125.75818464349722</v>
      </c>
      <c r="D30" s="4">
        <v>33</v>
      </c>
      <c r="G30" s="1">
        <v>362308059</v>
      </c>
      <c r="K30" s="4">
        <v>254.9329670759673</v>
      </c>
      <c r="L30" s="4">
        <v>21.47996268651848</v>
      </c>
    </row>
    <row r="31" spans="1:12" x14ac:dyDescent="0.3">
      <c r="A31" s="4">
        <v>1991</v>
      </c>
      <c r="B31" s="4">
        <f>G31*(B$28/G$28)^(30/33)*(B$61/G$61)^(3/33)</f>
        <v>126.79976022925241</v>
      </c>
      <c r="G31" s="1">
        <v>364747479</v>
      </c>
      <c r="K31" s="4">
        <v>251.80219590975969</v>
      </c>
      <c r="L31" s="4">
        <v>21.48997900790383</v>
      </c>
    </row>
    <row r="32" spans="1:12" x14ac:dyDescent="0.3">
      <c r="A32" s="4">
        <v>1990</v>
      </c>
      <c r="B32" s="4">
        <f>G32*(B$28/G$28)^(29/33)*(B$61/G$61)^(4/33)</f>
        <v>127.46994949669941</v>
      </c>
      <c r="G32" s="1">
        <v>366111872</v>
      </c>
      <c r="K32" s="4">
        <v>248.70987299999999</v>
      </c>
      <c r="L32" s="4">
        <v>21.5</v>
      </c>
    </row>
    <row r="33" spans="1:12" x14ac:dyDescent="0.3">
      <c r="A33" s="4">
        <v>1989</v>
      </c>
      <c r="B33" s="4">
        <f>G33*(B$28/G$28)^(28/33)*(B$61/G$61)^(5/33)</f>
        <v>124.57521740814549</v>
      </c>
      <c r="G33" s="1">
        <v>357247981.69569802</v>
      </c>
      <c r="K33" s="4">
        <v>246.39921826135347</v>
      </c>
      <c r="L33" s="4">
        <v>21.607546577251174</v>
      </c>
    </row>
    <row r="34" spans="1:12" x14ac:dyDescent="0.3">
      <c r="A34" s="4">
        <v>1988</v>
      </c>
      <c r="B34" s="4">
        <f>G34*(B$28/G$28)^(27/33)*(B$61/G$61)^(6/33)</f>
        <v>121.74622217676907</v>
      </c>
      <c r="G34" s="1">
        <v>348598693.9687382</v>
      </c>
      <c r="K34" s="4">
        <v>244.11003080607924</v>
      </c>
      <c r="L34" s="4">
        <v>21.715631120375757</v>
      </c>
    </row>
    <row r="35" spans="1:12" x14ac:dyDescent="0.3">
      <c r="A35" s="4">
        <v>1987</v>
      </c>
      <c r="B35" s="4">
        <f>G35*(B$28/G$28)^(26/33)*(B$61/G$61)^(7/33)</f>
        <v>118.98147097551102</v>
      </c>
      <c r="G35" s="1">
        <v>340158813.10204566</v>
      </c>
      <c r="K35" s="4">
        <v>241.84211119102935</v>
      </c>
      <c r="L35" s="4">
        <v>21.824256320368566</v>
      </c>
    </row>
    <row r="36" spans="1:12" x14ac:dyDescent="0.3">
      <c r="A36" s="4">
        <v>1986</v>
      </c>
      <c r="B36" s="4">
        <f>G36*(B$28/G$28)^(25/33)*(B$61/G$61)^(8/33)</f>
        <v>116.27950487812058</v>
      </c>
      <c r="G36" s="1">
        <v>331923269.17142427</v>
      </c>
      <c r="K36" s="4">
        <v>239.59526182599475</v>
      </c>
      <c r="L36" s="4">
        <v>21.933424881685209</v>
      </c>
    </row>
    <row r="37" spans="1:12" x14ac:dyDescent="0.3">
      <c r="A37" s="4">
        <v>1985</v>
      </c>
      <c r="B37" s="4">
        <f>G37*(B$28/G$28)^(24/33)*(B$61/G$61)^(9/33)</f>
        <v>113.6388980892979</v>
      </c>
      <c r="G37" s="1">
        <v>323887115</v>
      </c>
      <c r="K37" s="4">
        <v>237.3692869564907</v>
      </c>
      <c r="L37" s="4">
        <v>22.043139522309435</v>
      </c>
    </row>
    <row r="38" spans="1:12" x14ac:dyDescent="0.3">
      <c r="A38" s="4">
        <v>1984</v>
      </c>
      <c r="B38" s="4">
        <f>G38*(B$28/G$28)^(23/33)*(B$61/G$61)^(10/33)</f>
        <v>110.60572660394311</v>
      </c>
      <c r="G38" s="1">
        <v>314757728.20224714</v>
      </c>
      <c r="K38" s="4">
        <v>235.16399264670181</v>
      </c>
      <c r="L38" s="4">
        <v>22.1534029738208</v>
      </c>
    </row>
    <row r="39" spans="1:12" x14ac:dyDescent="0.3">
      <c r="A39" s="4">
        <v>1983</v>
      </c>
      <c r="B39" s="4">
        <f>G39*(B$28/G$28)^(22/33)*(B$61/G$61)^(11/33)</f>
        <v>107.65351445042208</v>
      </c>
      <c r="G39" s="1">
        <v>305885670.88579535</v>
      </c>
      <c r="K39" s="4">
        <v>232.97918676258561</v>
      </c>
      <c r="L39" s="4">
        <v>22.264217981462672</v>
      </c>
    </row>
    <row r="40" spans="1:12" x14ac:dyDescent="0.3">
      <c r="A40" s="4">
        <v>1982</v>
      </c>
      <c r="B40" s="4">
        <f>G40*(B$28/G$28)^(21/33)*(B$61/G$61)^(12/33)</f>
        <v>104.78010071780525</v>
      </c>
      <c r="G40" s="1">
        <v>297263689.71989906</v>
      </c>
      <c r="K40" s="4">
        <v>230.81467895513305</v>
      </c>
      <c r="L40" s="4">
        <v>22.37558730421059</v>
      </c>
    </row>
    <row r="41" spans="1:12" x14ac:dyDescent="0.3">
      <c r="A41" s="4">
        <v>1981</v>
      </c>
      <c r="B41" s="4">
        <f>G41*(B$28/G$28)^(20/33)*(B$61/G$61)^(13/33)</f>
        <v>101.98338217271613</v>
      </c>
      <c r="G41" s="1">
        <v>288884735.82301408</v>
      </c>
      <c r="K41" s="4">
        <v>228.67028064378454</v>
      </c>
      <c r="L41" s="4">
        <v>22.48751371484094</v>
      </c>
    </row>
    <row r="42" spans="1:12" x14ac:dyDescent="0.3">
      <c r="A42" s="4">
        <v>1980</v>
      </c>
      <c r="B42" s="4">
        <f>G42*(B$28/G$28)^(19/33)*(B$61/G$61)^(14/33)</f>
        <v>99.261311719839867</v>
      </c>
      <c r="G42" s="1">
        <v>280741959</v>
      </c>
      <c r="K42" s="4">
        <v>226.545805</v>
      </c>
      <c r="L42" s="4">
        <v>22.6</v>
      </c>
    </row>
    <row r="43" spans="1:12" x14ac:dyDescent="0.3">
      <c r="A43" s="4">
        <v>1979</v>
      </c>
      <c r="B43" s="4">
        <f>G43*(B$28/G$28)^(18/33)*(B$61/G$61)^(15/33)</f>
        <v>97.133417345813314</v>
      </c>
      <c r="G43" s="1">
        <v>274301458.08559442</v>
      </c>
      <c r="K43" s="4">
        <v>224.10657270735817</v>
      </c>
      <c r="L43" s="4">
        <v>23.130343439901367</v>
      </c>
    </row>
    <row r="44" spans="1:12" x14ac:dyDescent="0.3">
      <c r="A44" s="4">
        <v>1978</v>
      </c>
      <c r="B44" s="4">
        <f>G44*(B$28/G$28)^(17/33)*(B$61/G$61)^(16/33)</f>
        <v>95.051139278770179</v>
      </c>
      <c r="G44" s="1">
        <v>268008708.69424647</v>
      </c>
      <c r="K44" s="4">
        <v>221.69360377535315</v>
      </c>
      <c r="L44" s="4">
        <v>23.673132196804787</v>
      </c>
    </row>
    <row r="45" spans="1:12" x14ac:dyDescent="0.3">
      <c r="A45" s="4">
        <v>1977</v>
      </c>
      <c r="B45" s="4">
        <f>G45*(B$28/G$28)^(16/33)*(B$61/G$61)^(17/33)</f>
        <v>93.013499628319053</v>
      </c>
      <c r="G45" s="1">
        <v>261860321.25845894</v>
      </c>
      <c r="K45" s="4">
        <v>219.30661542480314</v>
      </c>
      <c r="L45" s="4">
        <v>24.228658319039003</v>
      </c>
    </row>
    <row r="46" spans="1:12" x14ac:dyDescent="0.3">
      <c r="A46" s="4">
        <v>1976</v>
      </c>
      <c r="B46" s="4">
        <f>G46*(B$28/G$28)^(15/33)*(B$61/G$61)^(18/33)</f>
        <v>91.019541467396806</v>
      </c>
      <c r="G46" s="1">
        <v>255852983.97079805</v>
      </c>
      <c r="K46" s="4">
        <v>216.94532792122675</v>
      </c>
      <c r="L46" s="4">
        <v>24.797220708291835</v>
      </c>
    </row>
    <row r="47" spans="1:12" x14ac:dyDescent="0.3">
      <c r="A47" s="4">
        <v>1975</v>
      </c>
      <c r="B47" s="4">
        <f>G47*(B$28/G$28)^(14/33)*(B$61/G$61)^(19/33)</f>
        <v>89.068328382870646</v>
      </c>
      <c r="G47" s="1">
        <v>249983461</v>
      </c>
      <c r="K47" s="4">
        <v>214.60946454206058</v>
      </c>
      <c r="L47" s="4">
        <v>25.379125280434707</v>
      </c>
    </row>
    <row r="48" spans="1:12" x14ac:dyDescent="0.3">
      <c r="A48" s="4">
        <v>1974</v>
      </c>
      <c r="B48" s="4">
        <f>G48*(B$28/G$28)^(13/33)*(B$61/G$61)^(20/33)</f>
        <v>88.827646807571867</v>
      </c>
      <c r="G48" s="1">
        <v>248924855.5295136</v>
      </c>
      <c r="K48" s="4">
        <v>212.2987515442297</v>
      </c>
      <c r="L48" s="4">
        <v>25.974685130121145</v>
      </c>
    </row>
    <row r="49" spans="1:12" x14ac:dyDescent="0.3">
      <c r="A49" s="4">
        <v>1973</v>
      </c>
      <c r="B49" s="4">
        <f>G49*(B$28/G$28)^(12/33)*(B$61/G$61)^(21/33)</f>
        <v>88.587615605101902</v>
      </c>
      <c r="G49" s="1">
        <v>247870732.93776506</v>
      </c>
      <c r="K49" s="4">
        <v>210.01291813206731</v>
      </c>
      <c r="L49" s="4">
        <v>26.58422069924784</v>
      </c>
    </row>
    <row r="50" spans="1:12" x14ac:dyDescent="0.3">
      <c r="A50" s="4">
        <v>1972</v>
      </c>
      <c r="B50" s="4">
        <f>G50*(B$28/G$28)^(11/33)*(B$61/G$61)^(22/33)</f>
        <v>88.348233018015065</v>
      </c>
      <c r="G50" s="1">
        <v>246821074.2410987</v>
      </c>
      <c r="K50" s="4">
        <v>207.75169642557984</v>
      </c>
      <c r="L50" s="4">
        <v>27.208059949368913</v>
      </c>
    </row>
    <row r="51" spans="1:12" x14ac:dyDescent="0.3">
      <c r="A51" s="4">
        <v>1971</v>
      </c>
      <c r="B51" s="4">
        <f>G51*(B$28/G$28)^(10/33)*(B$61/G$61)^(23/33)</f>
        <v>88.109497293614311</v>
      </c>
      <c r="G51" s="1">
        <v>245775860.53624898</v>
      </c>
      <c r="K51" s="4">
        <v>205.51482142905368</v>
      </c>
      <c r="L51" s="4">
        <v>27.846538538156121</v>
      </c>
    </row>
    <row r="52" spans="1:12" x14ac:dyDescent="0.3">
      <c r="A52" s="4">
        <v>1970</v>
      </c>
      <c r="B52" s="4">
        <f>G52*(B$28/G$28)^(9/33)*(B$61/G$61)^(24/33)</f>
        <v>87.871406683939398</v>
      </c>
      <c r="G52" s="1">
        <v>244735073</v>
      </c>
      <c r="K52" s="4">
        <v>203.302031</v>
      </c>
      <c r="L52" s="4">
        <v>28.5</v>
      </c>
    </row>
    <row r="53" spans="1:12" x14ac:dyDescent="0.3">
      <c r="A53" s="4">
        <v>1969</v>
      </c>
      <c r="B53" s="4">
        <f>G53*(B$28/G$28)^(8/33)*(B$61/G$61)^(25/33)</f>
        <v>86.605270732536454</v>
      </c>
      <c r="G53" s="1">
        <v>240838042.78943497</v>
      </c>
      <c r="K53" s="4">
        <v>200.76647207994739</v>
      </c>
      <c r="L53" s="4">
        <v>28.749904930298424</v>
      </c>
    </row>
    <row r="54" spans="1:12" x14ac:dyDescent="0.3">
      <c r="A54" s="4">
        <v>1968</v>
      </c>
      <c r="B54" s="4">
        <f>G54*(B$28/G$28)^(7/33)*(B$61/G$61)^(26/33)</f>
        <v>85.353694019248223</v>
      </c>
      <c r="G54" s="1">
        <v>236992836.51255363</v>
      </c>
      <c r="K54" s="4">
        <v>198.26253635128865</v>
      </c>
      <c r="L54" s="4">
        <v>29.002001175480615</v>
      </c>
    </row>
    <row r="55" spans="1:12" x14ac:dyDescent="0.3">
      <c r="A55" s="4">
        <v>1967</v>
      </c>
      <c r="B55" s="4">
        <f>G55*(B$28/G$28)^(6/33)*(B$61/G$61)^(27/33)</f>
        <v>84.11651551188497</v>
      </c>
      <c r="G55" s="1">
        <v>233198795.54823267</v>
      </c>
      <c r="H55" s="4">
        <v>438849.10781862773</v>
      </c>
      <c r="K55" s="4">
        <v>195.7898294133154</v>
      </c>
      <c r="L55" s="4">
        <v>29.256307950297217</v>
      </c>
    </row>
    <row r="56" spans="1:12" x14ac:dyDescent="0.3">
      <c r="A56" s="4">
        <v>1966</v>
      </c>
      <c r="B56" s="4">
        <f>G56*(B$28/G$28)^(5/33)*(B$61/G$61)^(28/33)</f>
        <v>83.71624008735661</v>
      </c>
      <c r="G56" s="4">
        <v>231732461.95158267</v>
      </c>
      <c r="K56" s="4">
        <v>193.34796178423846</v>
      </c>
      <c r="L56" s="4">
        <v>29.512844637985221</v>
      </c>
    </row>
    <row r="57" spans="1:12" x14ac:dyDescent="0.3">
      <c r="A57" s="4">
        <v>1965</v>
      </c>
      <c r="B57" s="4">
        <f>G57*(B$28/G$28)^(4/33)*(B$61/G$61)^(29/33)</f>
        <v>83.317869406676792</v>
      </c>
      <c r="G57" s="4">
        <v>230275348.5321278</v>
      </c>
      <c r="K57" s="4">
        <v>190.93654883983947</v>
      </c>
      <c r="L57" s="4">
        <v>29.771630791745356</v>
      </c>
    </row>
    <row r="58" spans="1:12" x14ac:dyDescent="0.3">
      <c r="A58" s="4">
        <v>1964</v>
      </c>
      <c r="B58" s="4">
        <f>G58*(B$28/G$28)^(3/33)*(B$61/G$61)^(30/33)</f>
        <v>82.921394405963838</v>
      </c>
      <c r="G58" s="4">
        <v>228827397.31420168</v>
      </c>
      <c r="K58" s="4">
        <v>188.55521075288794</v>
      </c>
      <c r="L58" s="4">
        <v>30.032686136232421</v>
      </c>
    </row>
    <row r="59" spans="1:12" x14ac:dyDescent="0.3">
      <c r="A59" s="4">
        <v>1963</v>
      </c>
      <c r="B59" s="4">
        <f>G59*(B$28/G$28)^(2/33)*(B$61/G$61)^(31/33)</f>
        <v>82.526806064466797</v>
      </c>
      <c r="G59" s="4">
        <v>227388550.68668377</v>
      </c>
      <c r="H59" s="4">
        <v>427915</v>
      </c>
      <c r="K59" s="4">
        <v>186.2035724333137</v>
      </c>
      <c r="L59" s="4">
        <v>30.296030569058718</v>
      </c>
    </row>
    <row r="60" spans="1:12" x14ac:dyDescent="0.3">
      <c r="A60" s="4">
        <v>1962</v>
      </c>
      <c r="B60" s="4">
        <f>G60*(B$28/G$28)^(1/33)*(B$61/G$61)^(32/33)</f>
        <v>81.214660806422259</v>
      </c>
      <c r="G60" s="4">
        <v>223429298.89109883</v>
      </c>
      <c r="K60" s="4">
        <v>183.88126346912566</v>
      </c>
      <c r="L60" s="4">
        <v>30.561684162310627</v>
      </c>
    </row>
    <row r="61" spans="1:12" x14ac:dyDescent="0.3">
      <c r="A61" s="4">
        <v>1961</v>
      </c>
      <c r="B61" s="4">
        <f>B$15*E61*K61*(100-L61)/(E$15*K$15*(100-L$15))</f>
        <v>79.923378165754002</v>
      </c>
      <c r="E61" s="4">
        <v>33.200000000000003</v>
      </c>
      <c r="G61" s="4">
        <v>219538984.93224093</v>
      </c>
      <c r="K61" s="4">
        <v>181.5879180680673</v>
      </c>
      <c r="L61" s="4">
        <v>30.829667164078508</v>
      </c>
    </row>
    <row r="62" spans="1:12" x14ac:dyDescent="0.3">
      <c r="A62" s="4">
        <v>1960</v>
      </c>
      <c r="B62" s="4">
        <f>G62*(B$73/G$73)^(1/12)*(B$61/G$61)^(11/12)</f>
        <v>79.518001317346531</v>
      </c>
      <c r="G62" s="4">
        <v>215716408.47591111</v>
      </c>
      <c r="K62" s="4">
        <v>179.32317499999999</v>
      </c>
      <c r="L62" s="4">
        <v>31.1</v>
      </c>
    </row>
    <row r="63" spans="1:12" x14ac:dyDescent="0.3">
      <c r="A63" s="4">
        <v>1959</v>
      </c>
      <c r="B63" s="4">
        <f>G63*(B$73/G$73)^(2/12)*(B$61/G$61)^(10/12)</f>
        <v>79.114680568080345</v>
      </c>
      <c r="G63" s="4">
        <v>211960390.08793074</v>
      </c>
      <c r="K63" s="4">
        <v>176.23142072395933</v>
      </c>
      <c r="L63" s="4">
        <v>30.652053727464015</v>
      </c>
    </row>
    <row r="64" spans="1:12" x14ac:dyDescent="0.3">
      <c r="A64" s="4">
        <v>1958</v>
      </c>
      <c r="B64" s="4">
        <f>G64*(B$73/G$73)^(3/12)*(B$61/G$61)^(9/12)</f>
        <v>78.713405489280035</v>
      </c>
      <c r="G64" s="4">
        <v>208269770.8702338</v>
      </c>
      <c r="H64" s="4">
        <v>391936</v>
      </c>
      <c r="K64" s="4">
        <v>173.19297213193539</v>
      </c>
      <c r="L64" s="4">
        <v>30.210559411940192</v>
      </c>
    </row>
    <row r="65" spans="1:12" x14ac:dyDescent="0.3">
      <c r="A65" s="4">
        <v>1957</v>
      </c>
      <c r="B65" s="4">
        <f>G65*(B$73/G$73)^(4/12)*(B$61/G$61)^(8/12)</f>
        <v>82.469903687626612</v>
      </c>
      <c r="G65" s="4">
        <v>215502806.35056403</v>
      </c>
      <c r="K65" s="4">
        <v>170.20691016772417</v>
      </c>
      <c r="L65" s="4">
        <v>29.775424123200445</v>
      </c>
    </row>
    <row r="66" spans="1:12" x14ac:dyDescent="0.3">
      <c r="A66" s="4">
        <v>1956</v>
      </c>
      <c r="B66" s="4">
        <f>G66*(B$73/G$73)^(5/12)*(B$61/G$61)^(7/12)</f>
        <v>86.405676034086412</v>
      </c>
      <c r="G66" s="4">
        <v>222987039.12198988</v>
      </c>
      <c r="K66" s="4">
        <v>167.27233162079224</v>
      </c>
      <c r="L66" s="4">
        <v>29.346556269529504</v>
      </c>
    </row>
    <row r="67" spans="1:12" x14ac:dyDescent="0.3">
      <c r="A67" s="4">
        <v>1955</v>
      </c>
      <c r="B67" s="4">
        <f>G67*(B$73/G$73)^(6/12)*(B$61/G$61)^(6/12)</f>
        <v>90.529278161721209</v>
      </c>
      <c r="G67" s="4">
        <v>230731193.05697477</v>
      </c>
      <c r="K67" s="4">
        <v>164.38834885307767</v>
      </c>
      <c r="L67" s="4">
        <v>28.923865578445778</v>
      </c>
    </row>
    <row r="68" spans="1:12" x14ac:dyDescent="0.3">
      <c r="A68" s="4">
        <v>1954</v>
      </c>
      <c r="B68" s="4">
        <f>G68*(B$73/G$73)^(7/12)*(B$61/G$61)^(5/12)</f>
        <v>94.849674010411078</v>
      </c>
      <c r="G68" s="4">
        <v>238744295.00079858</v>
      </c>
      <c r="H68" s="4">
        <v>449285</v>
      </c>
      <c r="K68" s="4">
        <v>161.55408953050122</v>
      </c>
      <c r="L68" s="4">
        <v>28.507263077699886</v>
      </c>
    </row>
    <row r="69" spans="1:12" x14ac:dyDescent="0.3">
      <c r="A69" s="4">
        <v>1953</v>
      </c>
      <c r="B69" s="4">
        <f>G69*(B$73/G$73)^(8/12)*(B$61/G$61)^(4/12)</f>
        <v>93.932497258421449</v>
      </c>
      <c r="G69" s="4">
        <v>233503252.44730383</v>
      </c>
      <c r="K69" s="4">
        <v>158.76869635910677</v>
      </c>
      <c r="L69" s="4">
        <v>28.096661076546866</v>
      </c>
    </row>
    <row r="70" spans="1:12" x14ac:dyDescent="0.3">
      <c r="A70" s="4">
        <v>1952</v>
      </c>
      <c r="B70" s="4">
        <f>G70*(B$73/G$73)^(9/12)*(B$61/G$61)^(3/12)</f>
        <v>93.024189416137347</v>
      </c>
      <c r="G70" s="4">
        <v>228377264.06525004</v>
      </c>
      <c r="K70" s="4">
        <v>156.0313268257508</v>
      </c>
      <c r="L70" s="4">
        <v>27.691973147288131</v>
      </c>
    </row>
    <row r="71" spans="1:12" x14ac:dyDescent="0.3">
      <c r="A71" s="4">
        <v>1951</v>
      </c>
      <c r="B71" s="4">
        <f>G71*(B$73/G$73)^(10/12)*(B$61/G$61)^(2/12)</f>
        <v>92.124664723034115</v>
      </c>
      <c r="G71" s="4">
        <v>223363804.12388203</v>
      </c>
      <c r="K71" s="4">
        <v>153.34115294326293</v>
      </c>
      <c r="L71" s="4">
        <v>27.293114107079294</v>
      </c>
    </row>
    <row r="72" spans="1:12" x14ac:dyDescent="0.3">
      <c r="A72" s="4">
        <v>1950</v>
      </c>
      <c r="B72" s="4">
        <f>G72*(B$73/G$73)^(11/12)*(B$61/G$61)^(1/12)</f>
        <v>91.233838247873791</v>
      </c>
      <c r="G72" s="4">
        <v>218460402.33863816</v>
      </c>
      <c r="K72" s="4">
        <v>150.697361</v>
      </c>
      <c r="L72" s="4">
        <v>26.9</v>
      </c>
    </row>
    <row r="73" spans="1:12" x14ac:dyDescent="0.3">
      <c r="A73" s="4">
        <v>1949</v>
      </c>
      <c r="B73" s="4">
        <f>B$61*E73*F73*K73*(100-L73)/(E$61*K$61*(100-L$61))</f>
        <v>90.351625880685845</v>
      </c>
      <c r="E73" s="4">
        <v>25</v>
      </c>
      <c r="F73" s="4">
        <v>1.7297297297297298</v>
      </c>
      <c r="G73" s="4">
        <v>213664642.65396577</v>
      </c>
      <c r="K73" s="4">
        <v>148.73274275017829</v>
      </c>
      <c r="L73" s="4">
        <v>26.703676176290738</v>
      </c>
    </row>
    <row r="74" spans="1:12" x14ac:dyDescent="0.3">
      <c r="A74" s="4">
        <v>1948</v>
      </c>
      <c r="B74" s="4">
        <f t="shared" ref="B74:B92" si="2">B73*G74/G73</f>
        <v>88.368178627981791</v>
      </c>
      <c r="G74" s="4">
        <v>208974162.05285692</v>
      </c>
      <c r="K74" s="4">
        <v>146.79373692543095</v>
      </c>
      <c r="L74" s="4">
        <v>26.508785179486921</v>
      </c>
    </row>
    <row r="75" spans="1:12" x14ac:dyDescent="0.3">
      <c r="A75" s="4">
        <v>1947</v>
      </c>
      <c r="B75" s="4">
        <f t="shared" si="2"/>
        <v>86.428273071023796</v>
      </c>
      <c r="G75" s="4">
        <v>204386649.39251778</v>
      </c>
      <c r="H75" s="4">
        <v>384628482</v>
      </c>
      <c r="K75" s="4">
        <v>144.88000962052317</v>
      </c>
      <c r="L75" s="4">
        <v>26.315316552411691</v>
      </c>
    </row>
    <row r="76" spans="1:12" x14ac:dyDescent="0.3">
      <c r="A76" s="4">
        <v>1946</v>
      </c>
      <c r="B76" s="4">
        <f t="shared" si="2"/>
        <v>81.46713861254112</v>
      </c>
      <c r="G76" s="4">
        <v>192654497.24918181</v>
      </c>
      <c r="K76" s="4">
        <v>142.99123128329111</v>
      </c>
      <c r="L76" s="4">
        <v>26.123259914207658</v>
      </c>
    </row>
    <row r="77" spans="1:12" x14ac:dyDescent="0.3">
      <c r="A77" s="4">
        <v>1945</v>
      </c>
      <c r="B77" s="4">
        <f t="shared" si="2"/>
        <v>76.790781973174632</v>
      </c>
      <c r="G77" s="4">
        <v>181595791.21557704</v>
      </c>
      <c r="K77" s="4">
        <v>141.12707665789162</v>
      </c>
      <c r="L77" s="4">
        <v>25.932604959779869</v>
      </c>
    </row>
    <row r="78" spans="1:12" x14ac:dyDescent="0.3">
      <c r="A78" s="4">
        <v>1944</v>
      </c>
      <c r="B78" s="4">
        <f t="shared" si="2"/>
        <v>72.382856406642958</v>
      </c>
      <c r="G78" s="4">
        <v>171171874.303866</v>
      </c>
      <c r="K78" s="4">
        <v>139.28722472879184</v>
      </c>
      <c r="L78" s="4">
        <v>25.743341459242874</v>
      </c>
    </row>
    <row r="79" spans="1:12" x14ac:dyDescent="0.3">
      <c r="A79" s="4">
        <v>1943</v>
      </c>
      <c r="B79" s="4">
        <f t="shared" si="2"/>
        <v>68.227953498571395</v>
      </c>
      <c r="G79" s="4">
        <v>161346308.50511256</v>
      </c>
      <c r="K79" s="4">
        <v>137.47135866548888</v>
      </c>
      <c r="L79" s="4">
        <v>25.55545925737183</v>
      </c>
    </row>
    <row r="80" spans="1:12" x14ac:dyDescent="0.3">
      <c r="A80" s="4">
        <v>1942</v>
      </c>
      <c r="B80" s="4">
        <f t="shared" si="2"/>
        <v>64.311549304594749</v>
      </c>
      <c r="G80" s="4">
        <v>152084747.41600114</v>
      </c>
      <c r="K80" s="4">
        <v>135.67916576795022</v>
      </c>
      <c r="L80" s="4">
        <v>25.368948273057594</v>
      </c>
    </row>
    <row r="81" spans="1:12" x14ac:dyDescent="0.3">
      <c r="A81" s="4">
        <v>1941</v>
      </c>
      <c r="B81" s="4">
        <f t="shared" si="2"/>
        <v>60.619953580227552</v>
      </c>
      <c r="G81" s="4">
        <v>143354816.17700574</v>
      </c>
      <c r="K81" s="4">
        <v>133.91033741276547</v>
      </c>
      <c r="L81" s="4">
        <v>25.183798498765825</v>
      </c>
    </row>
    <row r="82" spans="1:12" x14ac:dyDescent="0.3">
      <c r="A82" s="4">
        <v>1940</v>
      </c>
      <c r="B82" s="4">
        <f t="shared" si="2"/>
        <v>57.140261925028732</v>
      </c>
      <c r="G82" s="4">
        <v>135125998.30231848</v>
      </c>
      <c r="K82" s="4">
        <v>132.164569</v>
      </c>
      <c r="L82" s="4">
        <v>25</v>
      </c>
    </row>
    <row r="83" spans="1:12" x14ac:dyDescent="0.3">
      <c r="A83" s="4">
        <v>1939</v>
      </c>
      <c r="B83" s="4">
        <f t="shared" si="2"/>
        <v>53.860310673775217</v>
      </c>
      <c r="G83" s="4">
        <v>127369529.00593895</v>
      </c>
      <c r="H83" s="4">
        <v>239692508</v>
      </c>
      <c r="K83" s="4">
        <v>131.1941741887735</v>
      </c>
      <c r="L83" s="4">
        <v>25.408600264766964</v>
      </c>
    </row>
    <row r="84" spans="1:12" x14ac:dyDescent="0.3">
      <c r="A84" s="4">
        <v>1938</v>
      </c>
      <c r="B84" s="4">
        <f t="shared" si="2"/>
        <v>52.099296090947263</v>
      </c>
      <c r="G84" s="4">
        <v>123205059.93434484</v>
      </c>
      <c r="K84" s="4">
        <v>130.23090432863478</v>
      </c>
      <c r="L84" s="4">
        <v>25.823878696588626</v>
      </c>
    </row>
    <row r="85" spans="1:12" x14ac:dyDescent="0.3">
      <c r="A85" s="4">
        <v>1937</v>
      </c>
      <c r="B85" s="4">
        <f t="shared" si="2"/>
        <v>50.395859571114819</v>
      </c>
      <c r="G85" s="4">
        <v>119176752.17844072</v>
      </c>
      <c r="H85" s="4">
        <v>224274792</v>
      </c>
      <c r="K85" s="4">
        <v>129.2747071058993</v>
      </c>
      <c r="L85" s="4">
        <v>26.245944443498061</v>
      </c>
    </row>
    <row r="86" spans="1:12" x14ac:dyDescent="0.3">
      <c r="A86" s="4">
        <v>1936</v>
      </c>
      <c r="B86" s="4">
        <f t="shared" si="2"/>
        <v>44.974928881357897</v>
      </c>
      <c r="G86" s="4">
        <v>106357268.21908867</v>
      </c>
      <c r="K86" s="4">
        <v>128.32553059098643</v>
      </c>
      <c r="L86" s="4">
        <v>26.674908437444948</v>
      </c>
    </row>
    <row r="87" spans="1:12" x14ac:dyDescent="0.3">
      <c r="A87" s="4">
        <v>1935</v>
      </c>
      <c r="B87" s="4">
        <f t="shared" si="2"/>
        <v>40.137111363858324</v>
      </c>
      <c r="G87" s="4">
        <v>94916737.503386229</v>
      </c>
      <c r="H87" s="4">
        <v>178620672</v>
      </c>
      <c r="K87" s="4">
        <v>127.38332323559928</v>
      </c>
      <c r="L87" s="4">
        <v>27.11088342345192</v>
      </c>
    </row>
    <row r="88" spans="1:12" x14ac:dyDescent="0.3">
      <c r="A88" s="4">
        <v>1934</v>
      </c>
      <c r="B88" s="4">
        <f t="shared" si="2"/>
        <v>39.70092650250006</v>
      </c>
      <c r="G88" s="4">
        <v>93885242.147051916</v>
      </c>
      <c r="K88" s="4">
        <v>126.44803386992514</v>
      </c>
      <c r="L88" s="4">
        <v>27.553983989247463</v>
      </c>
    </row>
    <row r="89" spans="1:12" x14ac:dyDescent="0.3">
      <c r="A89" s="4">
        <v>1933</v>
      </c>
      <c r="B89" s="4">
        <f t="shared" si="2"/>
        <v>39.269481823651518</v>
      </c>
      <c r="G89" s="4">
        <v>92864956.432959035</v>
      </c>
      <c r="H89" s="4">
        <v>174759493</v>
      </c>
      <c r="K89" s="4">
        <v>125.51961169985655</v>
      </c>
      <c r="L89" s="4">
        <v>28.004326595383102</v>
      </c>
    </row>
    <row r="90" spans="1:12" x14ac:dyDescent="0.3">
      <c r="A90" s="4">
        <v>1932</v>
      </c>
      <c r="B90" s="4">
        <f t="shared" si="2"/>
        <v>40.242527696790503</v>
      </c>
      <c r="G90" s="4">
        <v>95166027.351646304</v>
      </c>
      <c r="K90" s="4">
        <v>124.59800630423273</v>
      </c>
      <c r="L90" s="4">
        <v>28.462029605842858</v>
      </c>
    </row>
    <row r="91" spans="1:12" x14ac:dyDescent="0.3">
      <c r="A91" s="4">
        <v>1931</v>
      </c>
      <c r="B91" s="4">
        <f t="shared" si="2"/>
        <v>41.239684360988171</v>
      </c>
      <c r="G91" s="4">
        <v>97524115.767312095</v>
      </c>
      <c r="H91" s="4">
        <v>183527411</v>
      </c>
      <c r="K91" s="4">
        <v>123.68316763210127</v>
      </c>
      <c r="L91" s="4">
        <v>28.927213319152951</v>
      </c>
    </row>
    <row r="92" spans="1:12" x14ac:dyDescent="0.3">
      <c r="A92" s="4">
        <v>1930</v>
      </c>
      <c r="B92" s="4">
        <f t="shared" si="2"/>
        <v>43.267695174222169</v>
      </c>
      <c r="G92" s="4">
        <v>102319980.82767344</v>
      </c>
      <c r="K92" s="4">
        <v>122.775046</v>
      </c>
      <c r="L92" s="4">
        <v>29.4</v>
      </c>
    </row>
    <row r="93" spans="1:12" x14ac:dyDescent="0.3">
      <c r="A93" s="4">
        <v>1929</v>
      </c>
      <c r="B93" s="4">
        <f>B92*G93/G92</f>
        <v>45.395435845293889</v>
      </c>
      <c r="G93" s="4">
        <v>107351688.28964211</v>
      </c>
      <c r="H93" s="4">
        <v>202021595</v>
      </c>
      <c r="J93" s="4">
        <v>202022</v>
      </c>
      <c r="K93" s="4">
        <v>120.98694330532393</v>
      </c>
      <c r="L93" s="4">
        <v>29.631614117570692</v>
      </c>
    </row>
    <row r="94" spans="1:12" x14ac:dyDescent="0.3">
      <c r="A94" s="4">
        <v>1928</v>
      </c>
      <c r="B94" s="4">
        <f>B93*J94/J93</f>
        <v>41.112769388004082</v>
      </c>
      <c r="J94" s="4">
        <v>182962.97287702779</v>
      </c>
      <c r="K94" s="4">
        <v>119.22488263914531</v>
      </c>
      <c r="L94" s="4">
        <v>29.865052898388253</v>
      </c>
    </row>
    <row r="95" spans="1:12" x14ac:dyDescent="0.3">
      <c r="A95" s="4">
        <v>1927</v>
      </c>
      <c r="B95" s="4">
        <f t="shared" ref="B95:B122" si="3">B94*J95/J94</f>
        <v>37.234135442857159</v>
      </c>
      <c r="J95" s="4">
        <v>165702</v>
      </c>
      <c r="K95" s="4">
        <v>117.48848472389228</v>
      </c>
      <c r="L95" s="4">
        <v>30.100330717206692</v>
      </c>
    </row>
    <row r="96" spans="1:12" x14ac:dyDescent="0.3">
      <c r="A96" s="4">
        <v>1926</v>
      </c>
      <c r="B96" s="4">
        <f t="shared" si="3"/>
        <v>35.822400652863145</v>
      </c>
      <c r="J96" s="4">
        <v>159419.39734549244</v>
      </c>
      <c r="K96" s="4">
        <v>115.77737580581295</v>
      </c>
      <c r="L96" s="4">
        <v>30.337462062024777</v>
      </c>
    </row>
    <row r="97" spans="1:12" x14ac:dyDescent="0.3">
      <c r="A97" s="4">
        <v>1925</v>
      </c>
      <c r="B97" s="4">
        <f t="shared" si="3"/>
        <v>34.464191883913394</v>
      </c>
      <c r="J97" s="4">
        <v>153375</v>
      </c>
      <c r="K97" s="4">
        <v>114.09118757452612</v>
      </c>
      <c r="L97" s="4">
        <v>30.576461534978179</v>
      </c>
    </row>
    <row r="98" spans="1:12" x14ac:dyDescent="0.3">
      <c r="A98" s="4">
        <v>1924</v>
      </c>
      <c r="B98" s="4">
        <f t="shared" si="3"/>
        <v>31.560709126012505</v>
      </c>
      <c r="J98" s="4">
        <v>140453.71435102739</v>
      </c>
      <c r="K98" s="4">
        <v>112.42955708374379</v>
      </c>
      <c r="L98" s="4">
        <v>30.817343853238658</v>
      </c>
    </row>
    <row r="99" spans="1:12" x14ac:dyDescent="0.3">
      <c r="A99" s="4">
        <v>1923</v>
      </c>
      <c r="B99" s="4">
        <f t="shared" si="3"/>
        <v>28.90183422527025</v>
      </c>
      <c r="J99" s="4">
        <v>128621</v>
      </c>
      <c r="K99" s="4">
        <v>110.79212667314813</v>
      </c>
      <c r="L99" s="4">
        <v>31.060123849920302</v>
      </c>
    </row>
    <row r="100" spans="1:12" x14ac:dyDescent="0.3">
      <c r="A100" s="4">
        <v>1922</v>
      </c>
      <c r="B100" s="4">
        <f t="shared" si="3"/>
        <v>28.056824351750706</v>
      </c>
      <c r="J100" s="4">
        <v>124860.47691019112</v>
      </c>
      <c r="K100" s="4">
        <v>109.17854389140639</v>
      </c>
      <c r="L100" s="4">
        <v>31.30481647499294</v>
      </c>
    </row>
    <row r="101" spans="1:12" x14ac:dyDescent="0.3">
      <c r="A101" s="4">
        <v>1921</v>
      </c>
      <c r="B101" s="4">
        <f t="shared" si="3"/>
        <v>27.236520234993218</v>
      </c>
      <c r="J101" s="4">
        <v>121209.90113776441</v>
      </c>
      <c r="K101" s="4">
        <v>107.5884614203069</v>
      </c>
      <c r="L101" s="4">
        <v>31.551436796202729</v>
      </c>
    </row>
    <row r="102" spans="1:12" x14ac:dyDescent="0.3">
      <c r="A102" s="4">
        <v>1920</v>
      </c>
      <c r="B102" s="4">
        <f t="shared" si="3"/>
        <v>26.440199546849499</v>
      </c>
      <c r="J102" s="4">
        <v>117666.05812657656</v>
      </c>
      <c r="K102" s="4">
        <v>106.021537</v>
      </c>
      <c r="L102" s="4">
        <v>31.8</v>
      </c>
    </row>
    <row r="103" spans="1:12" x14ac:dyDescent="0.3">
      <c r="A103" s="4">
        <v>1919</v>
      </c>
      <c r="B103" s="4">
        <f t="shared" si="3"/>
        <v>25.667161078052981</v>
      </c>
      <c r="J103" s="4">
        <v>114225.82730523509</v>
      </c>
      <c r="K103" s="4">
        <v>104.55413153989278</v>
      </c>
      <c r="L103" s="4">
        <v>31.829873397289791</v>
      </c>
    </row>
    <row r="104" spans="1:12" x14ac:dyDescent="0.3">
      <c r="A104" s="4">
        <v>1918</v>
      </c>
      <c r="B104" s="4">
        <f t="shared" si="3"/>
        <v>24.916724120760957</v>
      </c>
      <c r="J104" s="4">
        <v>110886.17933924324</v>
      </c>
      <c r="K104" s="4">
        <v>103.10703590404651</v>
      </c>
      <c r="L104" s="4">
        <v>31.859774858097385</v>
      </c>
    </row>
    <row r="105" spans="1:12" x14ac:dyDescent="0.3">
      <c r="A105" s="4">
        <v>1917</v>
      </c>
      <c r="B105" s="4">
        <f t="shared" si="3"/>
        <v>24.188227869149522</v>
      </c>
      <c r="J105" s="4">
        <v>107644.17346348509</v>
      </c>
      <c r="K105" s="4">
        <v>101.67996899158442</v>
      </c>
      <c r="L105" s="4">
        <v>31.889704408786056</v>
      </c>
    </row>
    <row r="106" spans="1:12" x14ac:dyDescent="0.3">
      <c r="A106" s="4">
        <v>1916</v>
      </c>
      <c r="B106" s="4">
        <f t="shared" si="3"/>
        <v>23.481030837533449</v>
      </c>
      <c r="J106" s="4">
        <v>104496.95489270111</v>
      </c>
      <c r="K106" s="4">
        <v>100.27265359224447</v>
      </c>
      <c r="L106" s="4">
        <v>31.919662075743858</v>
      </c>
    </row>
    <row r="107" spans="1:12" x14ac:dyDescent="0.3">
      <c r="A107" s="4">
        <v>1915</v>
      </c>
      <c r="B107" s="4">
        <f t="shared" si="3"/>
        <v>22.794510295498679</v>
      </c>
      <c r="J107" s="4">
        <v>101441.75230767456</v>
      </c>
      <c r="K107" s="4">
        <v>98.884816332530846</v>
      </c>
      <c r="L107" s="4">
        <v>31.949647885383641</v>
      </c>
    </row>
    <row r="108" spans="1:12" x14ac:dyDescent="0.3">
      <c r="A108" s="4">
        <v>1914</v>
      </c>
      <c r="B108" s="4">
        <f t="shared" si="3"/>
        <v>22.128061719549926</v>
      </c>
      <c r="J108" s="4">
        <v>98475.875414914713</v>
      </c>
      <c r="K108" s="4">
        <v>97.516187622610687</v>
      </c>
      <c r="L108" s="4">
        <v>31.979661864143058</v>
      </c>
    </row>
    <row r="109" spans="1:12" x14ac:dyDescent="0.3">
      <c r="A109" s="4">
        <v>1913</v>
      </c>
      <c r="B109" s="4">
        <f t="shared" si="3"/>
        <v>21.481098260790635</v>
      </c>
      <c r="J109" s="4">
        <v>95596.712577688217</v>
      </c>
      <c r="K109" s="4">
        <v>96.166501603945761</v>
      </c>
      <c r="L109" s="4">
        <v>32.009704038484607</v>
      </c>
    </row>
    <row r="110" spans="1:12" x14ac:dyDescent="0.3">
      <c r="A110" s="4">
        <v>1912</v>
      </c>
      <c r="B110" s="4">
        <f t="shared" si="3"/>
        <v>20.853050228166474</v>
      </c>
      <c r="J110" s="4">
        <v>92801.728516312549</v>
      </c>
      <c r="K110" s="4">
        <v>94.835496097648999</v>
      </c>
      <c r="L110" s="4">
        <v>32.039774434895641</v>
      </c>
    </row>
    <row r="111" spans="1:12" x14ac:dyDescent="0.3">
      <c r="A111" s="4">
        <v>1911</v>
      </c>
      <c r="B111" s="4">
        <f t="shared" si="3"/>
        <v>20.243364586817393</v>
      </c>
      <c r="J111" s="4">
        <v>90088.462075686606</v>
      </c>
      <c r="K111" s="4">
        <v>93.522912553555756</v>
      </c>
      <c r="L111" s="4">
        <v>32.069873079888389</v>
      </c>
    </row>
    <row r="112" spans="1:12" x14ac:dyDescent="0.3">
      <c r="A112" s="4">
        <v>1910</v>
      </c>
      <c r="B112" s="4">
        <f t="shared" si="3"/>
        <v>19.651504471096459</v>
      </c>
      <c r="J112" s="4">
        <v>87454.524058092487</v>
      </c>
      <c r="K112" s="4">
        <v>92.228496000000007</v>
      </c>
      <c r="L112" s="4">
        <v>32.1</v>
      </c>
    </row>
    <row r="113" spans="1:12" x14ac:dyDescent="0.3">
      <c r="A113" s="4">
        <v>1909</v>
      </c>
      <c r="B113" s="4">
        <f t="shared" si="3"/>
        <v>19.076948711826692</v>
      </c>
      <c r="J113" s="4">
        <v>84897.595119360194</v>
      </c>
      <c r="K113" s="4">
        <v>90.485928148929617</v>
      </c>
      <c r="L113" s="4">
        <v>32.332288003568223</v>
      </c>
    </row>
    <row r="114" spans="1:12" x14ac:dyDescent="0.3">
      <c r="A114" s="4">
        <v>1908</v>
      </c>
      <c r="B114" s="4">
        <f t="shared" si="3"/>
        <v>18.519191377379592</v>
      </c>
      <c r="J114" s="4">
        <v>82415.423726542664</v>
      </c>
      <c r="K114" s="4">
        <v>88.776284424861984</v>
      </c>
      <c r="L114" s="4">
        <v>32.566256932887278</v>
      </c>
    </row>
    <row r="115" spans="1:12" x14ac:dyDescent="0.3">
      <c r="A115" s="4">
        <v>1907</v>
      </c>
      <c r="B115" s="4">
        <f t="shared" si="3"/>
        <v>17.977741328171284</v>
      </c>
      <c r="J115" s="4">
        <v>80005.82417530274</v>
      </c>
      <c r="K115" s="4">
        <v>87.098942758396419</v>
      </c>
      <c r="L115" s="4">
        <v>32.801918951785417</v>
      </c>
    </row>
    <row r="116" spans="1:12" x14ac:dyDescent="0.3">
      <c r="A116" s="4">
        <v>1906</v>
      </c>
      <c r="B116" s="4">
        <f t="shared" si="3"/>
        <v>17.452121784183944</v>
      </c>
      <c r="J116" s="4">
        <v>77666.674665266284</v>
      </c>
      <c r="K116" s="4">
        <v>85.453292833529289</v>
      </c>
      <c r="L116" s="4">
        <v>33.039286312113049</v>
      </c>
    </row>
    <row r="117" spans="1:12" x14ac:dyDescent="0.3">
      <c r="A117" s="4">
        <v>1905</v>
      </c>
      <c r="B117" s="4">
        <f t="shared" si="3"/>
        <v>16.941869905131714</v>
      </c>
      <c r="J117" s="4">
        <v>75395.91543164663</v>
      </c>
      <c r="K117" s="4">
        <v>83.838735865585036</v>
      </c>
      <c r="L117" s="4">
        <v>33.278371354379708</v>
      </c>
    </row>
    <row r="118" spans="1:12" x14ac:dyDescent="0.3">
      <c r="A118" s="4">
        <v>1904</v>
      </c>
      <c r="B118" s="4">
        <f t="shared" si="3"/>
        <v>16.446536382901417</v>
      </c>
      <c r="J118" s="4">
        <v>73191.54693149525</v>
      </c>
      <c r="K118" s="4">
        <v>82.254684383342962</v>
      </c>
      <c r="L118" s="4">
        <v>33.51918650839562</v>
      </c>
    </row>
    <row r="119" spans="1:12" x14ac:dyDescent="0.3">
      <c r="A119" s="4">
        <v>1903</v>
      </c>
      <c r="B119" s="4">
        <f t="shared" si="3"/>
        <v>15.965685045909176</v>
      </c>
      <c r="J119" s="4">
        <v>71051.628082981377</v>
      </c>
      <c r="K119" s="4">
        <v>80.700562015280482</v>
      </c>
      <c r="L119" s="4">
        <v>33.761744293917936</v>
      </c>
    </row>
    <row r="120" spans="1:12" x14ac:dyDescent="0.3">
      <c r="A120" s="4">
        <v>1902</v>
      </c>
      <c r="B120" s="4">
        <f t="shared" si="3"/>
        <v>15.498892475024528</v>
      </c>
      <c r="J120" s="4">
        <v>68974.274556150223</v>
      </c>
      <c r="K120" s="4">
        <v>79.175803279855089</v>
      </c>
      <c r="L120" s="4">
        <v>34.006057321301583</v>
      </c>
    </row>
    <row r="121" spans="1:12" x14ac:dyDescent="0.3">
      <c r="A121" s="4">
        <v>1901</v>
      </c>
      <c r="B121" s="4">
        <f t="shared" si="3"/>
        <v>15.045747630723895</v>
      </c>
      <c r="J121" s="4">
        <v>66957.657113654786</v>
      </c>
      <c r="K121" s="4">
        <v>77.679853379748778</v>
      </c>
      <c r="L121" s="4">
        <v>34.25213829215491</v>
      </c>
    </row>
    <row r="122" spans="1:12" x14ac:dyDescent="0.3">
      <c r="A122" s="4">
        <v>1900</v>
      </c>
      <c r="B122" s="4">
        <f t="shared" si="3"/>
        <v>14.605851491145042</v>
      </c>
      <c r="J122" s="4">
        <v>65000</v>
      </c>
      <c r="K122" s="3">
        <v>76.212168000000005</v>
      </c>
      <c r="L122" s="3">
        <v>34.5</v>
      </c>
    </row>
    <row r="123" spans="1:12" x14ac:dyDescent="0.3">
      <c r="L123" s="3"/>
    </row>
    <row r="124" spans="1:12" x14ac:dyDescent="0.3">
      <c r="L124" s="3"/>
    </row>
    <row r="125" spans="1:12" x14ac:dyDescent="0.3">
      <c r="L125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4BA6-DB6F-43AF-A29E-BA967FEE4082}">
  <dimension ref="A1:M79"/>
  <sheetViews>
    <sheetView workbookViewId="0">
      <selection sqref="A1:XFD1"/>
    </sheetView>
  </sheetViews>
  <sheetFormatPr defaultRowHeight="14.4" x14ac:dyDescent="0.3"/>
  <cols>
    <col min="1" max="16384" width="8.88671875" style="4"/>
  </cols>
  <sheetData>
    <row r="1" spans="1:13" x14ac:dyDescent="0.3">
      <c r="A1" s="4" t="s">
        <v>21</v>
      </c>
      <c r="B1" s="4" t="s">
        <v>315</v>
      </c>
    </row>
    <row r="2" spans="1:13" x14ac:dyDescent="0.3">
      <c r="A2" s="4" t="s">
        <v>24</v>
      </c>
      <c r="B2" s="4" t="s">
        <v>316</v>
      </c>
    </row>
    <row r="3" spans="1:13" x14ac:dyDescent="0.3">
      <c r="A3" s="4" t="s">
        <v>52</v>
      </c>
      <c r="B3" s="4" t="s">
        <v>73</v>
      </c>
    </row>
    <row r="4" spans="1:13" x14ac:dyDescent="0.3">
      <c r="A4" s="4" t="s">
        <v>54</v>
      </c>
      <c r="B4" s="4" t="s">
        <v>317</v>
      </c>
    </row>
    <row r="5" spans="1:13" x14ac:dyDescent="0.3">
      <c r="A5" s="4" t="s">
        <v>30</v>
      </c>
      <c r="B5" s="4">
        <v>198409</v>
      </c>
    </row>
    <row r="7" spans="1:13" x14ac:dyDescent="0.3">
      <c r="A7" s="4" t="s">
        <v>31</v>
      </c>
    </row>
    <row r="8" spans="1:13" x14ac:dyDescent="0.3">
      <c r="A8" s="4" t="s">
        <v>32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40</v>
      </c>
      <c r="J8" s="4" t="s">
        <v>41</v>
      </c>
      <c r="K8" s="4" t="s">
        <v>42</v>
      </c>
      <c r="L8" s="4" t="s">
        <v>43</v>
      </c>
      <c r="M8" s="4" t="s">
        <v>44</v>
      </c>
    </row>
    <row r="9" spans="1:13" x14ac:dyDescent="0.3">
      <c r="A9" s="4">
        <v>1984</v>
      </c>
      <c r="J9" s="4">
        <v>100</v>
      </c>
    </row>
    <row r="10" spans="1:13" x14ac:dyDescent="0.3">
      <c r="A10" s="4">
        <v>1985</v>
      </c>
      <c r="D10" s="4">
        <v>100</v>
      </c>
      <c r="E10" s="4">
        <v>100</v>
      </c>
      <c r="F10" s="4">
        <v>100</v>
      </c>
      <c r="H10" s="4">
        <v>100</v>
      </c>
      <c r="I10" s="4">
        <v>100</v>
      </c>
      <c r="J10" s="4">
        <v>100.4</v>
      </c>
      <c r="K10" s="4">
        <v>108.1</v>
      </c>
      <c r="L10" s="4">
        <v>108.1</v>
      </c>
      <c r="M10" s="4">
        <v>108.1</v>
      </c>
    </row>
    <row r="11" spans="1:13" x14ac:dyDescent="0.3">
      <c r="A11" s="4">
        <v>1986</v>
      </c>
      <c r="B11" s="4">
        <v>111.6</v>
      </c>
      <c r="C11" s="4">
        <v>111.1</v>
      </c>
      <c r="D11" s="4">
        <v>111.1</v>
      </c>
      <c r="E11" s="4">
        <v>111.1</v>
      </c>
      <c r="F11" s="4">
        <v>110.9</v>
      </c>
      <c r="G11" s="4">
        <v>110.9</v>
      </c>
      <c r="H11" s="4">
        <v>110.7</v>
      </c>
      <c r="I11" s="4">
        <v>110.7</v>
      </c>
      <c r="J11" s="4">
        <v>110.7</v>
      </c>
      <c r="K11" s="4">
        <v>115.5</v>
      </c>
      <c r="L11" s="4">
        <v>115.5</v>
      </c>
      <c r="M11" s="4">
        <v>115.5</v>
      </c>
    </row>
    <row r="12" spans="1:13" x14ac:dyDescent="0.3">
      <c r="A12" s="4">
        <v>1987</v>
      </c>
      <c r="B12" s="4">
        <v>115.5</v>
      </c>
      <c r="C12" s="4">
        <v>115.5</v>
      </c>
      <c r="D12" s="4">
        <v>115.5</v>
      </c>
      <c r="F12" s="4">
        <v>120.6</v>
      </c>
      <c r="G12" s="4">
        <v>120.6</v>
      </c>
      <c r="H12" s="4">
        <v>120.4</v>
      </c>
      <c r="I12" s="4">
        <v>120.4</v>
      </c>
      <c r="J12" s="4">
        <v>120.4</v>
      </c>
      <c r="K12" s="4">
        <v>120.7</v>
      </c>
      <c r="L12" s="4">
        <v>120.7</v>
      </c>
      <c r="M12" s="4">
        <v>120.7</v>
      </c>
    </row>
    <row r="13" spans="1:13" x14ac:dyDescent="0.3">
      <c r="A13" s="4">
        <v>1988</v>
      </c>
      <c r="B13" s="4">
        <v>127.4</v>
      </c>
      <c r="C13" s="4">
        <v>127.4</v>
      </c>
      <c r="D13" s="4">
        <v>127.4</v>
      </c>
      <c r="F13" s="4">
        <v>123.7</v>
      </c>
      <c r="G13" s="4">
        <v>123.7</v>
      </c>
      <c r="H13" s="4">
        <v>122.5</v>
      </c>
      <c r="I13" s="4">
        <v>122.5</v>
      </c>
      <c r="J13" s="4">
        <v>122.5</v>
      </c>
      <c r="K13" s="4">
        <v>129.4</v>
      </c>
      <c r="L13" s="4">
        <v>130.80000000000001</v>
      </c>
      <c r="M13" s="4">
        <v>130.80000000000001</v>
      </c>
    </row>
    <row r="14" spans="1:13" x14ac:dyDescent="0.3">
      <c r="A14" s="4">
        <v>1989</v>
      </c>
      <c r="B14" s="4">
        <v>130.69999999999999</v>
      </c>
      <c r="C14" s="4">
        <v>130.69999999999999</v>
      </c>
      <c r="D14" s="4">
        <v>130.69999999999999</v>
      </c>
      <c r="E14" s="4">
        <v>130.69999999999999</v>
      </c>
      <c r="F14" s="4">
        <v>130.69999999999999</v>
      </c>
      <c r="G14" s="4">
        <v>133</v>
      </c>
      <c r="H14" s="4">
        <v>133</v>
      </c>
      <c r="I14" s="4">
        <v>133</v>
      </c>
      <c r="J14" s="4">
        <v>133</v>
      </c>
      <c r="K14" s="4">
        <v>133</v>
      </c>
      <c r="L14" s="4">
        <v>133</v>
      </c>
      <c r="M14" s="4">
        <v>133</v>
      </c>
    </row>
    <row r="15" spans="1:13" x14ac:dyDescent="0.3">
      <c r="A15" s="4">
        <v>1990</v>
      </c>
      <c r="B15" s="4">
        <v>133.80000000000001</v>
      </c>
      <c r="C15" s="4">
        <v>134.19999999999999</v>
      </c>
      <c r="D15" s="4">
        <v>134.30000000000001</v>
      </c>
      <c r="E15" s="4">
        <v>134.69999999999999</v>
      </c>
      <c r="F15" s="4">
        <v>135</v>
      </c>
      <c r="G15" s="4">
        <v>135.9</v>
      </c>
      <c r="H15" s="4">
        <v>136.19999999999999</v>
      </c>
      <c r="I15" s="4">
        <v>137.30000000000001</v>
      </c>
      <c r="J15" s="4">
        <v>138.4</v>
      </c>
      <c r="K15" s="4">
        <v>139.6</v>
      </c>
      <c r="L15" s="4">
        <v>140.30000000000001</v>
      </c>
      <c r="M15" s="4">
        <v>141</v>
      </c>
    </row>
    <row r="16" spans="1:13" x14ac:dyDescent="0.3">
      <c r="A16" s="4">
        <v>1991</v>
      </c>
      <c r="B16" s="4">
        <v>141.5</v>
      </c>
      <c r="C16" s="4">
        <v>142.4</v>
      </c>
      <c r="D16" s="4">
        <v>142.69999999999999</v>
      </c>
      <c r="E16" s="4">
        <v>143.6</v>
      </c>
      <c r="F16" s="4">
        <v>144.6</v>
      </c>
      <c r="G16" s="4">
        <v>145.6</v>
      </c>
      <c r="H16" s="4">
        <v>146</v>
      </c>
      <c r="I16" s="4">
        <v>146.9</v>
      </c>
      <c r="J16" s="4">
        <v>148.30000000000001</v>
      </c>
      <c r="K16" s="4">
        <v>149.1</v>
      </c>
      <c r="L16" s="4">
        <v>149.9</v>
      </c>
      <c r="M16" s="4">
        <v>150.6</v>
      </c>
    </row>
    <row r="17" spans="1:13" x14ac:dyDescent="0.3">
      <c r="A17" s="4">
        <v>1992</v>
      </c>
      <c r="B17" s="4">
        <v>151.9</v>
      </c>
      <c r="C17" s="4">
        <v>152.4</v>
      </c>
      <c r="D17" s="4">
        <v>152.4</v>
      </c>
      <c r="E17" s="4">
        <v>153.30000000000001</v>
      </c>
      <c r="F17" s="4">
        <v>153.9</v>
      </c>
      <c r="G17" s="4">
        <v>154.1</v>
      </c>
      <c r="H17" s="4">
        <v>154.19999999999999</v>
      </c>
      <c r="I17" s="4">
        <v>155</v>
      </c>
      <c r="J17" s="4">
        <v>156.1</v>
      </c>
      <c r="K17" s="4">
        <v>157</v>
      </c>
      <c r="L17" s="4">
        <v>157.6</v>
      </c>
      <c r="M17" s="4">
        <v>158.1</v>
      </c>
    </row>
    <row r="18" spans="1:13" x14ac:dyDescent="0.3">
      <c r="A18" s="4">
        <v>1993</v>
      </c>
      <c r="B18" s="4">
        <v>158.5</v>
      </c>
      <c r="C18" s="4">
        <v>158.80000000000001</v>
      </c>
      <c r="D18" s="4">
        <v>158.80000000000001</v>
      </c>
      <c r="E18" s="4">
        <v>159.69999999999999</v>
      </c>
      <c r="F18" s="4">
        <v>160.30000000000001</v>
      </c>
      <c r="G18" s="4">
        <v>161.1</v>
      </c>
      <c r="H18" s="4">
        <v>161.4</v>
      </c>
      <c r="I18" s="4">
        <v>161.80000000000001</v>
      </c>
      <c r="J18" s="4">
        <v>162.6</v>
      </c>
      <c r="K18" s="4">
        <v>163.4</v>
      </c>
      <c r="L18" s="4">
        <v>163.69999999999999</v>
      </c>
      <c r="M18" s="4">
        <v>164</v>
      </c>
    </row>
    <row r="19" spans="1:13" x14ac:dyDescent="0.3">
      <c r="A19" s="4">
        <v>1994</v>
      </c>
      <c r="B19" s="4">
        <v>164.4</v>
      </c>
      <c r="C19" s="4">
        <v>164.6</v>
      </c>
      <c r="D19" s="4">
        <v>164.8</v>
      </c>
      <c r="E19" s="4">
        <v>165.4</v>
      </c>
      <c r="F19" s="4">
        <v>165.8</v>
      </c>
      <c r="G19" s="4">
        <v>167.7</v>
      </c>
      <c r="H19" s="4">
        <v>168</v>
      </c>
      <c r="I19" s="4">
        <v>168.4</v>
      </c>
      <c r="J19" s="4">
        <v>170.4</v>
      </c>
      <c r="K19" s="4">
        <v>170.6</v>
      </c>
      <c r="L19" s="4">
        <v>170.8</v>
      </c>
      <c r="M19" s="4">
        <v>171.6</v>
      </c>
    </row>
    <row r="20" spans="1:13" x14ac:dyDescent="0.3">
      <c r="A20" s="4">
        <v>1995</v>
      </c>
      <c r="B20" s="4">
        <v>171.8</v>
      </c>
      <c r="C20" s="4">
        <v>171.9</v>
      </c>
      <c r="D20" s="4">
        <v>172.1</v>
      </c>
      <c r="E20" s="4">
        <v>169.6</v>
      </c>
      <c r="F20" s="4">
        <v>171</v>
      </c>
      <c r="G20" s="4">
        <v>171.8</v>
      </c>
      <c r="H20" s="4">
        <v>172</v>
      </c>
      <c r="I20" s="4">
        <v>173.8</v>
      </c>
      <c r="J20" s="4">
        <v>174.9</v>
      </c>
      <c r="K20" s="4">
        <v>174.2</v>
      </c>
      <c r="L20" s="4">
        <v>174.6</v>
      </c>
      <c r="M20" s="4">
        <v>175.3</v>
      </c>
    </row>
    <row r="21" spans="1:13" x14ac:dyDescent="0.3">
      <c r="A21" s="4">
        <v>1996</v>
      </c>
      <c r="B21" s="4">
        <v>177.3</v>
      </c>
      <c r="C21" s="4">
        <v>177.6</v>
      </c>
      <c r="D21" s="4">
        <v>177.6</v>
      </c>
      <c r="E21" s="4">
        <v>178</v>
      </c>
      <c r="F21" s="4">
        <v>178.5</v>
      </c>
      <c r="G21" s="4">
        <v>178.4</v>
      </c>
      <c r="H21" s="4">
        <v>178.7</v>
      </c>
      <c r="I21" s="4">
        <v>178.9</v>
      </c>
      <c r="J21" s="4">
        <v>179.8</v>
      </c>
      <c r="K21" s="4">
        <v>179.9</v>
      </c>
      <c r="L21" s="4">
        <v>180.3</v>
      </c>
      <c r="M21" s="4">
        <v>180.3</v>
      </c>
    </row>
    <row r="22" spans="1:13" x14ac:dyDescent="0.3">
      <c r="A22" s="4">
        <v>1997</v>
      </c>
      <c r="B22" s="4">
        <v>180.9</v>
      </c>
      <c r="C22" s="4">
        <v>181.3</v>
      </c>
      <c r="D22" s="4">
        <v>181.8</v>
      </c>
      <c r="E22" s="4">
        <v>183</v>
      </c>
      <c r="F22" s="4">
        <v>183.6</v>
      </c>
      <c r="G22" s="4">
        <v>185.5</v>
      </c>
      <c r="H22" s="4">
        <v>185.7</v>
      </c>
      <c r="I22" s="4">
        <v>186.2</v>
      </c>
      <c r="J22" s="4">
        <v>186.3</v>
      </c>
      <c r="K22" s="4">
        <v>187.7</v>
      </c>
      <c r="L22" s="4">
        <v>188.5</v>
      </c>
      <c r="M22" s="4">
        <v>189.4</v>
      </c>
    </row>
    <row r="23" spans="1:13" x14ac:dyDescent="0.3">
      <c r="A23" s="4">
        <v>1998</v>
      </c>
      <c r="B23" s="4">
        <v>189.9</v>
      </c>
      <c r="C23" s="4">
        <v>190.2</v>
      </c>
      <c r="D23" s="4">
        <v>190.3</v>
      </c>
      <c r="E23" s="4">
        <v>192.3</v>
      </c>
      <c r="F23" s="4">
        <v>192.4</v>
      </c>
      <c r="G23" s="4">
        <v>193.1</v>
      </c>
      <c r="H23" s="4">
        <v>193.2</v>
      </c>
      <c r="I23" s="4">
        <v>193.8</v>
      </c>
      <c r="J23" s="4">
        <v>194.3</v>
      </c>
      <c r="K23" s="4">
        <v>194.7</v>
      </c>
      <c r="L23" s="4">
        <v>195.3</v>
      </c>
      <c r="M23" s="4">
        <v>196</v>
      </c>
    </row>
    <row r="24" spans="1:13" x14ac:dyDescent="0.3">
      <c r="A24" s="4">
        <v>1999</v>
      </c>
      <c r="B24" s="4">
        <v>197.6</v>
      </c>
      <c r="C24" s="4">
        <v>198</v>
      </c>
      <c r="D24" s="4">
        <v>198.3</v>
      </c>
      <c r="E24" s="4">
        <v>199</v>
      </c>
      <c r="F24" s="4">
        <v>200.3</v>
      </c>
      <c r="G24" s="4">
        <v>200.3</v>
      </c>
      <c r="H24" s="4">
        <v>201.1</v>
      </c>
      <c r="I24" s="4">
        <v>202.4</v>
      </c>
      <c r="J24" s="4">
        <v>203.1</v>
      </c>
      <c r="K24" s="4">
        <v>203.2</v>
      </c>
      <c r="L24" s="4">
        <v>204</v>
      </c>
      <c r="M24" s="4">
        <v>204.3</v>
      </c>
    </row>
    <row r="25" spans="1:13" x14ac:dyDescent="0.3">
      <c r="A25" s="4">
        <v>2000</v>
      </c>
      <c r="B25" s="4">
        <v>204.9</v>
      </c>
      <c r="C25" s="4">
        <v>205.2</v>
      </c>
      <c r="D25" s="4">
        <v>205.5</v>
      </c>
      <c r="E25" s="4">
        <v>206.5</v>
      </c>
      <c r="F25" s="4">
        <v>207.4</v>
      </c>
      <c r="G25" s="4">
        <v>207.9</v>
      </c>
      <c r="H25" s="4">
        <v>208.4</v>
      </c>
      <c r="I25" s="4">
        <v>209.6</v>
      </c>
      <c r="J25" s="4">
        <v>210</v>
      </c>
      <c r="K25" s="4">
        <v>210.5</v>
      </c>
      <c r="L25" s="4">
        <v>211.2</v>
      </c>
      <c r="M25" s="4">
        <v>211.6</v>
      </c>
    </row>
    <row r="26" spans="1:13" x14ac:dyDescent="0.3">
      <c r="A26" s="4">
        <v>2001</v>
      </c>
      <c r="B26" s="4">
        <v>212.2</v>
      </c>
      <c r="C26" s="4">
        <v>212.6</v>
      </c>
      <c r="D26" s="4">
        <v>214.5</v>
      </c>
      <c r="E26" s="4">
        <v>214.7</v>
      </c>
      <c r="F26" s="4">
        <v>215.4</v>
      </c>
      <c r="G26" s="4">
        <v>215</v>
      </c>
      <c r="H26" s="4">
        <v>215.9</v>
      </c>
      <c r="I26" s="4">
        <v>216.9</v>
      </c>
      <c r="J26" s="4">
        <v>217.2</v>
      </c>
      <c r="K26" s="4">
        <v>217.8</v>
      </c>
      <c r="L26" s="4">
        <v>218.9</v>
      </c>
      <c r="M26" s="4">
        <v>220.5</v>
      </c>
    </row>
    <row r="27" spans="1:13" x14ac:dyDescent="0.3">
      <c r="A27" s="4">
        <v>2002</v>
      </c>
      <c r="B27" s="4">
        <v>221.2</v>
      </c>
      <c r="C27" s="4">
        <v>221.2</v>
      </c>
      <c r="D27" s="4">
        <v>221.9</v>
      </c>
      <c r="E27" s="4">
        <v>223</v>
      </c>
      <c r="F27" s="4">
        <v>223.5</v>
      </c>
      <c r="G27" s="4">
        <v>223.7</v>
      </c>
      <c r="H27" s="4">
        <v>223.9</v>
      </c>
      <c r="I27" s="4">
        <v>225.5</v>
      </c>
      <c r="J27" s="4">
        <v>226</v>
      </c>
      <c r="K27" s="4">
        <v>228</v>
      </c>
      <c r="L27" s="4">
        <v>229.5</v>
      </c>
      <c r="M27" s="4">
        <v>231.9</v>
      </c>
    </row>
    <row r="28" spans="1:13" x14ac:dyDescent="0.3">
      <c r="A28" s="4">
        <v>2003</v>
      </c>
      <c r="B28" s="4">
        <v>235.5</v>
      </c>
      <c r="C28" s="4">
        <v>235.6</v>
      </c>
      <c r="D28" s="4">
        <v>234.4</v>
      </c>
      <c r="E28" s="4">
        <v>235.3</v>
      </c>
      <c r="F28" s="4">
        <v>236.6</v>
      </c>
      <c r="G28" s="4">
        <v>236.1</v>
      </c>
      <c r="H28" s="4">
        <v>236.5</v>
      </c>
      <c r="I28" s="4">
        <v>236.3</v>
      </c>
      <c r="J28" s="4">
        <v>237.1</v>
      </c>
      <c r="K28" s="4">
        <v>237.4</v>
      </c>
      <c r="L28" s="4">
        <v>242.5</v>
      </c>
      <c r="M28" s="4">
        <v>242.4</v>
      </c>
    </row>
    <row r="29" spans="1:13" x14ac:dyDescent="0.3">
      <c r="A29" s="4">
        <v>2004</v>
      </c>
      <c r="B29" s="4">
        <v>242.7</v>
      </c>
      <c r="C29" s="4">
        <v>242.6</v>
      </c>
      <c r="D29" s="4">
        <v>241.8</v>
      </c>
      <c r="E29" s="4">
        <v>241.9</v>
      </c>
      <c r="F29" s="4">
        <v>242.8</v>
      </c>
      <c r="G29" s="4">
        <v>243.7</v>
      </c>
      <c r="H29" s="4">
        <v>247.1</v>
      </c>
      <c r="I29" s="4">
        <v>247.9</v>
      </c>
      <c r="J29" s="4">
        <v>246.1</v>
      </c>
      <c r="K29" s="4">
        <v>246.1</v>
      </c>
      <c r="L29" s="4">
        <v>246.4</v>
      </c>
      <c r="M29" s="4">
        <v>246.5</v>
      </c>
    </row>
    <row r="30" spans="1:13" x14ac:dyDescent="0.3">
      <c r="A30" s="4">
        <v>2005</v>
      </c>
      <c r="B30" s="4">
        <v>247.7</v>
      </c>
      <c r="C30" s="4">
        <v>248</v>
      </c>
      <c r="D30" s="4">
        <v>248.5</v>
      </c>
      <c r="E30" s="4">
        <v>247.9</v>
      </c>
      <c r="F30" s="4">
        <v>250.1</v>
      </c>
      <c r="G30" s="4">
        <v>249.1</v>
      </c>
      <c r="H30" s="4">
        <v>249.2</v>
      </c>
      <c r="I30" s="4">
        <v>250.3</v>
      </c>
      <c r="J30" s="4">
        <v>250.2</v>
      </c>
      <c r="K30" s="4">
        <v>250.5</v>
      </c>
      <c r="L30" s="4">
        <v>250.8</v>
      </c>
      <c r="M30" s="4">
        <v>252.6</v>
      </c>
    </row>
    <row r="31" spans="1:13" x14ac:dyDescent="0.3">
      <c r="A31" s="4">
        <v>2006</v>
      </c>
      <c r="B31" s="4">
        <v>253.5</v>
      </c>
      <c r="C31" s="4">
        <v>253.2</v>
      </c>
      <c r="D31" s="4">
        <v>253.5</v>
      </c>
      <c r="E31" s="4">
        <v>253.5</v>
      </c>
      <c r="F31" s="4">
        <v>254.6</v>
      </c>
      <c r="G31" s="4">
        <v>254.5</v>
      </c>
      <c r="H31" s="4">
        <v>254.5</v>
      </c>
      <c r="I31" s="4">
        <v>255.4</v>
      </c>
      <c r="J31" s="4">
        <v>255.1</v>
      </c>
      <c r="K31" s="4">
        <v>255.5</v>
      </c>
      <c r="L31" s="4">
        <v>255.6</v>
      </c>
      <c r="M31" s="4">
        <v>255.6</v>
      </c>
    </row>
    <row r="32" spans="1:13" x14ac:dyDescent="0.3">
      <c r="A32" s="4">
        <v>2007</v>
      </c>
      <c r="B32" s="4">
        <v>256.7</v>
      </c>
      <c r="C32" s="4">
        <v>259.5</v>
      </c>
      <c r="D32" s="4">
        <v>260.2</v>
      </c>
      <c r="E32" s="4">
        <v>260.2</v>
      </c>
      <c r="F32" s="4">
        <v>260.39999999999998</v>
      </c>
      <c r="G32" s="4">
        <v>260.39999999999998</v>
      </c>
      <c r="H32" s="4">
        <v>260.39999999999998</v>
      </c>
      <c r="I32" s="4">
        <v>260.89999999999998</v>
      </c>
      <c r="J32" s="4">
        <v>262.3</v>
      </c>
      <c r="K32" s="4">
        <v>262.39999999999998</v>
      </c>
      <c r="L32" s="4">
        <v>262.7</v>
      </c>
      <c r="M32" s="4">
        <v>263.10000000000002</v>
      </c>
    </row>
    <row r="33" spans="1:13" x14ac:dyDescent="0.3">
      <c r="A33" s="4">
        <v>2008</v>
      </c>
      <c r="B33" s="4">
        <v>264</v>
      </c>
      <c r="C33" s="4">
        <v>264.10000000000002</v>
      </c>
      <c r="D33" s="4">
        <v>264.5</v>
      </c>
      <c r="E33" s="4">
        <v>264.5</v>
      </c>
      <c r="F33" s="4">
        <v>264.5</v>
      </c>
      <c r="G33" s="4">
        <v>264.60000000000002</v>
      </c>
      <c r="H33" s="4">
        <v>264.60000000000002</v>
      </c>
      <c r="I33" s="4">
        <v>264.60000000000002</v>
      </c>
      <c r="J33" s="4">
        <v>264.8</v>
      </c>
      <c r="K33" s="4">
        <v>263.89999999999998</v>
      </c>
      <c r="L33" s="4">
        <v>263.89999999999998</v>
      </c>
      <c r="M33" s="4">
        <v>265</v>
      </c>
    </row>
    <row r="34" spans="1:13" x14ac:dyDescent="0.3">
      <c r="A34" s="4">
        <v>2009</v>
      </c>
      <c r="B34" s="4">
        <v>266.89999999999998</v>
      </c>
      <c r="C34" s="4">
        <v>267.10000000000002</v>
      </c>
      <c r="D34" s="4">
        <v>267.10000000000002</v>
      </c>
      <c r="E34" s="4">
        <v>267.10000000000002</v>
      </c>
      <c r="F34" s="4">
        <v>267.60000000000002</v>
      </c>
      <c r="G34" s="4">
        <v>268.8</v>
      </c>
      <c r="H34" s="4">
        <v>269.5</v>
      </c>
      <c r="I34" s="4">
        <v>270.5</v>
      </c>
      <c r="J34" s="4">
        <v>270.60000000000002</v>
      </c>
      <c r="K34" s="4">
        <v>271.10000000000002</v>
      </c>
      <c r="L34" s="4">
        <v>271.10000000000002</v>
      </c>
      <c r="M34" s="4">
        <v>271.10000000000002</v>
      </c>
    </row>
    <row r="35" spans="1:13" x14ac:dyDescent="0.3">
      <c r="A35" s="4">
        <v>2010</v>
      </c>
      <c r="B35" s="4">
        <v>271.2</v>
      </c>
      <c r="C35" s="4">
        <v>271.2</v>
      </c>
      <c r="D35" s="4">
        <v>271.39999999999998</v>
      </c>
      <c r="E35" s="4">
        <v>272.10000000000002</v>
      </c>
      <c r="F35" s="4">
        <v>272.8</v>
      </c>
      <c r="G35" s="4">
        <v>272.8</v>
      </c>
      <c r="H35" s="4">
        <v>272.89999999999998</v>
      </c>
      <c r="I35" s="4">
        <v>273.7</v>
      </c>
      <c r="J35" s="4">
        <v>274.7</v>
      </c>
      <c r="K35" s="4">
        <v>274.89999999999998</v>
      </c>
      <c r="L35" s="4">
        <v>275.10000000000002</v>
      </c>
      <c r="M35" s="4">
        <v>275.3</v>
      </c>
    </row>
    <row r="36" spans="1:13" x14ac:dyDescent="0.3">
      <c r="A36" s="4">
        <v>2011</v>
      </c>
      <c r="B36" s="4">
        <v>275.60000000000002</v>
      </c>
      <c r="C36" s="4">
        <v>275.60000000000002</v>
      </c>
      <c r="D36" s="4">
        <v>275.7</v>
      </c>
      <c r="E36" s="4">
        <v>276</v>
      </c>
      <c r="F36" s="4">
        <v>276.5</v>
      </c>
      <c r="G36" s="4">
        <v>276.8</v>
      </c>
      <c r="H36" s="4">
        <v>277.3</v>
      </c>
      <c r="I36" s="4">
        <v>277.60000000000002</v>
      </c>
      <c r="J36" s="4">
        <v>280.5</v>
      </c>
      <c r="K36" s="4">
        <v>280.5</v>
      </c>
      <c r="L36" s="4">
        <v>280.89999999999998</v>
      </c>
      <c r="M36" s="4">
        <v>281.10000000000002</v>
      </c>
    </row>
    <row r="37" spans="1:13" x14ac:dyDescent="0.3">
      <c r="A37" s="4">
        <v>2012</v>
      </c>
      <c r="B37" s="4">
        <v>281.2</v>
      </c>
      <c r="C37" s="4">
        <v>281.89999999999998</v>
      </c>
      <c r="D37" s="4">
        <v>282</v>
      </c>
      <c r="E37" s="4">
        <v>282.2</v>
      </c>
      <c r="F37" s="4">
        <v>283</v>
      </c>
      <c r="G37" s="4">
        <v>283</v>
      </c>
      <c r="H37" s="4">
        <v>283.3</v>
      </c>
      <c r="I37" s="4">
        <v>283.3</v>
      </c>
      <c r="J37" s="4">
        <v>287.60000000000002</v>
      </c>
      <c r="K37" s="4">
        <v>287.60000000000002</v>
      </c>
      <c r="L37" s="4">
        <v>287.60000000000002</v>
      </c>
      <c r="M37" s="4">
        <v>287.60000000000002</v>
      </c>
    </row>
    <row r="38" spans="1:13" x14ac:dyDescent="0.3">
      <c r="A38" s="4">
        <v>2013</v>
      </c>
      <c r="B38" s="4">
        <v>288.89999999999998</v>
      </c>
      <c r="C38" s="4">
        <v>288.89999999999998</v>
      </c>
      <c r="D38" s="4">
        <v>290</v>
      </c>
      <c r="E38" s="4">
        <v>289.89999999999998</v>
      </c>
      <c r="F38" s="4">
        <v>289.89999999999998</v>
      </c>
      <c r="G38" s="4">
        <v>290</v>
      </c>
      <c r="H38" s="4">
        <v>290</v>
      </c>
      <c r="I38" s="4">
        <v>290.2</v>
      </c>
      <c r="J38" s="4">
        <v>290.2</v>
      </c>
      <c r="K38" s="4">
        <v>290.3</v>
      </c>
      <c r="L38" s="4">
        <v>290.3</v>
      </c>
      <c r="M38" s="4">
        <v>290.39999999999998</v>
      </c>
    </row>
    <row r="39" spans="1:13" x14ac:dyDescent="0.3">
      <c r="A39" s="4">
        <v>2014</v>
      </c>
      <c r="B39" s="4">
        <v>290.60000000000002</v>
      </c>
      <c r="C39" s="4">
        <v>290.60000000000002</v>
      </c>
      <c r="D39" s="4">
        <v>289.7</v>
      </c>
      <c r="E39" s="4">
        <v>289.39999999999998</v>
      </c>
      <c r="F39" s="4">
        <v>289.39999999999998</v>
      </c>
      <c r="G39" s="4">
        <v>289.3</v>
      </c>
      <c r="H39" s="4">
        <v>289.8</v>
      </c>
      <c r="I39" s="4">
        <v>289.8</v>
      </c>
      <c r="J39" s="4">
        <v>289.8</v>
      </c>
      <c r="K39" s="4">
        <v>289.8</v>
      </c>
      <c r="L39" s="4">
        <v>289.8</v>
      </c>
      <c r="M39" s="4">
        <v>289.8</v>
      </c>
    </row>
    <row r="40" spans="1:13" x14ac:dyDescent="0.3">
      <c r="A40" s="4">
        <v>2015</v>
      </c>
      <c r="B40" s="4">
        <v>289.8</v>
      </c>
      <c r="C40" s="4">
        <v>289.8</v>
      </c>
      <c r="D40" s="4">
        <v>289.8</v>
      </c>
      <c r="E40" s="4">
        <v>289.8</v>
      </c>
      <c r="F40" s="4">
        <v>289.8</v>
      </c>
      <c r="G40" s="4">
        <v>289.8</v>
      </c>
      <c r="H40" s="4">
        <v>289.8</v>
      </c>
      <c r="I40" s="4">
        <v>289.89999999999998</v>
      </c>
      <c r="J40" s="4">
        <v>289.89999999999998</v>
      </c>
      <c r="K40" s="4">
        <v>289.89999999999998</v>
      </c>
      <c r="L40" s="4">
        <v>289.89999999999998</v>
      </c>
      <c r="M40" s="4">
        <v>290.60000000000002</v>
      </c>
    </row>
    <row r="41" spans="1:13" x14ac:dyDescent="0.3">
      <c r="A41" s="4">
        <v>2016</v>
      </c>
      <c r="B41" s="4">
        <v>290.8</v>
      </c>
      <c r="C41" s="4">
        <v>290.8</v>
      </c>
      <c r="D41" s="4">
        <v>290.8</v>
      </c>
      <c r="E41" s="4">
        <v>286.2</v>
      </c>
      <c r="F41" s="4">
        <v>286.2</v>
      </c>
      <c r="G41" s="4">
        <v>286.2</v>
      </c>
      <c r="H41" s="4">
        <v>286.2</v>
      </c>
      <c r="I41" s="4">
        <v>286.3</v>
      </c>
      <c r="J41" s="4">
        <v>284.8</v>
      </c>
      <c r="K41" s="4">
        <v>284.8</v>
      </c>
      <c r="L41" s="4">
        <v>284.8</v>
      </c>
      <c r="M41" s="4">
        <v>284.8</v>
      </c>
    </row>
    <row r="42" spans="1:13" x14ac:dyDescent="0.3">
      <c r="A42" s="4">
        <v>2017</v>
      </c>
      <c r="B42" s="4">
        <v>278.89999999999998</v>
      </c>
      <c r="C42" s="4">
        <v>278.89999999999998</v>
      </c>
      <c r="D42" s="4">
        <v>272</v>
      </c>
      <c r="E42" s="4">
        <v>272</v>
      </c>
      <c r="F42" s="4">
        <v>272</v>
      </c>
      <c r="G42" s="4">
        <v>272</v>
      </c>
      <c r="H42" s="4">
        <v>266.60000000000002</v>
      </c>
      <c r="I42" s="4">
        <v>266.7</v>
      </c>
      <c r="J42" s="4">
        <v>266.7</v>
      </c>
      <c r="K42" s="4">
        <v>266.7</v>
      </c>
      <c r="L42" s="4">
        <v>266.7</v>
      </c>
      <c r="M42" s="4">
        <v>266.8</v>
      </c>
    </row>
    <row r="43" spans="1:13" x14ac:dyDescent="0.3">
      <c r="A43" s="4">
        <v>2018</v>
      </c>
      <c r="B43" s="4">
        <v>266.8</v>
      </c>
      <c r="C43" s="4">
        <v>266.8</v>
      </c>
      <c r="D43" s="4">
        <v>267</v>
      </c>
      <c r="E43" s="4">
        <v>267</v>
      </c>
      <c r="F43" s="4">
        <v>267</v>
      </c>
      <c r="G43" s="4">
        <v>266.89999999999998</v>
      </c>
      <c r="H43" s="4">
        <v>267</v>
      </c>
      <c r="I43" s="4">
        <v>267.2</v>
      </c>
      <c r="J43" s="4">
        <v>267.2</v>
      </c>
      <c r="K43" s="4">
        <v>267.3</v>
      </c>
      <c r="L43" s="4">
        <v>267.3</v>
      </c>
      <c r="M43" s="4">
        <v>267.3</v>
      </c>
    </row>
    <row r="44" spans="1:13" x14ac:dyDescent="0.3">
      <c r="A44" s="4">
        <v>2019</v>
      </c>
      <c r="B44" s="4">
        <v>267.3</v>
      </c>
      <c r="C44" s="4">
        <v>267.3</v>
      </c>
      <c r="D44" s="4">
        <v>267.3</v>
      </c>
      <c r="E44" s="4">
        <v>267.5</v>
      </c>
      <c r="F44" s="4">
        <v>267.5</v>
      </c>
      <c r="G44" s="4">
        <v>267.5</v>
      </c>
      <c r="H44" s="4">
        <v>267.5</v>
      </c>
      <c r="I44" s="4">
        <v>267.60000000000002</v>
      </c>
      <c r="J44" s="4">
        <v>267.60000000000002</v>
      </c>
      <c r="K44" s="4">
        <v>267.60000000000002</v>
      </c>
      <c r="L44" s="4">
        <v>267.60000000000002</v>
      </c>
      <c r="M44" s="4">
        <v>267.60000000000002</v>
      </c>
    </row>
    <row r="45" spans="1:13" x14ac:dyDescent="0.3">
      <c r="A45" s="4">
        <v>2020</v>
      </c>
      <c r="B45" s="4">
        <v>267.60000000000002</v>
      </c>
      <c r="C45" s="4">
        <v>267.60000000000002</v>
      </c>
      <c r="D45" s="4">
        <v>267.60000000000002</v>
      </c>
      <c r="E45" s="4">
        <v>267.60000000000002</v>
      </c>
      <c r="F45" s="4">
        <v>267.5</v>
      </c>
      <c r="G45" s="4">
        <v>267.60000000000002</v>
      </c>
      <c r="H45" s="4">
        <v>267.60000000000002</v>
      </c>
      <c r="I45" s="4">
        <v>267.7</v>
      </c>
      <c r="J45" s="4">
        <v>267.7</v>
      </c>
      <c r="K45" s="4">
        <v>267.7</v>
      </c>
      <c r="L45" s="4">
        <v>267.7</v>
      </c>
      <c r="M45" s="4">
        <v>267.7</v>
      </c>
    </row>
    <row r="46" spans="1:13" x14ac:dyDescent="0.3">
      <c r="A46" s="4">
        <v>2021</v>
      </c>
      <c r="B46" s="4">
        <v>267.7</v>
      </c>
      <c r="C46" s="4">
        <v>267.7</v>
      </c>
      <c r="D46" s="4">
        <v>267.7</v>
      </c>
      <c r="E46" s="4">
        <v>267.7</v>
      </c>
      <c r="F46" s="4">
        <v>267.7</v>
      </c>
      <c r="G46" s="4">
        <v>267.7</v>
      </c>
      <c r="H46" s="4">
        <v>267.69799999999998</v>
      </c>
      <c r="I46" s="4">
        <v>267.69799999999998</v>
      </c>
      <c r="J46" s="4">
        <v>267.71199999999999</v>
      </c>
      <c r="K46" s="4">
        <v>267.71199999999999</v>
      </c>
      <c r="L46" s="4">
        <v>267.71199999999999</v>
      </c>
      <c r="M46" s="4">
        <v>267.71199999999999</v>
      </c>
    </row>
    <row r="47" spans="1:13" x14ac:dyDescent="0.3">
      <c r="A47" s="4">
        <v>2022</v>
      </c>
      <c r="B47" s="4">
        <v>267.714</v>
      </c>
      <c r="C47" s="4">
        <v>267.714</v>
      </c>
      <c r="D47" s="4">
        <v>267.714</v>
      </c>
      <c r="E47" s="4">
        <v>267.75400000000002</v>
      </c>
      <c r="F47" s="4">
        <v>267.75400000000002</v>
      </c>
      <c r="G47" s="4">
        <v>267.75400000000002</v>
      </c>
      <c r="H47" s="4">
        <v>267.85700000000003</v>
      </c>
      <c r="I47" s="4">
        <v>267.85700000000003</v>
      </c>
      <c r="J47" s="4">
        <v>278.99299999999999</v>
      </c>
      <c r="K47" s="4">
        <v>278.99299999999999</v>
      </c>
      <c r="L47" s="4">
        <v>278.99299999999999</v>
      </c>
      <c r="M47" s="4">
        <v>279.01299999999998</v>
      </c>
    </row>
    <row r="48" spans="1:13" x14ac:dyDescent="0.3">
      <c r="A48" s="4">
        <v>2023</v>
      </c>
      <c r="B48" s="4">
        <v>293.846</v>
      </c>
      <c r="C48" s="4">
        <v>293.846</v>
      </c>
      <c r="D48" s="4">
        <v>293.846</v>
      </c>
      <c r="E48" s="4" t="s">
        <v>74</v>
      </c>
      <c r="F48" s="4" t="s">
        <v>74</v>
      </c>
      <c r="G48" s="4" t="s">
        <v>74</v>
      </c>
      <c r="H48" s="4" t="s">
        <v>74</v>
      </c>
    </row>
    <row r="49" spans="1:13" x14ac:dyDescent="0.3">
      <c r="A49" s="4" t="s">
        <v>46</v>
      </c>
    </row>
    <row r="51" spans="1:13" x14ac:dyDescent="0.3">
      <c r="B51" s="25" t="s">
        <v>87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x14ac:dyDescent="0.3">
      <c r="B52" s="4" t="s">
        <v>33</v>
      </c>
      <c r="C52" s="4" t="s">
        <v>34</v>
      </c>
      <c r="D52" s="4" t="s">
        <v>35</v>
      </c>
      <c r="E52" s="4" t="s">
        <v>36</v>
      </c>
      <c r="F52" s="4" t="s">
        <v>37</v>
      </c>
      <c r="G52" s="4" t="s">
        <v>38</v>
      </c>
      <c r="H52" s="4" t="s">
        <v>39</v>
      </c>
      <c r="I52" s="4" t="s">
        <v>40</v>
      </c>
      <c r="J52" s="4" t="s">
        <v>41</v>
      </c>
      <c r="K52" s="4" t="s">
        <v>42</v>
      </c>
      <c r="L52" s="4" t="s">
        <v>43</v>
      </c>
      <c r="M52" s="4" t="s">
        <v>44</v>
      </c>
    </row>
    <row r="53" spans="1:13" x14ac:dyDescent="0.3">
      <c r="A53" s="4">
        <v>1979</v>
      </c>
      <c r="J53" s="4">
        <f>J54/(1+0.024)</f>
        <v>153.125</v>
      </c>
      <c r="K53" s="4">
        <f>K54/(1+0.037)</f>
        <v>151.20540019286406</v>
      </c>
      <c r="L53" s="4">
        <f>L54/(1+0.04)</f>
        <v>151.34615384615384</v>
      </c>
      <c r="M53" s="4">
        <f>M54/(1.047)</f>
        <v>150.71633237822351</v>
      </c>
    </row>
    <row r="54" spans="1:13" x14ac:dyDescent="0.3">
      <c r="A54" s="4">
        <v>1980</v>
      </c>
      <c r="F54" s="4">
        <v>153.9</v>
      </c>
      <c r="G54" s="4">
        <v>156.19999999999999</v>
      </c>
      <c r="I54" s="4">
        <v>155.69999999999999</v>
      </c>
      <c r="J54" s="4">
        <v>156.80000000000001</v>
      </c>
      <c r="K54" s="4">
        <v>156.80000000000001</v>
      </c>
      <c r="L54" s="4">
        <v>157.4</v>
      </c>
      <c r="M54" s="4">
        <v>157.80000000000001</v>
      </c>
    </row>
    <row r="55" spans="1:13" x14ac:dyDescent="0.3">
      <c r="A55" s="4">
        <v>1981</v>
      </c>
      <c r="B55" s="4">
        <v>158.19999999999999</v>
      </c>
      <c r="C55" s="4">
        <v>159.19999999999999</v>
      </c>
      <c r="D55" s="4">
        <v>158.80000000000001</v>
      </c>
      <c r="E55" s="4">
        <v>159.6</v>
      </c>
      <c r="F55" s="4">
        <v>160.30000000000001</v>
      </c>
      <c r="G55" s="4">
        <v>160.19999999999999</v>
      </c>
      <c r="H55" s="4">
        <v>159.69999999999999</v>
      </c>
      <c r="I55" s="4">
        <v>156.6</v>
      </c>
      <c r="J55" s="4">
        <v>157</v>
      </c>
      <c r="K55" s="4">
        <v>158.80000000000001</v>
      </c>
      <c r="L55" s="4">
        <v>159.4</v>
      </c>
      <c r="M55" s="4">
        <v>160.4</v>
      </c>
    </row>
    <row r="56" spans="1:13" x14ac:dyDescent="0.3">
      <c r="A56" s="4">
        <v>1982</v>
      </c>
      <c r="B56" s="4">
        <v>161.9</v>
      </c>
      <c r="C56" s="4">
        <v>164</v>
      </c>
      <c r="D56" s="4">
        <v>163.9</v>
      </c>
      <c r="E56" s="4">
        <v>167.3</v>
      </c>
      <c r="F56" s="4">
        <v>174.4</v>
      </c>
      <c r="G56" s="4">
        <v>174.2</v>
      </c>
      <c r="H56" s="4">
        <v>175.2</v>
      </c>
      <c r="I56" s="4">
        <v>178.8</v>
      </c>
      <c r="J56" s="4">
        <v>180.9</v>
      </c>
      <c r="K56" s="4">
        <v>177.5</v>
      </c>
      <c r="L56" s="4">
        <v>178.5</v>
      </c>
      <c r="M56" s="4">
        <v>180.3</v>
      </c>
    </row>
    <row r="57" spans="1:13" x14ac:dyDescent="0.3">
      <c r="A57" s="4">
        <v>1983</v>
      </c>
      <c r="B57" s="4">
        <v>182.6</v>
      </c>
      <c r="C57" s="4">
        <v>184.9</v>
      </c>
      <c r="D57" s="4">
        <v>186.7</v>
      </c>
      <c r="E57" s="4">
        <v>189.2</v>
      </c>
      <c r="F57" s="4">
        <v>191</v>
      </c>
      <c r="G57" s="4">
        <v>192.9</v>
      </c>
      <c r="H57" s="4">
        <v>193.2</v>
      </c>
      <c r="I57" s="4">
        <v>195.7</v>
      </c>
      <c r="J57" s="4">
        <v>198.7</v>
      </c>
      <c r="K57" s="4">
        <v>200.8</v>
      </c>
      <c r="L57" s="4">
        <v>203</v>
      </c>
      <c r="M57" s="4">
        <v>20.399999999999999</v>
      </c>
    </row>
    <row r="58" spans="1:13" x14ac:dyDescent="0.3">
      <c r="A58" s="4">
        <v>1984</v>
      </c>
      <c r="B58" s="4">
        <v>206.1</v>
      </c>
      <c r="C58" s="4">
        <v>207.5</v>
      </c>
      <c r="D58" s="4">
        <v>209.9</v>
      </c>
      <c r="E58" s="4">
        <v>212.3</v>
      </c>
      <c r="F58" s="4">
        <v>215.9</v>
      </c>
      <c r="G58" s="4">
        <v>219.7</v>
      </c>
      <c r="H58" s="4">
        <v>220</v>
      </c>
      <c r="I58" s="4">
        <v>222</v>
      </c>
      <c r="J58" s="4">
        <v>221.1</v>
      </c>
      <c r="K58" s="4">
        <v>223</v>
      </c>
      <c r="L58" s="4">
        <v>224.4</v>
      </c>
      <c r="M58" s="4">
        <v>226.1</v>
      </c>
    </row>
    <row r="59" spans="1:13" x14ac:dyDescent="0.3">
      <c r="A59" s="4">
        <v>1985</v>
      </c>
      <c r="B59" s="4">
        <v>228.5</v>
      </c>
      <c r="C59" s="4">
        <v>230.3</v>
      </c>
      <c r="D59" s="4">
        <v>232.4</v>
      </c>
      <c r="E59" s="4">
        <v>234.4</v>
      </c>
      <c r="F59" s="4">
        <v>236.6</v>
      </c>
      <c r="G59" s="4">
        <v>241</v>
      </c>
      <c r="H59" s="4">
        <v>242.5</v>
      </c>
      <c r="I59" s="4">
        <v>244.2</v>
      </c>
      <c r="J59" s="4">
        <v>245.5</v>
      </c>
      <c r="K59" s="4">
        <v>248.8</v>
      </c>
      <c r="L59" s="4">
        <v>250.3</v>
      </c>
      <c r="M59" s="4">
        <v>251.4</v>
      </c>
    </row>
    <row r="60" spans="1:13" x14ac:dyDescent="0.3">
      <c r="A60" s="4">
        <v>1986</v>
      </c>
      <c r="B60" s="4">
        <v>252</v>
      </c>
      <c r="C60" s="4">
        <v>253.1</v>
      </c>
      <c r="D60" s="4">
        <v>254.2</v>
      </c>
      <c r="E60" s="4">
        <v>254.1</v>
      </c>
      <c r="F60" s="4">
        <v>256.60000000000002</v>
      </c>
      <c r="G60" s="4">
        <v>257.60000000000002</v>
      </c>
      <c r="H60" s="4">
        <v>258.10000000000002</v>
      </c>
      <c r="I60" s="4">
        <v>259</v>
      </c>
      <c r="J60" s="4">
        <v>259.7</v>
      </c>
      <c r="K60" s="4">
        <v>261.10000000000002</v>
      </c>
      <c r="L60" s="4">
        <v>261.8</v>
      </c>
      <c r="M60" s="4">
        <v>262.3</v>
      </c>
    </row>
    <row r="62" spans="1:13" x14ac:dyDescent="0.3">
      <c r="A62" s="4" t="s">
        <v>82</v>
      </c>
      <c r="B62" s="9" t="s">
        <v>83</v>
      </c>
    </row>
    <row r="63" spans="1:13" x14ac:dyDescent="0.3">
      <c r="B63" s="4" t="s">
        <v>108</v>
      </c>
    </row>
    <row r="64" spans="1:13" x14ac:dyDescent="0.3">
      <c r="A64" s="4">
        <v>1963</v>
      </c>
      <c r="B64" s="4">
        <v>67.2</v>
      </c>
    </row>
    <row r="65" spans="1:2" x14ac:dyDescent="0.3">
      <c r="A65" s="4">
        <v>1964</v>
      </c>
      <c r="B65" s="4">
        <f>(100/(222.5/152))</f>
        <v>68.31460674157303</v>
      </c>
    </row>
    <row r="66" spans="1:2" x14ac:dyDescent="0.3">
      <c r="A66" s="4">
        <v>1965</v>
      </c>
      <c r="B66" s="4">
        <v>70.3</v>
      </c>
    </row>
    <row r="67" spans="1:2" x14ac:dyDescent="0.3">
      <c r="A67" s="4">
        <v>1966</v>
      </c>
      <c r="B67" s="4">
        <v>72.599999999999994</v>
      </c>
    </row>
    <row r="68" spans="1:2" x14ac:dyDescent="0.3">
      <c r="A68" s="4">
        <v>1967</v>
      </c>
      <c r="B68" s="4">
        <v>74.599999999999994</v>
      </c>
    </row>
    <row r="69" spans="1:2" x14ac:dyDescent="0.3">
      <c r="A69" s="4">
        <v>1968</v>
      </c>
      <c r="B69" s="4">
        <v>79.900000000000006</v>
      </c>
    </row>
    <row r="70" spans="1:2" x14ac:dyDescent="0.3">
      <c r="A70" s="4">
        <v>1969</v>
      </c>
      <c r="B70" s="4">
        <v>83.5</v>
      </c>
    </row>
    <row r="71" spans="1:2" x14ac:dyDescent="0.3">
      <c r="A71" s="4">
        <v>1970</v>
      </c>
      <c r="B71" s="4">
        <v>87.3</v>
      </c>
    </row>
    <row r="72" spans="1:2" x14ac:dyDescent="0.3">
      <c r="A72" s="4">
        <v>1971</v>
      </c>
      <c r="B72" s="4">
        <v>93</v>
      </c>
    </row>
    <row r="73" spans="1:2" x14ac:dyDescent="0.3">
      <c r="A73" s="4">
        <v>1972</v>
      </c>
      <c r="B73" s="4">
        <v>100</v>
      </c>
    </row>
    <row r="74" spans="1:2" x14ac:dyDescent="0.3">
      <c r="A74" s="4">
        <v>1973</v>
      </c>
      <c r="B74" s="4">
        <v>104.8</v>
      </c>
    </row>
    <row r="75" spans="1:2" x14ac:dyDescent="0.3">
      <c r="A75" s="4">
        <v>1974</v>
      </c>
      <c r="B75" s="4">
        <v>123.4</v>
      </c>
    </row>
    <row r="76" spans="1:2" x14ac:dyDescent="0.3">
      <c r="A76" s="4">
        <v>1975</v>
      </c>
      <c r="B76" s="4">
        <v>140.4</v>
      </c>
    </row>
    <row r="77" spans="1:2" x14ac:dyDescent="0.3">
      <c r="A77" s="4">
        <v>1976</v>
      </c>
      <c r="B77" s="4">
        <v>147.69999999999999</v>
      </c>
    </row>
    <row r="78" spans="1:2" x14ac:dyDescent="0.3">
      <c r="A78" s="4">
        <v>1977</v>
      </c>
      <c r="B78" s="4">
        <v>157.9</v>
      </c>
    </row>
    <row r="79" spans="1:2" x14ac:dyDescent="0.3">
      <c r="A79" s="4">
        <v>1978</v>
      </c>
      <c r="B79" s="4">
        <v>162.69999999999999</v>
      </c>
    </row>
  </sheetData>
  <mergeCells count="1">
    <mergeCell ref="B51:M51"/>
  </mergeCells>
  <hyperlinks>
    <hyperlink ref="B62" r:id="rId1" xr:uid="{35FF37E2-CB2B-4CCA-ABB2-D6EED7BC6335}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8EC2-9B18-4796-84B3-9EF131DDDB6C}">
  <dimension ref="A1:B122"/>
  <sheetViews>
    <sheetView workbookViewId="0">
      <selection activeCell="B2" sqref="B2"/>
    </sheetView>
  </sheetViews>
  <sheetFormatPr defaultRowHeight="14.4" x14ac:dyDescent="0.3"/>
  <cols>
    <col min="1" max="16384" width="8.88671875" style="4"/>
  </cols>
  <sheetData>
    <row r="1" spans="1:2" x14ac:dyDescent="0.3">
      <c r="B1" s="4" t="s">
        <v>281</v>
      </c>
    </row>
    <row r="2" spans="1:2" x14ac:dyDescent="0.3">
      <c r="A2" s="4">
        <v>2020</v>
      </c>
      <c r="B2" s="4">
        <v>117.876</v>
      </c>
    </row>
    <row r="3" spans="1:2" x14ac:dyDescent="0.3">
      <c r="A3" s="4">
        <v>2019</v>
      </c>
      <c r="B3" s="4">
        <v>116.29900000000001</v>
      </c>
    </row>
    <row r="4" spans="1:2" x14ac:dyDescent="0.3">
      <c r="A4" s="4">
        <v>2018</v>
      </c>
      <c r="B4" s="4">
        <v>114.154</v>
      </c>
    </row>
    <row r="5" spans="1:2" x14ac:dyDescent="0.3">
      <c r="A5" s="4">
        <v>2017</v>
      </c>
      <c r="B5" s="4">
        <v>111.83</v>
      </c>
    </row>
    <row r="6" spans="1:2" x14ac:dyDescent="0.3">
      <c r="A6" s="4">
        <v>2016</v>
      </c>
      <c r="B6" s="4">
        <v>109.02800000000001</v>
      </c>
    </row>
    <row r="7" spans="1:2" x14ac:dyDescent="0.3">
      <c r="A7" s="4">
        <v>2015</v>
      </c>
      <c r="B7" s="4">
        <v>105.26600000000001</v>
      </c>
    </row>
    <row r="8" spans="1:2" x14ac:dyDescent="0.3">
      <c r="A8" s="4">
        <v>2014</v>
      </c>
      <c r="B8" s="4">
        <v>102.96299999999999</v>
      </c>
    </row>
    <row r="9" spans="1:2" x14ac:dyDescent="0.3">
      <c r="A9" s="4">
        <v>2013</v>
      </c>
      <c r="B9" s="4">
        <v>101.155</v>
      </c>
    </row>
    <row r="10" spans="1:2" x14ac:dyDescent="0.3">
      <c r="A10" s="4">
        <v>2012</v>
      </c>
      <c r="B10" s="4">
        <v>100</v>
      </c>
    </row>
    <row r="11" spans="1:2" x14ac:dyDescent="0.3">
      <c r="A11" s="4">
        <v>2011</v>
      </c>
      <c r="B11" s="4">
        <v>98.116</v>
      </c>
    </row>
    <row r="12" spans="1:2" x14ac:dyDescent="0.3">
      <c r="A12" s="4">
        <v>2010</v>
      </c>
      <c r="B12" s="4">
        <v>97.103999999999999</v>
      </c>
    </row>
    <row r="13" spans="1:2" x14ac:dyDescent="0.3">
      <c r="A13" s="4">
        <v>2009</v>
      </c>
      <c r="B13" s="4">
        <v>95.661000000000001</v>
      </c>
    </row>
    <row r="14" spans="1:2" x14ac:dyDescent="0.3">
      <c r="A14" s="4">
        <v>2008</v>
      </c>
      <c r="B14" s="4">
        <v>94.192999999999998</v>
      </c>
    </row>
    <row r="15" spans="1:2" x14ac:dyDescent="0.3">
      <c r="A15" s="4">
        <v>2007</v>
      </c>
      <c r="B15" s="4">
        <v>92.113</v>
      </c>
    </row>
    <row r="16" spans="1:2" x14ac:dyDescent="0.3">
      <c r="A16" s="4">
        <v>2006</v>
      </c>
      <c r="B16" s="4">
        <v>88.638000000000005</v>
      </c>
    </row>
    <row r="17" spans="1:2" x14ac:dyDescent="0.3">
      <c r="A17" s="4">
        <v>2005</v>
      </c>
      <c r="B17" s="4">
        <v>85.635000000000005</v>
      </c>
    </row>
    <row r="18" spans="1:2" x14ac:dyDescent="0.3">
      <c r="A18" s="4">
        <v>2004</v>
      </c>
      <c r="B18" s="4">
        <v>82.944999999999993</v>
      </c>
    </row>
    <row r="19" spans="1:2" x14ac:dyDescent="0.3">
      <c r="A19" s="4">
        <v>2003</v>
      </c>
      <c r="B19" s="4">
        <v>80.394999999999996</v>
      </c>
    </row>
    <row r="20" spans="1:2" x14ac:dyDescent="0.3">
      <c r="A20" s="4">
        <v>2002</v>
      </c>
      <c r="B20" s="4">
        <v>76.421000000000006</v>
      </c>
    </row>
    <row r="21" spans="1:2" x14ac:dyDescent="0.3">
      <c r="A21" s="4">
        <v>2001</v>
      </c>
      <c r="B21" s="4">
        <v>74.075999999999993</v>
      </c>
    </row>
    <row r="22" spans="1:2" x14ac:dyDescent="0.3">
      <c r="A22" s="4">
        <v>2000</v>
      </c>
      <c r="B22" s="4">
        <v>71.444999999999993</v>
      </c>
    </row>
    <row r="23" spans="1:2" x14ac:dyDescent="0.3">
      <c r="A23" s="4">
        <v>1999</v>
      </c>
      <c r="B23" s="4">
        <v>97.176000000000002</v>
      </c>
    </row>
    <row r="24" spans="1:2" x14ac:dyDescent="0.3">
      <c r="A24" s="4">
        <v>1998</v>
      </c>
      <c r="B24" s="4">
        <v>63.244999999999997</v>
      </c>
    </row>
    <row r="25" spans="1:2" x14ac:dyDescent="0.3">
      <c r="A25" s="4">
        <v>1997</v>
      </c>
      <c r="B25" s="4">
        <v>61.923000000000002</v>
      </c>
    </row>
    <row r="26" spans="1:2" x14ac:dyDescent="0.3">
      <c r="A26" s="4">
        <v>1996</v>
      </c>
      <c r="B26" s="4">
        <v>60.247999999999998</v>
      </c>
    </row>
    <row r="27" spans="1:2" x14ac:dyDescent="0.3">
      <c r="A27" s="4">
        <v>1995</v>
      </c>
      <c r="B27" s="4">
        <v>57.433</v>
      </c>
    </row>
    <row r="28" spans="1:2" x14ac:dyDescent="0.3">
      <c r="A28" s="4">
        <v>1994</v>
      </c>
      <c r="B28" s="4">
        <v>55.475999999999999</v>
      </c>
    </row>
    <row r="29" spans="1:2" x14ac:dyDescent="0.3">
      <c r="A29" s="4">
        <v>1993</v>
      </c>
      <c r="B29" s="4">
        <v>53.622</v>
      </c>
    </row>
    <row r="30" spans="1:2" x14ac:dyDescent="0.3">
      <c r="A30" s="4">
        <v>1992</v>
      </c>
      <c r="B30" s="4">
        <v>53.057000000000002</v>
      </c>
    </row>
    <row r="31" spans="1:2" x14ac:dyDescent="0.3">
      <c r="A31" s="4">
        <v>1991</v>
      </c>
      <c r="B31" s="4">
        <v>52.436</v>
      </c>
    </row>
    <row r="32" spans="1:2" x14ac:dyDescent="0.3">
      <c r="A32" s="4">
        <v>1990</v>
      </c>
      <c r="B32" s="4">
        <v>49.781999999999996</v>
      </c>
    </row>
    <row r="33" spans="1:2" x14ac:dyDescent="0.3">
      <c r="A33" s="4">
        <v>1989</v>
      </c>
      <c r="B33" s="4">
        <v>46.89</v>
      </c>
    </row>
    <row r="34" spans="1:2" x14ac:dyDescent="0.3">
      <c r="A34" s="4">
        <v>1988</v>
      </c>
      <c r="B34" s="4">
        <v>43.82</v>
      </c>
    </row>
    <row r="35" spans="1:2" x14ac:dyDescent="0.3">
      <c r="A35" s="4">
        <v>1987</v>
      </c>
      <c r="B35" s="4">
        <v>41.94</v>
      </c>
    </row>
    <row r="36" spans="1:2" x14ac:dyDescent="0.3">
      <c r="A36" s="4">
        <v>1986</v>
      </c>
      <c r="B36" s="4">
        <v>40.03</v>
      </c>
    </row>
    <row r="37" spans="1:2" x14ac:dyDescent="0.3">
      <c r="A37" s="4">
        <v>1985</v>
      </c>
      <c r="B37" s="4">
        <v>38.569000000000003</v>
      </c>
    </row>
    <row r="38" spans="1:2" x14ac:dyDescent="0.3">
      <c r="A38" s="4">
        <v>1984</v>
      </c>
      <c r="B38" s="4">
        <v>36.747999999999998</v>
      </c>
    </row>
    <row r="39" spans="1:2" x14ac:dyDescent="0.3">
      <c r="A39" s="4">
        <v>1983</v>
      </c>
      <c r="B39" s="4">
        <v>34.65</v>
      </c>
    </row>
    <row r="40" spans="1:2" x14ac:dyDescent="0.3">
      <c r="A40" s="4">
        <v>1982</v>
      </c>
      <c r="B40" s="4">
        <v>32.597000000000001</v>
      </c>
    </row>
    <row r="41" spans="1:2" x14ac:dyDescent="0.3">
      <c r="A41" s="4">
        <v>1981</v>
      </c>
      <c r="B41" s="4">
        <v>30.913</v>
      </c>
    </row>
    <row r="42" spans="1:2" x14ac:dyDescent="0.3">
      <c r="A42" s="4">
        <v>1980</v>
      </c>
      <c r="B42" s="4">
        <v>29.675000000000001</v>
      </c>
    </row>
    <row r="43" spans="1:2" x14ac:dyDescent="0.3">
      <c r="A43" s="4">
        <v>1979</v>
      </c>
      <c r="B43" s="4">
        <v>28.228999999999999</v>
      </c>
    </row>
    <row r="44" spans="1:2" x14ac:dyDescent="0.3">
      <c r="A44" s="4">
        <v>1978</v>
      </c>
      <c r="B44" s="4">
        <v>26.298999999999999</v>
      </c>
    </row>
    <row r="45" spans="1:2" x14ac:dyDescent="0.3">
      <c r="A45" s="4">
        <v>1977</v>
      </c>
      <c r="B45" s="4">
        <v>24.844000000000001</v>
      </c>
    </row>
    <row r="46" spans="1:2" x14ac:dyDescent="0.3">
      <c r="A46" s="4">
        <v>1976</v>
      </c>
      <c r="B46" s="4">
        <v>23.846</v>
      </c>
    </row>
    <row r="47" spans="1:2" x14ac:dyDescent="0.3">
      <c r="A47" s="4">
        <v>1975</v>
      </c>
      <c r="B47" s="4">
        <v>22.907</v>
      </c>
    </row>
    <row r="48" spans="1:2" x14ac:dyDescent="0.3">
      <c r="A48" s="4">
        <v>1974</v>
      </c>
      <c r="B48" s="4">
        <v>21.169</v>
      </c>
    </row>
    <row r="49" spans="1:2" x14ac:dyDescent="0.3">
      <c r="A49" s="4">
        <v>1973</v>
      </c>
      <c r="B49" s="4">
        <v>19.780999999999999</v>
      </c>
    </row>
    <row r="50" spans="1:2" x14ac:dyDescent="0.3">
      <c r="A50" s="4">
        <v>1972</v>
      </c>
      <c r="B50" s="4">
        <v>19.027999999999999</v>
      </c>
    </row>
    <row r="51" spans="1:2" x14ac:dyDescent="0.3">
      <c r="A51" s="4">
        <v>1971</v>
      </c>
      <c r="B51" s="4">
        <v>18.530999999999999</v>
      </c>
    </row>
    <row r="52" spans="1:2" x14ac:dyDescent="0.3">
      <c r="A52" s="4">
        <v>1970</v>
      </c>
      <c r="B52" s="4">
        <v>17.504999999999999</v>
      </c>
    </row>
    <row r="53" spans="1:2" x14ac:dyDescent="0.3">
      <c r="A53" s="4">
        <v>1969</v>
      </c>
      <c r="B53" s="4">
        <v>15.944000000000001</v>
      </c>
    </row>
    <row r="54" spans="1:2" x14ac:dyDescent="0.3">
      <c r="A54" s="4">
        <v>1968</v>
      </c>
      <c r="B54" s="4">
        <v>14.741</v>
      </c>
    </row>
    <row r="55" spans="1:2" x14ac:dyDescent="0.3">
      <c r="A55" s="4">
        <v>1967</v>
      </c>
      <c r="B55" s="4">
        <v>13.442</v>
      </c>
    </row>
    <row r="56" spans="1:2" x14ac:dyDescent="0.3">
      <c r="A56" s="4">
        <v>1966</v>
      </c>
      <c r="B56" s="4">
        <v>12.505000000000001</v>
      </c>
    </row>
    <row r="57" spans="1:2" x14ac:dyDescent="0.3">
      <c r="A57" s="4">
        <v>1965</v>
      </c>
      <c r="B57" s="4">
        <v>11.613</v>
      </c>
    </row>
    <row r="58" spans="1:2" x14ac:dyDescent="0.3">
      <c r="A58" s="4">
        <v>1964</v>
      </c>
      <c r="B58" s="4">
        <v>10.763999999999999</v>
      </c>
    </row>
    <row r="59" spans="1:2" x14ac:dyDescent="0.3">
      <c r="A59" s="4">
        <v>1963</v>
      </c>
      <c r="B59" s="4">
        <v>9.9559999999999995</v>
      </c>
    </row>
    <row r="60" spans="1:2" x14ac:dyDescent="0.3">
      <c r="A60" s="4">
        <v>1962</v>
      </c>
      <c r="B60" s="4">
        <v>9.6029999999999998</v>
      </c>
    </row>
    <row r="61" spans="1:2" x14ac:dyDescent="0.3">
      <c r="A61" s="4">
        <v>1961</v>
      </c>
      <c r="B61" s="4">
        <v>9.202</v>
      </c>
    </row>
    <row r="62" spans="1:2" x14ac:dyDescent="0.3">
      <c r="A62" s="4">
        <v>1960</v>
      </c>
      <c r="B62" s="4">
        <v>8.7530000000000001</v>
      </c>
    </row>
    <row r="63" spans="1:2" x14ac:dyDescent="0.3">
      <c r="A63" s="4">
        <v>1959</v>
      </c>
      <c r="B63" s="4">
        <v>8.2170000000000005</v>
      </c>
    </row>
    <row r="64" spans="1:2" x14ac:dyDescent="0.3">
      <c r="A64" s="4">
        <v>1958</v>
      </c>
    </row>
    <row r="65" spans="1:1" x14ac:dyDescent="0.3">
      <c r="A65" s="4">
        <v>1957</v>
      </c>
    </row>
    <row r="66" spans="1:1" x14ac:dyDescent="0.3">
      <c r="A66" s="4">
        <v>1956</v>
      </c>
    </row>
    <row r="67" spans="1:1" x14ac:dyDescent="0.3">
      <c r="A67" s="4">
        <v>1955</v>
      </c>
    </row>
    <row r="68" spans="1:1" x14ac:dyDescent="0.3">
      <c r="A68" s="4">
        <v>1954</v>
      </c>
    </row>
    <row r="69" spans="1:1" x14ac:dyDescent="0.3">
      <c r="A69" s="4">
        <v>1953</v>
      </c>
    </row>
    <row r="70" spans="1:1" x14ac:dyDescent="0.3">
      <c r="A70" s="4">
        <v>1952</v>
      </c>
    </row>
    <row r="71" spans="1:1" x14ac:dyDescent="0.3">
      <c r="A71" s="4">
        <v>1951</v>
      </c>
    </row>
    <row r="72" spans="1:1" x14ac:dyDescent="0.3">
      <c r="A72" s="4">
        <v>1950</v>
      </c>
    </row>
    <row r="73" spans="1:1" x14ac:dyDescent="0.3">
      <c r="A73" s="4">
        <v>1949</v>
      </c>
    </row>
    <row r="74" spans="1:1" x14ac:dyDescent="0.3">
      <c r="A74" s="4">
        <v>1948</v>
      </c>
    </row>
    <row r="75" spans="1:1" x14ac:dyDescent="0.3">
      <c r="A75" s="4">
        <v>1947</v>
      </c>
    </row>
    <row r="76" spans="1:1" x14ac:dyDescent="0.3">
      <c r="A76" s="4">
        <v>1946</v>
      </c>
    </row>
    <row r="77" spans="1:1" x14ac:dyDescent="0.3">
      <c r="A77" s="4">
        <v>1945</v>
      </c>
    </row>
    <row r="78" spans="1:1" x14ac:dyDescent="0.3">
      <c r="A78" s="4">
        <v>1944</v>
      </c>
    </row>
    <row r="79" spans="1:1" x14ac:dyDescent="0.3">
      <c r="A79" s="4">
        <v>1943</v>
      </c>
    </row>
    <row r="80" spans="1:1" x14ac:dyDescent="0.3">
      <c r="A80" s="4">
        <v>1942</v>
      </c>
    </row>
    <row r="81" spans="1:1" x14ac:dyDescent="0.3">
      <c r="A81" s="4">
        <v>1941</v>
      </c>
    </row>
    <row r="82" spans="1:1" x14ac:dyDescent="0.3">
      <c r="A82" s="4">
        <v>1940</v>
      </c>
    </row>
    <row r="83" spans="1:1" x14ac:dyDescent="0.3">
      <c r="A83" s="4">
        <v>1939</v>
      </c>
    </row>
    <row r="84" spans="1:1" x14ac:dyDescent="0.3">
      <c r="A84" s="4">
        <v>1938</v>
      </c>
    </row>
    <row r="85" spans="1:1" x14ac:dyDescent="0.3">
      <c r="A85" s="4">
        <v>1937</v>
      </c>
    </row>
    <row r="86" spans="1:1" x14ac:dyDescent="0.3">
      <c r="A86" s="4">
        <v>1936</v>
      </c>
    </row>
    <row r="87" spans="1:1" x14ac:dyDescent="0.3">
      <c r="A87" s="4">
        <v>1935</v>
      </c>
    </row>
    <row r="88" spans="1:1" x14ac:dyDescent="0.3">
      <c r="A88" s="4">
        <v>1934</v>
      </c>
    </row>
    <row r="89" spans="1:1" x14ac:dyDescent="0.3">
      <c r="A89" s="4">
        <v>1933</v>
      </c>
    </row>
    <row r="90" spans="1:1" x14ac:dyDescent="0.3">
      <c r="A90" s="4">
        <v>1932</v>
      </c>
    </row>
    <row r="91" spans="1:1" x14ac:dyDescent="0.3">
      <c r="A91" s="4">
        <v>1931</v>
      </c>
    </row>
    <row r="92" spans="1:1" x14ac:dyDescent="0.3">
      <c r="A92" s="4">
        <v>1930</v>
      </c>
    </row>
    <row r="93" spans="1:1" x14ac:dyDescent="0.3">
      <c r="A93" s="4">
        <v>1929</v>
      </c>
    </row>
    <row r="94" spans="1:1" x14ac:dyDescent="0.3">
      <c r="A94" s="4">
        <v>1928</v>
      </c>
    </row>
    <row r="95" spans="1:1" x14ac:dyDescent="0.3">
      <c r="A95" s="4">
        <v>1927</v>
      </c>
    </row>
    <row r="96" spans="1:1" x14ac:dyDescent="0.3">
      <c r="A96" s="4">
        <v>1926</v>
      </c>
    </row>
    <row r="97" spans="1:1" x14ac:dyDescent="0.3">
      <c r="A97" s="4">
        <v>1925</v>
      </c>
    </row>
    <row r="98" spans="1:1" x14ac:dyDescent="0.3">
      <c r="A98" s="4">
        <v>1924</v>
      </c>
    </row>
    <row r="99" spans="1:1" x14ac:dyDescent="0.3">
      <c r="A99" s="4">
        <v>1923</v>
      </c>
    </row>
    <row r="100" spans="1:1" x14ac:dyDescent="0.3">
      <c r="A100" s="4">
        <v>1922</v>
      </c>
    </row>
    <row r="101" spans="1:1" x14ac:dyDescent="0.3">
      <c r="A101" s="4">
        <v>1921</v>
      </c>
    </row>
    <row r="102" spans="1:1" x14ac:dyDescent="0.3">
      <c r="A102" s="4">
        <v>1920</v>
      </c>
    </row>
    <row r="103" spans="1:1" x14ac:dyDescent="0.3">
      <c r="A103" s="4">
        <v>1919</v>
      </c>
    </row>
    <row r="104" spans="1:1" x14ac:dyDescent="0.3">
      <c r="A104" s="4">
        <v>1918</v>
      </c>
    </row>
    <row r="105" spans="1:1" x14ac:dyDescent="0.3">
      <c r="A105" s="4">
        <v>1917</v>
      </c>
    </row>
    <row r="106" spans="1:1" x14ac:dyDescent="0.3">
      <c r="A106" s="4">
        <v>1916</v>
      </c>
    </row>
    <row r="107" spans="1:1" x14ac:dyDescent="0.3">
      <c r="A107" s="4">
        <v>1915</v>
      </c>
    </row>
    <row r="108" spans="1:1" x14ac:dyDescent="0.3">
      <c r="A108" s="4">
        <v>1914</v>
      </c>
    </row>
    <row r="109" spans="1:1" x14ac:dyDescent="0.3">
      <c r="A109" s="4">
        <v>1913</v>
      </c>
    </row>
    <row r="110" spans="1:1" x14ac:dyDescent="0.3">
      <c r="A110" s="4">
        <v>1912</v>
      </c>
    </row>
    <row r="111" spans="1:1" x14ac:dyDescent="0.3">
      <c r="A111" s="4">
        <v>1911</v>
      </c>
    </row>
    <row r="112" spans="1:1" x14ac:dyDescent="0.3">
      <c r="A112" s="4">
        <v>1910</v>
      </c>
    </row>
    <row r="113" spans="1:1" x14ac:dyDescent="0.3">
      <c r="A113" s="4">
        <v>1909</v>
      </c>
    </row>
    <row r="114" spans="1:1" x14ac:dyDescent="0.3">
      <c r="A114" s="4">
        <v>1908</v>
      </c>
    </row>
    <row r="115" spans="1:1" x14ac:dyDescent="0.3">
      <c r="A115" s="4">
        <v>1907</v>
      </c>
    </row>
    <row r="116" spans="1:1" x14ac:dyDescent="0.3">
      <c r="A116" s="4">
        <v>1906</v>
      </c>
    </row>
    <row r="117" spans="1:1" x14ac:dyDescent="0.3">
      <c r="A117" s="4">
        <v>1905</v>
      </c>
    </row>
    <row r="118" spans="1:1" x14ac:dyDescent="0.3">
      <c r="A118" s="4">
        <v>1904</v>
      </c>
    </row>
    <row r="119" spans="1:1" x14ac:dyDescent="0.3">
      <c r="A119" s="4">
        <v>1903</v>
      </c>
    </row>
    <row r="120" spans="1:1" x14ac:dyDescent="0.3">
      <c r="A120" s="4">
        <v>1902</v>
      </c>
    </row>
    <row r="121" spans="1:1" x14ac:dyDescent="0.3">
      <c r="A121" s="4">
        <v>1901</v>
      </c>
    </row>
    <row r="122" spans="1:1" x14ac:dyDescent="0.3">
      <c r="A122" s="4">
        <v>1900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72F0-E1A9-43F6-8A92-15123C9B98A7}">
  <dimension ref="A1:E123"/>
  <sheetViews>
    <sheetView workbookViewId="0">
      <selection activeCell="B6" sqref="B6"/>
    </sheetView>
  </sheetViews>
  <sheetFormatPr defaultRowHeight="14.4" x14ac:dyDescent="0.3"/>
  <cols>
    <col min="1" max="3" width="8.88671875" style="4"/>
    <col min="6" max="16384" width="8.88671875" style="4"/>
  </cols>
  <sheetData>
    <row r="1" spans="1:3" x14ac:dyDescent="0.3">
      <c r="B1" s="25" t="s">
        <v>192</v>
      </c>
      <c r="C1" s="25"/>
    </row>
    <row r="2" spans="1:3" x14ac:dyDescent="0.3">
      <c r="B2" s="4" t="s">
        <v>179</v>
      </c>
      <c r="C2" s="4" t="s">
        <v>180</v>
      </c>
    </row>
    <row r="3" spans="1:3" x14ac:dyDescent="0.3">
      <c r="A3" s="4">
        <v>2020</v>
      </c>
      <c r="B3" s="4">
        <v>19.847000000000001</v>
      </c>
    </row>
    <row r="4" spans="1:3" x14ac:dyDescent="0.3">
      <c r="A4" s="4">
        <v>2019</v>
      </c>
      <c r="B4" s="4">
        <v>95.671999999999997</v>
      </c>
    </row>
    <row r="5" spans="1:3" x14ac:dyDescent="0.3">
      <c r="A5" s="4">
        <v>2018</v>
      </c>
      <c r="B5" s="4">
        <v>101.58499999999999</v>
      </c>
    </row>
    <row r="6" spans="1:3" x14ac:dyDescent="0.3">
      <c r="A6" s="4">
        <v>2017</v>
      </c>
      <c r="B6" s="4">
        <v>97.197999999999993</v>
      </c>
    </row>
    <row r="7" spans="1:3" x14ac:dyDescent="0.3">
      <c r="A7" s="4">
        <v>2016</v>
      </c>
      <c r="B7" s="4">
        <v>103.23699999999999</v>
      </c>
    </row>
    <row r="8" spans="1:3" x14ac:dyDescent="0.3">
      <c r="A8" s="4">
        <v>2015</v>
      </c>
      <c r="B8" s="4">
        <v>102.35599999999999</v>
      </c>
    </row>
    <row r="9" spans="1:3" x14ac:dyDescent="0.3">
      <c r="A9" s="4">
        <v>2014</v>
      </c>
      <c r="B9" s="4">
        <v>101.596</v>
      </c>
    </row>
    <row r="10" spans="1:3" x14ac:dyDescent="0.3">
      <c r="A10" s="4">
        <v>2013</v>
      </c>
      <c r="B10" s="4">
        <v>102.006</v>
      </c>
    </row>
    <row r="11" spans="1:3" x14ac:dyDescent="0.3">
      <c r="A11" s="4">
        <v>2012</v>
      </c>
      <c r="B11" s="4">
        <v>100</v>
      </c>
    </row>
    <row r="12" spans="1:3" x14ac:dyDescent="0.3">
      <c r="A12" s="4">
        <v>2011</v>
      </c>
      <c r="B12" s="4">
        <v>93.75</v>
      </c>
    </row>
    <row r="13" spans="1:3" x14ac:dyDescent="0.3">
      <c r="A13" s="4">
        <v>2010</v>
      </c>
      <c r="B13" s="4">
        <v>102.39</v>
      </c>
    </row>
    <row r="14" spans="1:3" x14ac:dyDescent="0.3">
      <c r="A14" s="4">
        <v>2009</v>
      </c>
      <c r="B14" s="4">
        <v>100.07599999999999</v>
      </c>
    </row>
    <row r="15" spans="1:3" x14ac:dyDescent="0.3">
      <c r="A15" s="4">
        <v>2008</v>
      </c>
      <c r="B15" s="4">
        <v>95.515000000000001</v>
      </c>
    </row>
    <row r="16" spans="1:3" x14ac:dyDescent="0.3">
      <c r="A16" s="4">
        <v>2007</v>
      </c>
      <c r="B16" s="4">
        <v>95.67</v>
      </c>
    </row>
    <row r="17" spans="1:2" x14ac:dyDescent="0.3">
      <c r="A17" s="4">
        <v>2006</v>
      </c>
      <c r="B17" s="4">
        <v>94.721999999999994</v>
      </c>
    </row>
    <row r="18" spans="1:2" x14ac:dyDescent="0.3">
      <c r="A18" s="4">
        <v>2005</v>
      </c>
      <c r="B18" s="4">
        <v>92.087999999999994</v>
      </c>
    </row>
    <row r="19" spans="1:2" x14ac:dyDescent="0.3">
      <c r="A19" s="4">
        <v>2004</v>
      </c>
      <c r="B19" s="4">
        <v>97.114999999999995</v>
      </c>
    </row>
    <row r="20" spans="1:2" x14ac:dyDescent="0.3">
      <c r="A20" s="4">
        <v>2003</v>
      </c>
      <c r="B20" s="4">
        <v>99.757000000000005</v>
      </c>
    </row>
    <row r="21" spans="1:2" x14ac:dyDescent="0.3">
      <c r="A21" s="4">
        <v>2002</v>
      </c>
      <c r="B21" s="4">
        <v>101.66</v>
      </c>
    </row>
    <row r="22" spans="1:2" x14ac:dyDescent="0.3">
      <c r="A22" s="4">
        <v>2001</v>
      </c>
      <c r="B22" s="4">
        <v>98.286000000000001</v>
      </c>
    </row>
    <row r="23" spans="1:2" x14ac:dyDescent="0.3">
      <c r="A23" s="4">
        <v>2000</v>
      </c>
      <c r="B23" s="4">
        <v>97.572000000000003</v>
      </c>
    </row>
    <row r="24" spans="1:2" x14ac:dyDescent="0.3">
      <c r="A24" s="4">
        <v>1999</v>
      </c>
      <c r="B24" s="4">
        <v>95.783000000000001</v>
      </c>
    </row>
    <row r="25" spans="1:2" x14ac:dyDescent="0.3">
      <c r="A25" s="4">
        <v>1998</v>
      </c>
      <c r="B25" s="4">
        <v>92.492000000000004</v>
      </c>
    </row>
    <row r="26" spans="1:2" x14ac:dyDescent="0.3">
      <c r="A26" s="4">
        <v>1997</v>
      </c>
      <c r="B26" s="4">
        <v>86.396000000000001</v>
      </c>
    </row>
    <row r="27" spans="1:2" x14ac:dyDescent="0.3">
      <c r="A27" s="4">
        <v>1996</v>
      </c>
      <c r="B27" s="4">
        <v>81.948999999999998</v>
      </c>
    </row>
    <row r="28" spans="1:2" x14ac:dyDescent="0.3">
      <c r="A28" s="4">
        <v>1995</v>
      </c>
      <c r="B28" s="4">
        <v>79.111000000000004</v>
      </c>
    </row>
    <row r="29" spans="1:2" x14ac:dyDescent="0.3">
      <c r="A29" s="4">
        <v>1994</v>
      </c>
      <c r="B29" s="4">
        <v>77.453999999999994</v>
      </c>
    </row>
    <row r="30" spans="1:2" x14ac:dyDescent="0.3">
      <c r="A30" s="4">
        <v>1993</v>
      </c>
      <c r="B30" s="4">
        <v>76.328999999999994</v>
      </c>
    </row>
    <row r="31" spans="1:2" x14ac:dyDescent="0.3">
      <c r="A31" s="4">
        <v>1992</v>
      </c>
      <c r="B31" s="4">
        <v>75.361000000000004</v>
      </c>
    </row>
    <row r="32" spans="1:2" x14ac:dyDescent="0.3">
      <c r="A32" s="4">
        <v>1991</v>
      </c>
      <c r="B32" s="4">
        <v>80.760999999999996</v>
      </c>
    </row>
    <row r="33" spans="1:2" x14ac:dyDescent="0.3">
      <c r="A33" s="4">
        <v>1990</v>
      </c>
      <c r="B33" s="4">
        <v>83.522000000000006</v>
      </c>
    </row>
    <row r="34" spans="1:2" x14ac:dyDescent="0.3">
      <c r="A34" s="4">
        <v>1989</v>
      </c>
      <c r="B34" s="4">
        <v>78.936000000000007</v>
      </c>
    </row>
    <row r="35" spans="1:2" x14ac:dyDescent="0.3">
      <c r="A35" s="4">
        <v>1988</v>
      </c>
      <c r="B35" s="4">
        <v>71.754999999999995</v>
      </c>
    </row>
    <row r="36" spans="1:2" x14ac:dyDescent="0.3">
      <c r="A36" s="4">
        <v>1987</v>
      </c>
      <c r="B36" s="4">
        <v>66.459999999999994</v>
      </c>
    </row>
    <row r="37" spans="1:2" x14ac:dyDescent="0.3">
      <c r="A37" s="4">
        <v>1986</v>
      </c>
      <c r="B37" s="4">
        <v>67.506</v>
      </c>
    </row>
    <row r="38" spans="1:2" x14ac:dyDescent="0.3">
      <c r="A38" s="4">
        <v>1985</v>
      </c>
      <c r="B38" s="4">
        <v>68.090999999999994</v>
      </c>
    </row>
    <row r="39" spans="1:2" x14ac:dyDescent="0.3">
      <c r="A39" s="4">
        <v>1984</v>
      </c>
      <c r="B39" s="4">
        <v>75.364000000000004</v>
      </c>
    </row>
    <row r="40" spans="1:2" x14ac:dyDescent="0.3">
      <c r="A40" s="4">
        <v>1983</v>
      </c>
      <c r="B40" s="4">
        <v>74.484999999999999</v>
      </c>
    </row>
    <row r="41" spans="1:2" x14ac:dyDescent="0.3">
      <c r="A41" s="4">
        <v>1982</v>
      </c>
      <c r="B41" s="4">
        <v>77.834000000000003</v>
      </c>
    </row>
    <row r="42" spans="1:2" x14ac:dyDescent="0.3">
      <c r="A42" s="4">
        <v>1981</v>
      </c>
      <c r="B42" s="4">
        <v>71.259</v>
      </c>
    </row>
    <row r="43" spans="1:2" x14ac:dyDescent="0.3">
      <c r="A43" s="4">
        <v>1980</v>
      </c>
      <c r="B43" s="4">
        <v>70.328999999999994</v>
      </c>
    </row>
    <row r="44" spans="1:2" x14ac:dyDescent="0.3">
      <c r="A44" s="4">
        <v>1979</v>
      </c>
      <c r="B44" s="4">
        <v>80.957999999999998</v>
      </c>
    </row>
    <row r="45" spans="1:2" x14ac:dyDescent="0.3">
      <c r="A45" s="4">
        <v>1978</v>
      </c>
      <c r="B45" s="4">
        <v>84.713999999999999</v>
      </c>
    </row>
    <row r="46" spans="1:2" x14ac:dyDescent="0.3">
      <c r="A46" s="4">
        <v>1977</v>
      </c>
      <c r="B46" s="4">
        <v>77.162999999999997</v>
      </c>
    </row>
    <row r="47" spans="1:2" x14ac:dyDescent="0.3">
      <c r="A47" s="4">
        <v>1976</v>
      </c>
      <c r="B47" s="4">
        <v>70.41</v>
      </c>
    </row>
    <row r="48" spans="1:2" x14ac:dyDescent="0.3">
      <c r="A48" s="4">
        <v>1975</v>
      </c>
      <c r="B48" s="4">
        <v>77.643000000000001</v>
      </c>
    </row>
    <row r="49" spans="1:3" x14ac:dyDescent="0.3">
      <c r="A49" s="4">
        <v>1974</v>
      </c>
      <c r="B49" s="4">
        <v>77.326999999999998</v>
      </c>
    </row>
    <row r="50" spans="1:3" x14ac:dyDescent="0.3">
      <c r="A50" s="4">
        <v>1973</v>
      </c>
      <c r="B50" s="4">
        <v>67.403999999999996</v>
      </c>
    </row>
    <row r="51" spans="1:3" x14ac:dyDescent="0.3">
      <c r="A51" s="4">
        <v>1972</v>
      </c>
      <c r="B51" s="4">
        <v>74.197999999999993</v>
      </c>
    </row>
    <row r="52" spans="1:3" x14ac:dyDescent="0.3">
      <c r="A52" s="4">
        <v>1971</v>
      </c>
      <c r="B52" s="4">
        <v>75.707999999999998</v>
      </c>
    </row>
    <row r="53" spans="1:3" x14ac:dyDescent="0.3">
      <c r="A53" s="4">
        <v>1970</v>
      </c>
      <c r="B53" s="4">
        <v>75.337000000000003</v>
      </c>
    </row>
    <row r="54" spans="1:3" x14ac:dyDescent="0.3">
      <c r="A54" s="4">
        <v>1969</v>
      </c>
      <c r="B54" s="4">
        <v>76.516999999999996</v>
      </c>
    </row>
    <row r="55" spans="1:3" x14ac:dyDescent="0.3">
      <c r="A55" s="4">
        <v>1968</v>
      </c>
      <c r="B55" s="4">
        <v>76.888000000000005</v>
      </c>
    </row>
    <row r="56" spans="1:3" x14ac:dyDescent="0.3">
      <c r="A56" s="4">
        <v>1967</v>
      </c>
      <c r="B56" s="4">
        <v>73.896000000000001</v>
      </c>
    </row>
    <row r="57" spans="1:3" x14ac:dyDescent="0.3">
      <c r="A57" s="4">
        <v>1966</v>
      </c>
      <c r="B57" s="4">
        <v>78.918999999999997</v>
      </c>
    </row>
    <row r="58" spans="1:3" x14ac:dyDescent="0.3">
      <c r="A58" s="4">
        <v>1965</v>
      </c>
      <c r="B58" s="4">
        <v>81.073999999999998</v>
      </c>
    </row>
    <row r="59" spans="1:3" x14ac:dyDescent="0.3">
      <c r="A59" s="4">
        <v>1964</v>
      </c>
      <c r="B59" s="4">
        <v>78.067999999999998</v>
      </c>
    </row>
    <row r="60" spans="1:3" x14ac:dyDescent="0.3">
      <c r="A60" s="4">
        <v>1963</v>
      </c>
      <c r="B60" s="4">
        <v>83.668000000000006</v>
      </c>
    </row>
    <row r="61" spans="1:3" x14ac:dyDescent="0.3">
      <c r="A61" s="4">
        <v>1962</v>
      </c>
      <c r="B61" s="4">
        <v>87.085999999999999</v>
      </c>
    </row>
    <row r="62" spans="1:3" x14ac:dyDescent="0.3">
      <c r="A62" s="4">
        <v>1961</v>
      </c>
      <c r="B62" s="4">
        <v>91.847999999999999</v>
      </c>
    </row>
    <row r="63" spans="1:3" x14ac:dyDescent="0.3">
      <c r="A63" s="4">
        <v>1960</v>
      </c>
      <c r="B63" s="4">
        <v>96.652000000000001</v>
      </c>
      <c r="C63" s="4">
        <v>1378.2608695652175</v>
      </c>
    </row>
    <row r="64" spans="1:3" x14ac:dyDescent="0.3">
      <c r="A64" s="4">
        <v>1959</v>
      </c>
      <c r="B64" s="4">
        <v>102.76</v>
      </c>
      <c r="C64" s="4">
        <v>1596.6666666666667</v>
      </c>
    </row>
    <row r="65" spans="1:3" x14ac:dyDescent="0.3">
      <c r="A65" s="4">
        <v>1958</v>
      </c>
      <c r="B65" s="4">
        <v>106.40701461377871</v>
      </c>
      <c r="C65" s="4">
        <v>1653.3333333333335</v>
      </c>
    </row>
    <row r="66" spans="1:3" x14ac:dyDescent="0.3">
      <c r="A66" s="4">
        <v>1957</v>
      </c>
      <c r="B66" s="4">
        <v>129.40772442588727</v>
      </c>
      <c r="C66" s="4">
        <v>2010.7142857142856</v>
      </c>
    </row>
    <row r="67" spans="1:3" x14ac:dyDescent="0.3">
      <c r="A67" s="4">
        <v>1956</v>
      </c>
      <c r="B67" s="4">
        <v>163.12101727082938</v>
      </c>
      <c r="C67" s="4">
        <v>2534.5454545454545</v>
      </c>
    </row>
    <row r="68" spans="1:3" x14ac:dyDescent="0.3">
      <c r="A68" s="4">
        <v>1955</v>
      </c>
      <c r="B68" s="4">
        <v>164.11565762004176</v>
      </c>
      <c r="C68" s="4">
        <v>2550</v>
      </c>
    </row>
    <row r="69" spans="1:3" x14ac:dyDescent="0.3">
      <c r="A69" s="4">
        <v>1954</v>
      </c>
      <c r="B69" s="4">
        <v>171.81076518108375</v>
      </c>
      <c r="C69" s="4">
        <v>2669.565217391304</v>
      </c>
    </row>
    <row r="70" spans="1:3" x14ac:dyDescent="0.3">
      <c r="A70" s="4">
        <v>1953</v>
      </c>
      <c r="B70" s="4">
        <v>127.3237160751566</v>
      </c>
      <c r="C70" s="4">
        <v>1978.3333333333335</v>
      </c>
    </row>
    <row r="71" spans="1:3" x14ac:dyDescent="0.3">
      <c r="A71" s="4">
        <v>1952</v>
      </c>
      <c r="B71" s="4">
        <v>145.80257354336686</v>
      </c>
      <c r="C71" s="4">
        <v>2265.4545454545455</v>
      </c>
    </row>
    <row r="72" spans="1:3" x14ac:dyDescent="0.3">
      <c r="A72" s="4">
        <v>1951</v>
      </c>
      <c r="B72" s="4">
        <v>168.62079331941544</v>
      </c>
      <c r="C72" s="4">
        <v>2620</v>
      </c>
    </row>
    <row r="73" spans="1:3" x14ac:dyDescent="0.3">
      <c r="A73" s="4">
        <v>1950</v>
      </c>
      <c r="B73" s="4">
        <v>184.49603340292276</v>
      </c>
      <c r="C73" s="4">
        <v>2866.666666666667</v>
      </c>
    </row>
    <row r="74" spans="1:3" x14ac:dyDescent="0.3">
      <c r="A74" s="4">
        <v>1949</v>
      </c>
      <c r="B74" s="4">
        <v>217.17448172063891</v>
      </c>
      <c r="C74" s="4">
        <v>3374.4186046511627</v>
      </c>
    </row>
    <row r="75" spans="1:3" x14ac:dyDescent="0.3">
      <c r="A75" s="4">
        <v>1948</v>
      </c>
      <c r="B75" s="4">
        <v>242.31194154488514</v>
      </c>
      <c r="C75" s="4">
        <v>3765</v>
      </c>
    </row>
    <row r="76" spans="1:3" x14ac:dyDescent="0.3">
      <c r="A76" s="4">
        <v>1947</v>
      </c>
      <c r="B76" s="4">
        <v>277.26588049427295</v>
      </c>
      <c r="C76" s="4">
        <v>4308.1081081081084</v>
      </c>
    </row>
    <row r="77" spans="1:3" x14ac:dyDescent="0.3">
      <c r="A77" s="4">
        <v>1946</v>
      </c>
      <c r="B77" s="4">
        <v>311.13018789144047</v>
      </c>
      <c r="C77" s="4">
        <v>4834.2857142857147</v>
      </c>
    </row>
    <row r="78" spans="1:3" x14ac:dyDescent="0.3">
      <c r="A78" s="4">
        <v>1945</v>
      </c>
      <c r="B78" s="4">
        <v>274.47255311310317</v>
      </c>
      <c r="C78" s="4">
        <v>4264.7058823529405</v>
      </c>
    </row>
    <row r="79" spans="1:3" x14ac:dyDescent="0.3">
      <c r="A79" s="4">
        <v>1944</v>
      </c>
      <c r="B79" s="4">
        <v>269.70477557411272</v>
      </c>
      <c r="C79" s="4">
        <v>4190.625</v>
      </c>
    </row>
    <row r="80" spans="1:3" x14ac:dyDescent="0.3">
      <c r="A80" s="4">
        <v>1943</v>
      </c>
      <c r="B80" s="4">
        <v>273.52609603340289</v>
      </c>
      <c r="C80" s="4">
        <v>4250</v>
      </c>
    </row>
    <row r="81" spans="1:3" x14ac:dyDescent="0.3">
      <c r="A81" s="4">
        <v>1942</v>
      </c>
      <c r="B81" s="4">
        <v>226.81028003743427</v>
      </c>
      <c r="C81" s="4">
        <v>3524.1379310344828</v>
      </c>
    </row>
    <row r="82" spans="1:3" x14ac:dyDescent="0.3">
      <c r="A82" s="4">
        <v>1941</v>
      </c>
      <c r="B82" s="4">
        <v>185.95177453027136</v>
      </c>
      <c r="C82" s="4">
        <v>2889.2857142857142</v>
      </c>
    </row>
    <row r="83" spans="1:3" x14ac:dyDescent="0.3">
      <c r="A83" s="4">
        <v>1940</v>
      </c>
      <c r="B83" s="4">
        <v>168.94258872651352</v>
      </c>
      <c r="C83" s="4">
        <v>2624.9999999999995</v>
      </c>
    </row>
    <row r="84" spans="1:3" x14ac:dyDescent="0.3">
      <c r="A84" s="4">
        <v>1939</v>
      </c>
      <c r="B84" s="4">
        <v>151.47369519832984</v>
      </c>
      <c r="C84" s="4">
        <v>2353.5714285714284</v>
      </c>
    </row>
    <row r="85" spans="1:3" x14ac:dyDescent="0.3">
      <c r="A85" s="4">
        <v>1938</v>
      </c>
      <c r="B85" s="4">
        <v>158.03729993041054</v>
      </c>
      <c r="C85" s="4">
        <v>2455.5555555555552</v>
      </c>
    </row>
    <row r="86" spans="1:3" x14ac:dyDescent="0.3">
      <c r="A86" s="4">
        <v>1937</v>
      </c>
      <c r="B86" s="4">
        <v>167.33361169102295</v>
      </c>
      <c r="C86" s="4">
        <v>2600</v>
      </c>
    </row>
    <row r="87" spans="1:3" x14ac:dyDescent="0.3">
      <c r="A87" s="4">
        <v>1936</v>
      </c>
      <c r="B87" s="4">
        <v>161.15513987473901</v>
      </c>
      <c r="C87" s="4">
        <v>2504</v>
      </c>
    </row>
    <row r="88" spans="1:3" x14ac:dyDescent="0.3">
      <c r="A88" s="4">
        <v>1935</v>
      </c>
      <c r="B88" s="4">
        <v>151.78016701461374</v>
      </c>
      <c r="C88" s="4">
        <v>2358.3333333333335</v>
      </c>
    </row>
    <row r="89" spans="1:3" x14ac:dyDescent="0.3">
      <c r="A89" s="4">
        <v>1934</v>
      </c>
      <c r="B89" s="4">
        <v>144.94784424071881</v>
      </c>
      <c r="C89" s="4">
        <v>2252.173913043478</v>
      </c>
    </row>
    <row r="90" spans="1:3" x14ac:dyDescent="0.3">
      <c r="A90" s="4">
        <v>1933</v>
      </c>
      <c r="B90" s="4">
        <v>134.87424888808198</v>
      </c>
      <c r="C90" s="4">
        <v>2095.6521739130435</v>
      </c>
    </row>
    <row r="91" spans="1:3" x14ac:dyDescent="0.3">
      <c r="A91" s="4">
        <v>1932</v>
      </c>
      <c r="B91" s="4">
        <v>154.16925412791792</v>
      </c>
      <c r="C91" s="4">
        <v>2395.4545454545455</v>
      </c>
    </row>
    <row r="92" spans="1:3" x14ac:dyDescent="0.3">
      <c r="A92" s="4">
        <v>1931</v>
      </c>
      <c r="B92" s="4">
        <v>220.35323590814184</v>
      </c>
      <c r="C92" s="4">
        <v>3423.8095238095239</v>
      </c>
    </row>
    <row r="93" spans="1:3" x14ac:dyDescent="0.3">
      <c r="A93" s="4">
        <v>1930</v>
      </c>
      <c r="B93" s="4">
        <v>235.55423799582451</v>
      </c>
      <c r="C93" s="4">
        <v>3660</v>
      </c>
    </row>
    <row r="94" spans="1:3" x14ac:dyDescent="0.3">
      <c r="A94" s="4">
        <v>1929</v>
      </c>
      <c r="B94" s="4">
        <v>132.39582463465547</v>
      </c>
      <c r="C94" s="4">
        <v>2057.1428571428573</v>
      </c>
    </row>
    <row r="95" spans="1:3" x14ac:dyDescent="0.3">
      <c r="A95" s="4">
        <v>1928</v>
      </c>
      <c r="B95" s="4">
        <v>112.25226613200189</v>
      </c>
    </row>
    <row r="96" spans="1:3" x14ac:dyDescent="0.3">
      <c r="A96" s="4">
        <v>1927</v>
      </c>
      <c r="B96" s="4">
        <v>80.023331296171847</v>
      </c>
    </row>
    <row r="97" spans="1:2" x14ac:dyDescent="0.3">
      <c r="A97" s="4">
        <v>1926</v>
      </c>
      <c r="B97" s="4">
        <v>96.065128461564427</v>
      </c>
    </row>
    <row r="98" spans="1:2" x14ac:dyDescent="0.3">
      <c r="A98" s="4">
        <v>1925</v>
      </c>
      <c r="B98" s="4">
        <v>119.03419266121819</v>
      </c>
    </row>
    <row r="99" spans="1:2" x14ac:dyDescent="0.3">
      <c r="A99" s="4">
        <v>1924</v>
      </c>
      <c r="B99" s="4">
        <v>76.407863024348231</v>
      </c>
    </row>
    <row r="100" spans="1:2" x14ac:dyDescent="0.3">
      <c r="A100" s="4">
        <v>1923</v>
      </c>
      <c r="B100" s="4">
        <v>71.857014611074334</v>
      </c>
    </row>
    <row r="101" spans="1:2" x14ac:dyDescent="0.3">
      <c r="A101" s="4">
        <v>1922</v>
      </c>
      <c r="B101" s="4">
        <v>67.519009732058407</v>
      </c>
    </row>
    <row r="102" spans="1:2" x14ac:dyDescent="0.3">
      <c r="A102" s="4">
        <v>1921</v>
      </c>
      <c r="B102" s="4">
        <v>97.9541492505912</v>
      </c>
    </row>
    <row r="103" spans="1:2" x14ac:dyDescent="0.3">
      <c r="A103" s="4">
        <v>1920</v>
      </c>
      <c r="B103" s="4">
        <v>58.994669674003092</v>
      </c>
    </row>
    <row r="104" spans="1:2" x14ac:dyDescent="0.3">
      <c r="A104" s="4">
        <v>1919</v>
      </c>
      <c r="B104" s="4">
        <v>52.251035558307009</v>
      </c>
    </row>
    <row r="105" spans="1:2" x14ac:dyDescent="0.3">
      <c r="A105" s="4">
        <v>1918</v>
      </c>
      <c r="B105" s="4">
        <v>48.796168959074315</v>
      </c>
    </row>
    <row r="106" spans="1:2" x14ac:dyDescent="0.3">
      <c r="A106" s="4">
        <v>1917</v>
      </c>
      <c r="B106" s="4">
        <v>43.768012290618259</v>
      </c>
    </row>
    <row r="107" spans="1:2" x14ac:dyDescent="0.3">
      <c r="A107" s="4">
        <v>1916</v>
      </c>
      <c r="B107" s="4">
        <v>40.578172294524329</v>
      </c>
    </row>
    <row r="108" spans="1:2" x14ac:dyDescent="0.3">
      <c r="A108" s="4">
        <v>1915</v>
      </c>
      <c r="B108" s="4">
        <v>34.867468165859847</v>
      </c>
    </row>
    <row r="109" spans="1:2" x14ac:dyDescent="0.3">
      <c r="A109" s="4">
        <v>1914</v>
      </c>
      <c r="B109" s="4">
        <v>26.842275213137789</v>
      </c>
    </row>
    <row r="110" spans="1:2" x14ac:dyDescent="0.3">
      <c r="A110" s="4">
        <v>1913</v>
      </c>
      <c r="B110" s="4">
        <v>19.78946740088583</v>
      </c>
    </row>
    <row r="111" spans="1:2" x14ac:dyDescent="0.3">
      <c r="A111" s="4">
        <v>1912</v>
      </c>
      <c r="B111" s="4">
        <v>16.363947685407247</v>
      </c>
    </row>
    <row r="112" spans="1:2" x14ac:dyDescent="0.3">
      <c r="A112" s="4">
        <v>1911</v>
      </c>
      <c r="B112" s="4">
        <v>11.918174960383595</v>
      </c>
    </row>
    <row r="113" spans="1:2" x14ac:dyDescent="0.3">
      <c r="A113" s="4">
        <v>1910</v>
      </c>
      <c r="B113" s="4">
        <v>8.6694512562291912</v>
      </c>
    </row>
    <row r="114" spans="1:2" x14ac:dyDescent="0.3">
      <c r="A114" s="4">
        <v>1909</v>
      </c>
      <c r="B114" s="4">
        <v>6.8883511219048765</v>
      </c>
    </row>
    <row r="115" spans="1:2" x14ac:dyDescent="0.3">
      <c r="A115" s="4">
        <v>1908</v>
      </c>
      <c r="B115" s="4">
        <v>4.8314129396693932</v>
      </c>
    </row>
    <row r="116" spans="1:2" x14ac:dyDescent="0.3">
      <c r="A116" s="4">
        <v>1907</v>
      </c>
      <c r="B116" s="4">
        <v>3.5010934721858726</v>
      </c>
    </row>
    <row r="117" spans="1:2" x14ac:dyDescent="0.3">
      <c r="A117" s="4">
        <v>1906</v>
      </c>
      <c r="B117" s="4">
        <v>2.7776814140528292</v>
      </c>
    </row>
    <row r="118" spans="1:2" x14ac:dyDescent="0.3">
      <c r="A118" s="4">
        <v>1905</v>
      </c>
      <c r="B118" s="4">
        <v>2.1867342920233783</v>
      </c>
    </row>
    <row r="119" spans="1:2" x14ac:dyDescent="0.3">
      <c r="A119" s="4">
        <v>1904</v>
      </c>
      <c r="B119" s="4">
        <v>1.7000983425971228</v>
      </c>
    </row>
    <row r="120" spans="1:2" x14ac:dyDescent="0.3">
      <c r="A120" s="4">
        <v>1903</v>
      </c>
      <c r="B120" s="4">
        <v>1.3266838852052549</v>
      </c>
    </row>
    <row r="121" spans="1:2" x14ac:dyDescent="0.3">
      <c r="A121" s="4">
        <v>1902</v>
      </c>
      <c r="B121" s="4">
        <v>0.99738764639535893</v>
      </c>
    </row>
    <row r="122" spans="1:2" x14ac:dyDescent="0.3">
      <c r="A122" s="4">
        <v>1901</v>
      </c>
      <c r="B122" s="4">
        <v>0.74983030593239586</v>
      </c>
    </row>
    <row r="123" spans="1:2" x14ac:dyDescent="0.3">
      <c r="A123" s="4">
        <v>1900</v>
      </c>
      <c r="B123" s="4">
        <v>0.58841502105082877</v>
      </c>
    </row>
  </sheetData>
  <mergeCells count="1">
    <mergeCell ref="B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6681-1D7D-4807-8062-FCC6B79238CD}">
  <dimension ref="A1:M119"/>
  <sheetViews>
    <sheetView topLeftCell="A45" workbookViewId="0">
      <selection activeCell="O71" sqref="O71"/>
    </sheetView>
  </sheetViews>
  <sheetFormatPr defaultRowHeight="14.4" x14ac:dyDescent="0.3"/>
  <cols>
    <col min="1" max="16384" width="8.88671875" style="4"/>
  </cols>
  <sheetData>
    <row r="1" spans="1:13" x14ac:dyDescent="0.3">
      <c r="A1" t="s">
        <v>21</v>
      </c>
      <c r="B1" t="s">
        <v>59</v>
      </c>
      <c r="C1"/>
      <c r="D1"/>
      <c r="E1"/>
      <c r="F1"/>
      <c r="G1"/>
      <c r="H1"/>
      <c r="I1"/>
      <c r="J1"/>
      <c r="K1"/>
      <c r="L1"/>
      <c r="M1"/>
    </row>
    <row r="2" spans="1:13" x14ac:dyDescent="0.3">
      <c r="A2" t="s">
        <v>23</v>
      </c>
      <c r="B2"/>
      <c r="C2"/>
      <c r="D2"/>
      <c r="E2"/>
      <c r="F2"/>
      <c r="G2"/>
      <c r="H2"/>
      <c r="I2"/>
      <c r="J2"/>
      <c r="K2"/>
      <c r="L2"/>
      <c r="M2"/>
    </row>
    <row r="3" spans="1:13" x14ac:dyDescent="0.3">
      <c r="A3" t="s">
        <v>24</v>
      </c>
      <c r="B3" t="s">
        <v>60</v>
      </c>
      <c r="C3"/>
      <c r="D3"/>
      <c r="E3"/>
      <c r="F3"/>
      <c r="G3"/>
      <c r="H3"/>
      <c r="I3"/>
      <c r="J3"/>
      <c r="K3"/>
      <c r="L3"/>
      <c r="M3"/>
    </row>
    <row r="4" spans="1:13" x14ac:dyDescent="0.3">
      <c r="A4" t="s">
        <v>26</v>
      </c>
      <c r="B4" t="s">
        <v>27</v>
      </c>
      <c r="C4"/>
      <c r="D4"/>
      <c r="E4"/>
      <c r="F4"/>
      <c r="G4"/>
      <c r="H4"/>
      <c r="I4"/>
      <c r="J4"/>
      <c r="K4"/>
      <c r="L4"/>
      <c r="M4"/>
    </row>
    <row r="5" spans="1:13" x14ac:dyDescent="0.3">
      <c r="A5" t="s">
        <v>28</v>
      </c>
      <c r="B5" t="s">
        <v>61</v>
      </c>
      <c r="C5"/>
      <c r="D5"/>
      <c r="E5"/>
      <c r="F5"/>
      <c r="G5"/>
      <c r="H5"/>
      <c r="I5"/>
      <c r="J5"/>
      <c r="K5"/>
      <c r="L5"/>
      <c r="M5"/>
    </row>
    <row r="6" spans="1:13" x14ac:dyDescent="0.3">
      <c r="A6" t="s">
        <v>30</v>
      </c>
      <c r="B6">
        <v>200903</v>
      </c>
      <c r="C6"/>
      <c r="D6"/>
      <c r="E6"/>
      <c r="F6"/>
      <c r="G6"/>
      <c r="H6"/>
      <c r="I6"/>
      <c r="J6"/>
      <c r="K6"/>
      <c r="L6"/>
      <c r="M6"/>
    </row>
    <row r="7" spans="1:13" x14ac:dyDescent="0.3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3">
      <c r="A8" t="s">
        <v>31</v>
      </c>
      <c r="B8"/>
      <c r="C8"/>
      <c r="D8"/>
      <c r="E8"/>
      <c r="F8"/>
      <c r="G8"/>
      <c r="H8"/>
      <c r="I8"/>
      <c r="J8"/>
      <c r="K8"/>
      <c r="L8"/>
      <c r="M8"/>
    </row>
    <row r="9" spans="1:13" x14ac:dyDescent="0.3">
      <c r="A9" t="s">
        <v>32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</row>
    <row r="10" spans="1:13" x14ac:dyDescent="0.3">
      <c r="A10">
        <v>2009</v>
      </c>
      <c r="B10"/>
      <c r="C10"/>
      <c r="D10">
        <v>100</v>
      </c>
      <c r="E10">
        <v>101.5</v>
      </c>
      <c r="F10">
        <v>101.3</v>
      </c>
      <c r="G10">
        <v>102.3</v>
      </c>
      <c r="H10">
        <v>101.9</v>
      </c>
      <c r="I10">
        <v>103.1</v>
      </c>
      <c r="J10">
        <v>104.1</v>
      </c>
      <c r="K10">
        <v>101.7</v>
      </c>
      <c r="L10">
        <v>102.7</v>
      </c>
      <c r="M10">
        <v>103.1</v>
      </c>
    </row>
    <row r="11" spans="1:13" x14ac:dyDescent="0.3">
      <c r="A11">
        <v>2010</v>
      </c>
      <c r="B11">
        <v>100.1</v>
      </c>
      <c r="C11">
        <v>101.2</v>
      </c>
      <c r="D11">
        <v>101.4</v>
      </c>
      <c r="E11">
        <v>103</v>
      </c>
      <c r="F11">
        <v>101.8</v>
      </c>
      <c r="G11">
        <v>104</v>
      </c>
      <c r="H11">
        <v>102.6</v>
      </c>
      <c r="I11">
        <v>103.4</v>
      </c>
      <c r="J11">
        <v>102.1</v>
      </c>
      <c r="K11">
        <v>103.3</v>
      </c>
      <c r="L11">
        <v>104.2</v>
      </c>
      <c r="M11">
        <v>104</v>
      </c>
    </row>
    <row r="12" spans="1:13" x14ac:dyDescent="0.3">
      <c r="A12">
        <v>2011</v>
      </c>
      <c r="B12">
        <v>101.2</v>
      </c>
      <c r="C12">
        <v>101.3</v>
      </c>
      <c r="D12">
        <v>100.8</v>
      </c>
      <c r="E12">
        <v>102.3</v>
      </c>
      <c r="F12">
        <v>104.2</v>
      </c>
      <c r="G12">
        <v>102.3</v>
      </c>
      <c r="H12">
        <v>100.1</v>
      </c>
      <c r="I12">
        <v>100.8</v>
      </c>
      <c r="J12">
        <v>101.2</v>
      </c>
      <c r="K12">
        <v>100.9</v>
      </c>
      <c r="L12">
        <v>101.4</v>
      </c>
      <c r="M12">
        <v>100</v>
      </c>
    </row>
    <row r="13" spans="1:13" x14ac:dyDescent="0.3">
      <c r="A13">
        <v>2012</v>
      </c>
      <c r="B13">
        <v>95.2</v>
      </c>
      <c r="C13">
        <v>94.8</v>
      </c>
      <c r="D13">
        <v>97.8</v>
      </c>
      <c r="E13">
        <v>98.8</v>
      </c>
      <c r="F13">
        <v>99.8</v>
      </c>
      <c r="G13">
        <v>100.7</v>
      </c>
      <c r="H13">
        <v>100.5</v>
      </c>
      <c r="I13">
        <v>98.3</v>
      </c>
      <c r="J13">
        <v>100.3</v>
      </c>
      <c r="K13">
        <v>101.7</v>
      </c>
      <c r="L13">
        <v>103.9</v>
      </c>
      <c r="M13">
        <v>101.6</v>
      </c>
    </row>
    <row r="14" spans="1:13" x14ac:dyDescent="0.3">
      <c r="A14">
        <v>2013</v>
      </c>
      <c r="B14">
        <v>101.2</v>
      </c>
      <c r="C14">
        <v>99.1</v>
      </c>
      <c r="D14">
        <v>100</v>
      </c>
      <c r="E14">
        <v>100.1</v>
      </c>
      <c r="F14">
        <v>103.7</v>
      </c>
      <c r="G14">
        <v>105.7</v>
      </c>
      <c r="H14">
        <v>101.9</v>
      </c>
      <c r="I14">
        <v>102.6</v>
      </c>
      <c r="J14">
        <v>104.6</v>
      </c>
      <c r="K14">
        <v>105.5</v>
      </c>
      <c r="L14">
        <v>103.8</v>
      </c>
      <c r="M14">
        <v>102.3</v>
      </c>
    </row>
    <row r="15" spans="1:13" x14ac:dyDescent="0.3">
      <c r="A15">
        <v>2014</v>
      </c>
      <c r="B15">
        <v>98.3</v>
      </c>
      <c r="C15">
        <v>100.1</v>
      </c>
      <c r="D15">
        <v>102.2</v>
      </c>
      <c r="E15">
        <v>100.5</v>
      </c>
      <c r="F15">
        <v>100.7</v>
      </c>
      <c r="G15">
        <v>101.3</v>
      </c>
      <c r="H15">
        <v>101.2</v>
      </c>
      <c r="I15">
        <v>101.9</v>
      </c>
      <c r="J15">
        <v>100.7</v>
      </c>
      <c r="K15">
        <v>102.3</v>
      </c>
      <c r="L15">
        <v>102.2</v>
      </c>
      <c r="M15">
        <v>103.1</v>
      </c>
    </row>
    <row r="16" spans="1:13" x14ac:dyDescent="0.3">
      <c r="A16">
        <v>2015</v>
      </c>
      <c r="B16">
        <v>94.3</v>
      </c>
      <c r="C16">
        <v>94.9</v>
      </c>
      <c r="D16">
        <v>94.8</v>
      </c>
      <c r="E16">
        <v>95.2</v>
      </c>
      <c r="F16">
        <v>93.8</v>
      </c>
      <c r="G16">
        <v>95.2</v>
      </c>
      <c r="H16">
        <v>94.2</v>
      </c>
      <c r="I16">
        <v>94.1</v>
      </c>
      <c r="J16">
        <v>93.9</v>
      </c>
      <c r="K16">
        <v>94.6</v>
      </c>
      <c r="L16">
        <v>95.2</v>
      </c>
      <c r="M16">
        <v>95.8</v>
      </c>
    </row>
    <row r="17" spans="1:13" x14ac:dyDescent="0.3">
      <c r="A17">
        <v>2016</v>
      </c>
      <c r="B17">
        <v>93.2</v>
      </c>
      <c r="C17">
        <v>95.8</v>
      </c>
      <c r="D17">
        <v>100.8</v>
      </c>
      <c r="E17">
        <v>100.1</v>
      </c>
      <c r="F17">
        <v>102.5</v>
      </c>
      <c r="G17">
        <v>102.1</v>
      </c>
      <c r="H17">
        <v>102.6</v>
      </c>
      <c r="I17">
        <v>102.8</v>
      </c>
      <c r="J17">
        <v>102.5</v>
      </c>
      <c r="K17">
        <v>102.4</v>
      </c>
      <c r="L17">
        <v>102.4</v>
      </c>
      <c r="M17">
        <v>102.3</v>
      </c>
    </row>
    <row r="18" spans="1:13" x14ac:dyDescent="0.3">
      <c r="A18">
        <v>2017</v>
      </c>
      <c r="B18">
        <v>95.4</v>
      </c>
      <c r="C18">
        <v>95.7</v>
      </c>
      <c r="D18">
        <v>96.7</v>
      </c>
      <c r="E18">
        <v>95</v>
      </c>
      <c r="F18">
        <v>97.5</v>
      </c>
      <c r="G18">
        <v>98</v>
      </c>
      <c r="H18">
        <v>98.4</v>
      </c>
      <c r="I18">
        <v>95</v>
      </c>
      <c r="J18">
        <v>96.2</v>
      </c>
      <c r="K18">
        <v>96.7</v>
      </c>
      <c r="L18">
        <v>95.9</v>
      </c>
      <c r="M18">
        <v>97.7</v>
      </c>
    </row>
    <row r="19" spans="1:13" x14ac:dyDescent="0.3">
      <c r="A19">
        <v>2018</v>
      </c>
      <c r="B19">
        <v>95.6</v>
      </c>
      <c r="C19">
        <v>95.2</v>
      </c>
      <c r="D19">
        <v>96.3</v>
      </c>
      <c r="E19">
        <v>97.2</v>
      </c>
      <c r="F19">
        <v>96.8</v>
      </c>
      <c r="G19">
        <v>97.7</v>
      </c>
      <c r="H19">
        <v>97.7</v>
      </c>
      <c r="I19">
        <v>97.7</v>
      </c>
      <c r="J19">
        <v>98.7</v>
      </c>
      <c r="K19">
        <v>99.4</v>
      </c>
      <c r="L19">
        <v>101.1</v>
      </c>
      <c r="M19">
        <v>100.8</v>
      </c>
    </row>
    <row r="20" spans="1:13" x14ac:dyDescent="0.3">
      <c r="A20">
        <v>2019</v>
      </c>
      <c r="B20">
        <v>99.1</v>
      </c>
      <c r="C20">
        <v>101.5</v>
      </c>
      <c r="D20">
        <v>102.1</v>
      </c>
      <c r="E20">
        <v>101.5</v>
      </c>
      <c r="F20">
        <v>101</v>
      </c>
      <c r="G20">
        <v>102.4</v>
      </c>
      <c r="H20">
        <v>104.2</v>
      </c>
      <c r="I20">
        <v>103.9</v>
      </c>
      <c r="J20">
        <v>105.3</v>
      </c>
      <c r="K20">
        <v>107.1</v>
      </c>
      <c r="L20">
        <v>107.7</v>
      </c>
      <c r="M20">
        <v>107.3</v>
      </c>
    </row>
    <row r="21" spans="1:13" x14ac:dyDescent="0.3">
      <c r="A21">
        <v>2020</v>
      </c>
      <c r="B21">
        <v>101</v>
      </c>
      <c r="C21">
        <v>108.2</v>
      </c>
      <c r="D21">
        <v>101.9</v>
      </c>
      <c r="E21">
        <v>91.5</v>
      </c>
      <c r="F21">
        <v>87.3</v>
      </c>
      <c r="G21">
        <v>88.2</v>
      </c>
      <c r="H21">
        <v>89</v>
      </c>
      <c r="I21">
        <v>90.2</v>
      </c>
      <c r="J21">
        <v>91.3</v>
      </c>
      <c r="K21">
        <v>91.4</v>
      </c>
      <c r="L21">
        <v>90.4</v>
      </c>
      <c r="M21">
        <v>88.9</v>
      </c>
    </row>
    <row r="22" spans="1:13" x14ac:dyDescent="0.3">
      <c r="A22">
        <v>2021</v>
      </c>
      <c r="B22">
        <v>89.2</v>
      </c>
      <c r="C22">
        <v>88.9</v>
      </c>
      <c r="D22">
        <v>90</v>
      </c>
      <c r="E22">
        <v>95.8</v>
      </c>
      <c r="F22">
        <v>96.3</v>
      </c>
      <c r="G22">
        <v>97.6</v>
      </c>
      <c r="H22">
        <v>97.742999999999995</v>
      </c>
      <c r="I22">
        <v>99.825000000000003</v>
      </c>
      <c r="J22">
        <v>103.267</v>
      </c>
      <c r="K22">
        <v>99.997</v>
      </c>
      <c r="L22">
        <v>109.151</v>
      </c>
      <c r="M22">
        <v>106.342</v>
      </c>
    </row>
    <row r="23" spans="1:13" x14ac:dyDescent="0.3">
      <c r="A23">
        <v>2022</v>
      </c>
      <c r="B23">
        <v>91.727999999999994</v>
      </c>
      <c r="C23">
        <v>100.843</v>
      </c>
      <c r="D23">
        <v>102.68300000000001</v>
      </c>
      <c r="E23">
        <v>99.626999999999995</v>
      </c>
      <c r="F23">
        <v>108.11499999999999</v>
      </c>
      <c r="G23">
        <v>105.514</v>
      </c>
      <c r="H23">
        <v>98.863</v>
      </c>
      <c r="I23">
        <v>97.554000000000002</v>
      </c>
      <c r="J23">
        <v>103.40300000000001</v>
      </c>
      <c r="K23">
        <v>102.334</v>
      </c>
      <c r="L23">
        <v>105.343</v>
      </c>
      <c r="M23">
        <v>99.682000000000002</v>
      </c>
    </row>
    <row r="24" spans="1:13" x14ac:dyDescent="0.3">
      <c r="A24">
        <v>2023</v>
      </c>
      <c r="B24">
        <v>88.46</v>
      </c>
      <c r="C24">
        <v>97.256</v>
      </c>
      <c r="D24">
        <v>94.712000000000003</v>
      </c>
      <c r="E24" t="s">
        <v>62</v>
      </c>
      <c r="F24" t="s">
        <v>63</v>
      </c>
      <c r="G24" t="s">
        <v>64</v>
      </c>
      <c r="H24" t="s">
        <v>65</v>
      </c>
      <c r="I24"/>
      <c r="J24"/>
      <c r="K24"/>
      <c r="L24"/>
      <c r="M24"/>
    </row>
    <row r="25" spans="1:13" x14ac:dyDescent="0.3">
      <c r="A25" t="s">
        <v>46</v>
      </c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 s="4" t="s">
        <v>21</v>
      </c>
      <c r="B27" s="4" t="s">
        <v>158</v>
      </c>
    </row>
    <row r="28" spans="1:13" x14ac:dyDescent="0.3">
      <c r="A28" s="4" t="s">
        <v>24</v>
      </c>
      <c r="B28" s="4" t="s">
        <v>159</v>
      </c>
    </row>
    <row r="29" spans="1:13" x14ac:dyDescent="0.3">
      <c r="A29" s="4" t="s">
        <v>52</v>
      </c>
      <c r="B29" s="4" t="s">
        <v>72</v>
      </c>
    </row>
    <row r="30" spans="1:13" x14ac:dyDescent="0.3">
      <c r="A30" s="4" t="s">
        <v>54</v>
      </c>
      <c r="B30" s="4" t="s">
        <v>160</v>
      </c>
    </row>
    <row r="31" spans="1:13" x14ac:dyDescent="0.3">
      <c r="A31" s="4" t="s">
        <v>30</v>
      </c>
      <c r="B31" s="4">
        <v>198806</v>
      </c>
    </row>
    <row r="33" spans="1:13" x14ac:dyDescent="0.3">
      <c r="A33" s="4" t="s">
        <v>31</v>
      </c>
    </row>
    <row r="34" spans="1:13" x14ac:dyDescent="0.3">
      <c r="A34" s="4" t="s">
        <v>32</v>
      </c>
      <c r="B34" s="4" t="s">
        <v>33</v>
      </c>
      <c r="C34" s="4" t="s">
        <v>34</v>
      </c>
      <c r="D34" s="4" t="s">
        <v>35</v>
      </c>
      <c r="E34" s="4" t="s">
        <v>36</v>
      </c>
      <c r="F34" s="4" t="s">
        <v>37</v>
      </c>
      <c r="G34" s="4" t="s">
        <v>38</v>
      </c>
      <c r="H34" s="4" t="s">
        <v>39</v>
      </c>
      <c r="I34" s="4" t="s">
        <v>40</v>
      </c>
      <c r="J34" s="4" t="s">
        <v>41</v>
      </c>
      <c r="K34" s="4" t="s">
        <v>42</v>
      </c>
      <c r="L34" s="4" t="s">
        <v>43</v>
      </c>
      <c r="M34" s="4" t="s">
        <v>44</v>
      </c>
    </row>
    <row r="35" spans="1:13" x14ac:dyDescent="0.3">
      <c r="A35" s="4">
        <v>1988</v>
      </c>
      <c r="G35" s="4">
        <v>100</v>
      </c>
      <c r="H35" s="4">
        <v>100.7</v>
      </c>
      <c r="I35" s="4">
        <v>100.7</v>
      </c>
      <c r="J35" s="4">
        <v>101.3</v>
      </c>
      <c r="K35" s="4">
        <v>101.3</v>
      </c>
      <c r="L35" s="4">
        <v>102.7</v>
      </c>
      <c r="M35" s="4">
        <v>102.9</v>
      </c>
    </row>
    <row r="36" spans="1:13" x14ac:dyDescent="0.3">
      <c r="A36" s="4">
        <v>1989</v>
      </c>
      <c r="B36" s="4">
        <v>101.8</v>
      </c>
      <c r="C36" s="4">
        <v>101.6</v>
      </c>
      <c r="D36" s="4">
        <v>102.9</v>
      </c>
      <c r="E36" s="4">
        <v>103.8</v>
      </c>
      <c r="F36" s="4">
        <v>104.4</v>
      </c>
      <c r="G36" s="4">
        <v>106.3</v>
      </c>
      <c r="H36" s="4">
        <v>106.3</v>
      </c>
      <c r="I36" s="4">
        <v>106.2</v>
      </c>
      <c r="J36" s="4">
        <v>106.4</v>
      </c>
      <c r="K36" s="4">
        <v>106.2</v>
      </c>
      <c r="L36" s="4">
        <v>106.2</v>
      </c>
      <c r="M36" s="4">
        <v>105.9</v>
      </c>
    </row>
    <row r="37" spans="1:13" x14ac:dyDescent="0.3">
      <c r="A37" s="4">
        <v>1990</v>
      </c>
      <c r="B37" s="4">
        <v>105.9</v>
      </c>
      <c r="C37" s="4">
        <v>105.6</v>
      </c>
      <c r="D37" s="4">
        <v>108.5</v>
      </c>
      <c r="E37" s="4">
        <v>110.6</v>
      </c>
      <c r="F37" s="4">
        <v>111.6</v>
      </c>
      <c r="G37" s="4">
        <v>112.3</v>
      </c>
      <c r="H37" s="4">
        <v>111.9</v>
      </c>
      <c r="I37" s="4">
        <v>111.6</v>
      </c>
      <c r="J37" s="4">
        <v>111.9</v>
      </c>
      <c r="K37" s="4">
        <v>112.1</v>
      </c>
      <c r="L37" s="4">
        <v>112.1</v>
      </c>
      <c r="M37" s="4">
        <v>111.6</v>
      </c>
    </row>
    <row r="38" spans="1:13" x14ac:dyDescent="0.3">
      <c r="A38" s="4">
        <v>1991</v>
      </c>
      <c r="B38" s="4">
        <v>109.8</v>
      </c>
      <c r="C38" s="4">
        <v>109.1</v>
      </c>
      <c r="D38" s="4">
        <v>109.7</v>
      </c>
      <c r="E38" s="4">
        <v>109.4</v>
      </c>
      <c r="F38" s="4">
        <v>111.8</v>
      </c>
      <c r="G38" s="4">
        <v>112.6</v>
      </c>
      <c r="H38" s="4">
        <v>112.8</v>
      </c>
      <c r="I38" s="4">
        <v>115.4</v>
      </c>
      <c r="J38" s="4">
        <v>114.2</v>
      </c>
      <c r="K38" s="4">
        <v>115.1</v>
      </c>
      <c r="L38" s="4">
        <v>115.1</v>
      </c>
      <c r="M38" s="4">
        <v>113.3</v>
      </c>
    </row>
    <row r="39" spans="1:13" x14ac:dyDescent="0.3">
      <c r="A39" s="4">
        <v>1992</v>
      </c>
      <c r="B39" s="4">
        <v>110.9</v>
      </c>
      <c r="C39" s="4">
        <v>110.8</v>
      </c>
      <c r="D39" s="4">
        <v>111.9</v>
      </c>
      <c r="E39" s="4">
        <v>113.8</v>
      </c>
      <c r="F39" s="4">
        <v>118.8</v>
      </c>
      <c r="G39" s="4">
        <v>113.2</v>
      </c>
      <c r="H39" s="4">
        <v>115.1</v>
      </c>
      <c r="I39" s="4">
        <v>115.4</v>
      </c>
      <c r="J39" s="4">
        <v>114.7</v>
      </c>
      <c r="K39" s="4">
        <v>114.8</v>
      </c>
      <c r="L39" s="4">
        <v>115.2</v>
      </c>
      <c r="M39" s="4">
        <v>115.4</v>
      </c>
    </row>
    <row r="40" spans="1:13" x14ac:dyDescent="0.3">
      <c r="A40" s="4">
        <v>1993</v>
      </c>
      <c r="B40" s="4">
        <v>114.1</v>
      </c>
      <c r="C40" s="4">
        <v>115.9</v>
      </c>
      <c r="D40" s="4">
        <v>117</v>
      </c>
      <c r="E40" s="4">
        <v>117.5</v>
      </c>
      <c r="F40" s="4">
        <v>119</v>
      </c>
      <c r="G40" s="4">
        <v>118.9</v>
      </c>
      <c r="H40" s="4">
        <v>119.8</v>
      </c>
      <c r="I40" s="4">
        <v>118.9</v>
      </c>
      <c r="J40" s="4">
        <v>119.5</v>
      </c>
      <c r="K40" s="4">
        <v>120.1</v>
      </c>
      <c r="L40" s="4">
        <v>120.6</v>
      </c>
      <c r="M40" s="4">
        <v>120.2</v>
      </c>
    </row>
    <row r="41" spans="1:13" x14ac:dyDescent="0.3">
      <c r="A41" s="4">
        <v>1994</v>
      </c>
      <c r="B41" s="4">
        <v>117</v>
      </c>
      <c r="C41" s="4">
        <v>118.8</v>
      </c>
      <c r="D41" s="4">
        <v>119.9</v>
      </c>
      <c r="E41" s="4">
        <v>120</v>
      </c>
      <c r="F41" s="4">
        <v>126</v>
      </c>
      <c r="G41" s="4">
        <v>126.4</v>
      </c>
      <c r="H41" s="4">
        <v>124.8</v>
      </c>
      <c r="I41" s="4">
        <v>126.6</v>
      </c>
      <c r="J41" s="4">
        <v>127.1</v>
      </c>
      <c r="K41" s="4">
        <v>128.30000000000001</v>
      </c>
      <c r="L41" s="4">
        <v>128.30000000000001</v>
      </c>
      <c r="M41" s="4">
        <v>128.6</v>
      </c>
    </row>
    <row r="42" spans="1:13" x14ac:dyDescent="0.3">
      <c r="A42" s="4">
        <v>1995</v>
      </c>
      <c r="B42" s="4">
        <v>126.6</v>
      </c>
      <c r="C42" s="4">
        <v>126.3</v>
      </c>
      <c r="D42" s="4">
        <v>127.3</v>
      </c>
      <c r="E42" s="4">
        <v>128.1</v>
      </c>
      <c r="F42" s="4">
        <v>130.4</v>
      </c>
      <c r="G42" s="4">
        <v>131</v>
      </c>
      <c r="H42" s="4">
        <v>134.80000000000001</v>
      </c>
      <c r="I42" s="4">
        <v>137.5</v>
      </c>
      <c r="J42" s="4">
        <v>133.80000000000001</v>
      </c>
      <c r="K42" s="4">
        <v>132.69999999999999</v>
      </c>
      <c r="L42" s="4">
        <v>136.1</v>
      </c>
      <c r="M42" s="4">
        <v>136</v>
      </c>
    </row>
    <row r="43" spans="1:13" x14ac:dyDescent="0.3">
      <c r="A43" s="4">
        <v>1996</v>
      </c>
      <c r="B43" s="4">
        <v>133.30000000000001</v>
      </c>
      <c r="C43" s="4">
        <v>135.19999999999999</v>
      </c>
      <c r="D43" s="4">
        <v>136.9</v>
      </c>
      <c r="E43" s="4">
        <v>140.4</v>
      </c>
      <c r="F43" s="4">
        <v>144.69999999999999</v>
      </c>
      <c r="G43" s="4">
        <v>145.5</v>
      </c>
      <c r="H43" s="4">
        <v>144.69999999999999</v>
      </c>
      <c r="I43" s="4">
        <v>145.80000000000001</v>
      </c>
      <c r="J43" s="4">
        <v>148.5</v>
      </c>
      <c r="K43" s="4">
        <v>151.30000000000001</v>
      </c>
      <c r="L43" s="4">
        <v>154.19999999999999</v>
      </c>
      <c r="M43" s="4">
        <v>151.69999999999999</v>
      </c>
    </row>
    <row r="44" spans="1:13" x14ac:dyDescent="0.3">
      <c r="A44" s="4">
        <v>1997</v>
      </c>
      <c r="B44" s="4">
        <v>146.19999999999999</v>
      </c>
      <c r="C44" s="4">
        <v>147.6</v>
      </c>
      <c r="D44" s="4">
        <v>148.30000000000001</v>
      </c>
      <c r="E44" s="4">
        <v>150.69999999999999</v>
      </c>
      <c r="F44" s="4">
        <v>156.1</v>
      </c>
      <c r="G44" s="4">
        <v>154.19999999999999</v>
      </c>
      <c r="H44" s="4">
        <v>153.1</v>
      </c>
      <c r="I44" s="4">
        <v>154.80000000000001</v>
      </c>
      <c r="J44" s="4">
        <v>153.19999999999999</v>
      </c>
      <c r="K44" s="4">
        <v>154.4</v>
      </c>
      <c r="L44" s="4">
        <v>155.9</v>
      </c>
      <c r="M44" s="4">
        <v>156</v>
      </c>
    </row>
    <row r="45" spans="1:13" x14ac:dyDescent="0.3">
      <c r="A45" s="4">
        <v>1998</v>
      </c>
      <c r="B45" s="4">
        <v>148.1</v>
      </c>
      <c r="C45" s="4">
        <v>149.19999999999999</v>
      </c>
      <c r="D45" s="4">
        <v>152.1</v>
      </c>
      <c r="E45" s="4">
        <v>153.80000000000001</v>
      </c>
      <c r="F45" s="4">
        <v>155.6</v>
      </c>
      <c r="G45" s="4">
        <v>156</v>
      </c>
      <c r="H45" s="4">
        <v>156.4</v>
      </c>
      <c r="I45" s="4">
        <v>156.30000000000001</v>
      </c>
      <c r="J45" s="4">
        <v>157.80000000000001</v>
      </c>
      <c r="K45" s="4">
        <v>157.9</v>
      </c>
      <c r="L45" s="4">
        <v>158.6</v>
      </c>
      <c r="M45" s="4">
        <v>157.30000000000001</v>
      </c>
    </row>
    <row r="46" spans="1:13" x14ac:dyDescent="0.3">
      <c r="A46" s="4">
        <v>1999</v>
      </c>
      <c r="B46" s="4">
        <v>157.30000000000001</v>
      </c>
      <c r="C46" s="4">
        <v>160.6</v>
      </c>
      <c r="D46" s="4">
        <v>162.5</v>
      </c>
      <c r="E46" s="4">
        <v>163.69999999999999</v>
      </c>
      <c r="F46" s="4">
        <v>167.9</v>
      </c>
      <c r="G46" s="4">
        <v>166.7</v>
      </c>
      <c r="H46" s="4">
        <v>166.4</v>
      </c>
      <c r="I46" s="4">
        <v>167.5</v>
      </c>
      <c r="J46" s="4">
        <v>172.4</v>
      </c>
      <c r="K46" s="4">
        <v>173.7</v>
      </c>
      <c r="L46" s="4">
        <v>175.5</v>
      </c>
      <c r="M46" s="4">
        <v>169.6</v>
      </c>
    </row>
    <row r="47" spans="1:13" x14ac:dyDescent="0.3">
      <c r="A47" s="4">
        <v>2000</v>
      </c>
      <c r="B47" s="4">
        <v>165.3</v>
      </c>
      <c r="C47" s="4">
        <v>167.1</v>
      </c>
      <c r="D47" s="4">
        <v>170.3</v>
      </c>
      <c r="E47" s="4">
        <v>173.4</v>
      </c>
      <c r="F47" s="4">
        <v>175.6</v>
      </c>
      <c r="G47" s="4">
        <v>175.4</v>
      </c>
      <c r="H47" s="4">
        <v>174.6</v>
      </c>
      <c r="I47" s="4">
        <v>174.1</v>
      </c>
      <c r="J47" s="4">
        <v>176.2</v>
      </c>
      <c r="K47" s="4">
        <v>177</v>
      </c>
      <c r="L47" s="4">
        <v>182.1</v>
      </c>
      <c r="M47" s="4">
        <v>175.6</v>
      </c>
    </row>
    <row r="48" spans="1:13" x14ac:dyDescent="0.3">
      <c r="A48" s="4">
        <v>2001</v>
      </c>
      <c r="B48" s="4">
        <v>172.2</v>
      </c>
      <c r="C48" s="4">
        <v>174.8</v>
      </c>
      <c r="D48" s="4">
        <v>176.2</v>
      </c>
      <c r="E48" s="4">
        <v>176.1</v>
      </c>
      <c r="F48" s="4">
        <v>178.6</v>
      </c>
      <c r="G48" s="4">
        <v>177.9</v>
      </c>
      <c r="H48" s="4">
        <v>177.7</v>
      </c>
      <c r="I48" s="4">
        <v>174</v>
      </c>
      <c r="J48" s="4">
        <v>174.2</v>
      </c>
      <c r="K48" s="4">
        <v>174.1</v>
      </c>
      <c r="L48" s="4">
        <v>176.1</v>
      </c>
      <c r="M48" s="4">
        <v>172.9</v>
      </c>
    </row>
    <row r="49" spans="1:13" x14ac:dyDescent="0.3">
      <c r="A49" s="4">
        <v>2002</v>
      </c>
      <c r="B49" s="4">
        <v>168.8</v>
      </c>
      <c r="C49" s="4">
        <v>170.9</v>
      </c>
      <c r="D49" s="4">
        <v>172.6</v>
      </c>
      <c r="E49" s="4">
        <v>174</v>
      </c>
      <c r="F49" s="4">
        <v>176.7</v>
      </c>
      <c r="G49" s="4">
        <v>176.2</v>
      </c>
      <c r="H49" s="4">
        <v>175.6</v>
      </c>
      <c r="I49" s="4">
        <v>177.3</v>
      </c>
      <c r="J49" s="4">
        <v>175.1</v>
      </c>
      <c r="K49" s="4">
        <v>179</v>
      </c>
      <c r="L49" s="4">
        <v>180.4</v>
      </c>
      <c r="M49" s="4">
        <v>176.1</v>
      </c>
    </row>
    <row r="50" spans="1:13" x14ac:dyDescent="0.3">
      <c r="A50" s="4">
        <v>2003</v>
      </c>
      <c r="B50" s="4">
        <v>174.3</v>
      </c>
      <c r="C50" s="4">
        <v>176.8</v>
      </c>
      <c r="D50" s="4">
        <v>179.4</v>
      </c>
      <c r="E50" s="4">
        <v>181.8</v>
      </c>
      <c r="F50" s="4">
        <v>184.6</v>
      </c>
      <c r="G50" s="4">
        <v>184.7</v>
      </c>
      <c r="H50" s="4">
        <v>188.4</v>
      </c>
      <c r="I50" s="4">
        <v>187</v>
      </c>
      <c r="J50" s="4">
        <v>184.7</v>
      </c>
      <c r="K50" s="4">
        <v>187.2</v>
      </c>
      <c r="L50" s="4">
        <v>188.2</v>
      </c>
      <c r="M50" s="4">
        <v>188.2</v>
      </c>
    </row>
    <row r="51" spans="1:13" x14ac:dyDescent="0.3">
      <c r="A51" s="4">
        <v>2004</v>
      </c>
      <c r="B51" s="4">
        <v>181</v>
      </c>
      <c r="C51" s="4">
        <v>185.1</v>
      </c>
      <c r="D51" s="4">
        <v>185.1</v>
      </c>
      <c r="E51" s="4">
        <v>190.4</v>
      </c>
      <c r="F51" s="4">
        <v>197</v>
      </c>
      <c r="G51" s="4">
        <v>198.3</v>
      </c>
      <c r="H51" s="4">
        <v>198.1</v>
      </c>
      <c r="I51" s="4">
        <v>197</v>
      </c>
      <c r="J51" s="4">
        <v>197.1</v>
      </c>
      <c r="K51" s="4">
        <v>200.2</v>
      </c>
      <c r="L51" s="4">
        <v>199.5</v>
      </c>
      <c r="M51" s="4">
        <v>196.4</v>
      </c>
    </row>
    <row r="52" spans="1:13" x14ac:dyDescent="0.3">
      <c r="A52" s="4">
        <v>2005</v>
      </c>
      <c r="B52" s="4">
        <v>190.1</v>
      </c>
      <c r="C52" s="4">
        <v>195.5</v>
      </c>
      <c r="D52" s="4">
        <v>198.7</v>
      </c>
      <c r="E52" s="4">
        <v>197.3</v>
      </c>
      <c r="F52" s="4">
        <v>203.2</v>
      </c>
      <c r="G52" s="4">
        <v>204.7</v>
      </c>
      <c r="H52" s="4">
        <v>202.8</v>
      </c>
      <c r="I52" s="4">
        <v>202.3</v>
      </c>
      <c r="J52" s="4">
        <v>205.9</v>
      </c>
      <c r="K52" s="4">
        <v>205.1</v>
      </c>
      <c r="L52" s="4">
        <v>208.2</v>
      </c>
      <c r="M52" s="4">
        <v>202.7</v>
      </c>
    </row>
    <row r="53" spans="1:13" x14ac:dyDescent="0.3">
      <c r="A53" s="4">
        <v>2006</v>
      </c>
      <c r="B53" s="4">
        <v>194</v>
      </c>
      <c r="C53" s="4">
        <v>197.1</v>
      </c>
      <c r="D53" s="4">
        <v>198.1</v>
      </c>
      <c r="E53" s="4">
        <v>198.4</v>
      </c>
      <c r="F53" s="4">
        <v>204.4</v>
      </c>
      <c r="G53" s="4">
        <v>206.1</v>
      </c>
      <c r="H53" s="4">
        <v>202.1</v>
      </c>
      <c r="I53" s="4">
        <v>202.1</v>
      </c>
      <c r="J53" s="4">
        <v>199.7</v>
      </c>
      <c r="K53" s="4">
        <v>199.5</v>
      </c>
      <c r="L53" s="4">
        <v>201.2</v>
      </c>
      <c r="M53" s="4">
        <v>199.4</v>
      </c>
    </row>
    <row r="54" spans="1:13" x14ac:dyDescent="0.3">
      <c r="A54" s="4">
        <v>2007</v>
      </c>
      <c r="B54" s="4">
        <v>188.6</v>
      </c>
      <c r="C54" s="4">
        <v>193</v>
      </c>
      <c r="D54" s="4">
        <v>193.5</v>
      </c>
      <c r="E54" s="4">
        <v>194.9</v>
      </c>
      <c r="F54" s="4">
        <v>198.2</v>
      </c>
      <c r="G54" s="4">
        <v>200.7</v>
      </c>
      <c r="H54" s="4">
        <v>197.6</v>
      </c>
      <c r="I54" s="4">
        <v>199.4</v>
      </c>
      <c r="J54" s="4">
        <v>195.4</v>
      </c>
      <c r="K54" s="4">
        <v>196.2</v>
      </c>
      <c r="L54" s="4">
        <v>198.7</v>
      </c>
      <c r="M54" s="4">
        <v>197.7</v>
      </c>
    </row>
    <row r="55" spans="1:13" x14ac:dyDescent="0.3">
      <c r="A55" s="4">
        <v>2008</v>
      </c>
      <c r="B55" s="4">
        <v>192</v>
      </c>
      <c r="C55" s="4">
        <v>194.7</v>
      </c>
      <c r="D55" s="4">
        <v>193.9</v>
      </c>
      <c r="E55" s="4">
        <v>196</v>
      </c>
      <c r="F55" s="4">
        <v>198.8</v>
      </c>
      <c r="G55" s="4">
        <v>197.7</v>
      </c>
      <c r="H55" s="4">
        <v>192.4</v>
      </c>
      <c r="I55" s="4">
        <v>196.9</v>
      </c>
      <c r="J55" s="4">
        <v>193.4</v>
      </c>
      <c r="K55" s="4">
        <v>192.4</v>
      </c>
      <c r="L55" s="4">
        <v>192.3</v>
      </c>
      <c r="M55" s="4">
        <v>190.9</v>
      </c>
    </row>
    <row r="56" spans="1:13" x14ac:dyDescent="0.3">
      <c r="A56" s="4">
        <v>2009</v>
      </c>
      <c r="B56" s="4">
        <v>179.7</v>
      </c>
      <c r="C56" s="4">
        <v>182.4</v>
      </c>
      <c r="D56" s="4">
        <v>180.5</v>
      </c>
      <c r="E56" s="4">
        <v>183.6</v>
      </c>
      <c r="F56" s="4">
        <v>183.1</v>
      </c>
      <c r="G56" s="4">
        <v>185.3</v>
      </c>
      <c r="H56" s="4">
        <v>184.3</v>
      </c>
      <c r="I56" s="4">
        <v>186.9</v>
      </c>
      <c r="J56" s="4">
        <v>188.9</v>
      </c>
      <c r="K56" s="4">
        <v>183.9</v>
      </c>
      <c r="L56" s="4">
        <v>186</v>
      </c>
      <c r="M56" s="4">
        <v>186.9</v>
      </c>
    </row>
    <row r="57" spans="1:13" x14ac:dyDescent="0.3">
      <c r="A57" s="4">
        <v>2010</v>
      </c>
      <c r="B57" s="4">
        <v>180.8</v>
      </c>
      <c r="C57" s="4">
        <v>183.3</v>
      </c>
      <c r="D57" s="4">
        <v>183.8</v>
      </c>
      <c r="E57" s="4">
        <v>187.1</v>
      </c>
      <c r="F57" s="4">
        <v>184.6</v>
      </c>
      <c r="G57" s="4">
        <v>189.2</v>
      </c>
      <c r="H57" s="4">
        <v>186.3</v>
      </c>
      <c r="I57" s="4">
        <v>187.8</v>
      </c>
      <c r="J57" s="4">
        <v>185.2</v>
      </c>
      <c r="K57" s="4">
        <v>187.6</v>
      </c>
      <c r="L57" s="4">
        <v>189.6</v>
      </c>
      <c r="M57" s="4">
        <v>189.1</v>
      </c>
    </row>
    <row r="58" spans="1:13" x14ac:dyDescent="0.3">
      <c r="A58" s="4">
        <v>2011</v>
      </c>
      <c r="B58" s="4">
        <v>183.1</v>
      </c>
      <c r="C58" s="4">
        <v>183.5</v>
      </c>
      <c r="D58" s="4">
        <v>182.3</v>
      </c>
      <c r="E58" s="4">
        <v>185.5</v>
      </c>
      <c r="F58" s="4">
        <v>189.3</v>
      </c>
      <c r="G58" s="4">
        <v>185.4</v>
      </c>
      <c r="H58" s="4">
        <v>180.9</v>
      </c>
      <c r="I58" s="4">
        <v>182.5</v>
      </c>
      <c r="J58" s="4">
        <v>183.3</v>
      </c>
      <c r="K58" s="4">
        <v>182.6</v>
      </c>
      <c r="L58" s="4">
        <v>183.7</v>
      </c>
      <c r="M58" s="4">
        <v>180.7</v>
      </c>
    </row>
    <row r="59" spans="1:13" x14ac:dyDescent="0.3">
      <c r="A59" s="4">
        <v>2012</v>
      </c>
      <c r="B59" s="4">
        <v>172.5</v>
      </c>
      <c r="C59" s="4">
        <v>171.8</v>
      </c>
      <c r="D59" s="4">
        <v>177.4</v>
      </c>
      <c r="E59" s="4">
        <v>179.7</v>
      </c>
      <c r="F59" s="4">
        <v>181.5</v>
      </c>
      <c r="G59" s="4">
        <v>183.3</v>
      </c>
      <c r="H59" s="4">
        <v>182.9</v>
      </c>
      <c r="I59" s="4">
        <v>179.3</v>
      </c>
      <c r="J59" s="4">
        <v>183.5</v>
      </c>
      <c r="K59" s="4">
        <v>185.9</v>
      </c>
      <c r="L59" s="4">
        <v>191</v>
      </c>
      <c r="M59" s="4">
        <v>186.7</v>
      </c>
    </row>
    <row r="60" spans="1:13" x14ac:dyDescent="0.3">
      <c r="A60" s="4">
        <v>2013</v>
      </c>
      <c r="B60" s="4">
        <v>186.8</v>
      </c>
      <c r="C60" s="4">
        <v>182.8</v>
      </c>
      <c r="D60" s="4">
        <v>184.6</v>
      </c>
      <c r="E60" s="4">
        <v>185</v>
      </c>
      <c r="F60" s="4">
        <v>191.1</v>
      </c>
      <c r="G60" s="4">
        <v>194.5</v>
      </c>
      <c r="H60" s="4">
        <v>188.2</v>
      </c>
      <c r="I60" s="4">
        <v>188.9</v>
      </c>
      <c r="J60" s="4">
        <v>192.6</v>
      </c>
      <c r="K60" s="4">
        <v>194.3</v>
      </c>
      <c r="L60" s="4">
        <v>191.1</v>
      </c>
      <c r="M60" s="4">
        <v>188.5</v>
      </c>
    </row>
    <row r="61" spans="1:13" x14ac:dyDescent="0.3">
      <c r="A61" s="4">
        <v>2014</v>
      </c>
      <c r="B61" s="4">
        <v>181</v>
      </c>
      <c r="C61" s="4">
        <v>184.2</v>
      </c>
      <c r="D61" s="4">
        <v>188.3</v>
      </c>
      <c r="E61" s="4">
        <v>186.4</v>
      </c>
      <c r="F61" s="4">
        <v>185.9</v>
      </c>
      <c r="G61" s="4">
        <v>187.3</v>
      </c>
      <c r="H61" s="4">
        <v>187.6</v>
      </c>
      <c r="I61" s="4">
        <v>189.2</v>
      </c>
      <c r="J61" s="4">
        <v>187</v>
      </c>
      <c r="K61" s="4">
        <v>189.3</v>
      </c>
      <c r="L61" s="4">
        <v>189.7</v>
      </c>
      <c r="M61" s="4">
        <v>191.8</v>
      </c>
    </row>
    <row r="62" spans="1:13" x14ac:dyDescent="0.3">
      <c r="A62" s="4">
        <v>2015</v>
      </c>
      <c r="B62" s="4">
        <v>175.7</v>
      </c>
      <c r="C62" s="4">
        <v>176.2</v>
      </c>
      <c r="D62" s="4">
        <v>175.4</v>
      </c>
      <c r="E62" s="4">
        <v>176.1</v>
      </c>
      <c r="F62" s="4">
        <v>173.5</v>
      </c>
      <c r="G62" s="4">
        <v>176.2</v>
      </c>
      <c r="H62" s="4">
        <v>174.2</v>
      </c>
      <c r="I62" s="4">
        <v>174</v>
      </c>
      <c r="J62" s="4">
        <v>172.7</v>
      </c>
      <c r="K62" s="4">
        <v>174.2</v>
      </c>
      <c r="L62" s="4">
        <v>175.5</v>
      </c>
      <c r="M62" s="4">
        <v>176.5</v>
      </c>
    </row>
    <row r="63" spans="1:13" x14ac:dyDescent="0.3">
      <c r="A63" s="4">
        <v>2016</v>
      </c>
      <c r="B63" s="4">
        <v>171.4</v>
      </c>
      <c r="C63" s="4">
        <v>176.5</v>
      </c>
      <c r="D63" s="4">
        <v>186.4</v>
      </c>
      <c r="E63" s="4">
        <v>185</v>
      </c>
      <c r="F63" s="4">
        <v>189.6</v>
      </c>
      <c r="G63" s="4">
        <v>188.8</v>
      </c>
      <c r="H63" s="4">
        <v>189.9</v>
      </c>
      <c r="I63" s="4">
        <v>190.1</v>
      </c>
      <c r="J63" s="4">
        <v>189.7</v>
      </c>
      <c r="K63" s="4">
        <v>189.4</v>
      </c>
      <c r="L63" s="4">
        <v>191.5</v>
      </c>
      <c r="M63" s="4">
        <v>191.1</v>
      </c>
    </row>
    <row r="64" spans="1:13" x14ac:dyDescent="0.3">
      <c r="A64" s="4">
        <v>2017</v>
      </c>
      <c r="B64" s="4">
        <v>177.6</v>
      </c>
      <c r="C64" s="4">
        <v>178.2</v>
      </c>
      <c r="D64" s="4">
        <v>180.3</v>
      </c>
      <c r="E64" s="4">
        <v>176.9</v>
      </c>
      <c r="F64" s="4">
        <v>181.7</v>
      </c>
      <c r="G64" s="4">
        <v>182.7</v>
      </c>
      <c r="H64" s="4">
        <v>183.5</v>
      </c>
      <c r="I64" s="4">
        <v>176.9</v>
      </c>
      <c r="J64" s="4">
        <v>179.1</v>
      </c>
      <c r="K64" s="4">
        <v>180.2</v>
      </c>
      <c r="L64" s="4">
        <v>178.6</v>
      </c>
      <c r="M64" s="4">
        <v>182.1</v>
      </c>
    </row>
    <row r="65" spans="1:13" x14ac:dyDescent="0.3">
      <c r="A65" s="4">
        <v>2018</v>
      </c>
      <c r="B65" s="4">
        <v>178.1</v>
      </c>
      <c r="C65" s="4">
        <v>177.3</v>
      </c>
      <c r="D65" s="4">
        <v>179.5</v>
      </c>
      <c r="E65" s="4">
        <v>181.2</v>
      </c>
      <c r="F65" s="4">
        <v>180.5</v>
      </c>
      <c r="G65" s="4">
        <v>182.3</v>
      </c>
      <c r="H65" s="4">
        <v>182.2</v>
      </c>
      <c r="I65" s="4">
        <v>182.3</v>
      </c>
      <c r="J65" s="4">
        <v>184.3</v>
      </c>
      <c r="K65" s="4">
        <v>185.7</v>
      </c>
      <c r="L65" s="4">
        <v>189.1</v>
      </c>
      <c r="M65" s="4">
        <v>188.5</v>
      </c>
    </row>
    <row r="66" spans="1:13" x14ac:dyDescent="0.3">
      <c r="A66" s="4">
        <v>2019</v>
      </c>
      <c r="B66" s="4">
        <v>185.1</v>
      </c>
      <c r="C66" s="4">
        <v>189.8</v>
      </c>
      <c r="D66" s="4">
        <v>191.1</v>
      </c>
      <c r="E66" s="4">
        <v>189.9</v>
      </c>
      <c r="F66" s="4">
        <v>188.9</v>
      </c>
      <c r="G66" s="4">
        <v>191.7</v>
      </c>
      <c r="H66" s="4">
        <v>195.1</v>
      </c>
      <c r="I66" s="4">
        <v>194.6</v>
      </c>
      <c r="J66" s="4">
        <v>197.2</v>
      </c>
      <c r="K66" s="4">
        <v>200.8</v>
      </c>
      <c r="L66" s="4">
        <v>202</v>
      </c>
      <c r="M66" s="4">
        <v>201.2</v>
      </c>
    </row>
    <row r="67" spans="1:13" x14ac:dyDescent="0.3">
      <c r="A67" s="4">
        <v>2020</v>
      </c>
      <c r="B67" s="4">
        <v>188.9</v>
      </c>
      <c r="C67" s="4">
        <v>203</v>
      </c>
      <c r="D67" s="4">
        <v>190.6</v>
      </c>
      <c r="E67" s="4">
        <v>170.2</v>
      </c>
      <c r="F67" s="4">
        <v>162.1</v>
      </c>
      <c r="G67" s="4">
        <v>163.69999999999999</v>
      </c>
      <c r="H67" s="4">
        <v>165.4</v>
      </c>
      <c r="I67" s="4">
        <v>167.7</v>
      </c>
      <c r="J67" s="4">
        <v>169.9</v>
      </c>
      <c r="K67" s="4">
        <v>169.7</v>
      </c>
      <c r="L67" s="4">
        <v>167.7</v>
      </c>
      <c r="M67" s="4">
        <v>164.8</v>
      </c>
    </row>
    <row r="68" spans="1:13" x14ac:dyDescent="0.3">
      <c r="A68" s="4">
        <v>2021</v>
      </c>
      <c r="B68" s="4">
        <v>166.1</v>
      </c>
      <c r="C68" s="4">
        <v>165.4</v>
      </c>
      <c r="D68" s="4">
        <v>167.3</v>
      </c>
      <c r="E68" s="4">
        <v>178.4</v>
      </c>
      <c r="F68" s="4">
        <v>179.3</v>
      </c>
      <c r="G68" s="4">
        <v>182</v>
      </c>
      <c r="H68" s="4">
        <v>182.28</v>
      </c>
      <c r="I68" s="4">
        <v>186.36</v>
      </c>
      <c r="J68" s="4">
        <v>193.102</v>
      </c>
      <c r="K68" s="4">
        <v>186.697</v>
      </c>
      <c r="L68" s="4">
        <v>204.63</v>
      </c>
      <c r="M68" s="4">
        <v>199.12799999999999</v>
      </c>
    </row>
    <row r="69" spans="1:13" x14ac:dyDescent="0.3">
      <c r="A69" s="4">
        <v>2022</v>
      </c>
      <c r="B69" s="4">
        <v>170.49700000000001</v>
      </c>
      <c r="C69" s="4">
        <v>188.35499999999999</v>
      </c>
      <c r="D69" s="4">
        <v>191.96</v>
      </c>
      <c r="E69" s="4">
        <v>185.971</v>
      </c>
      <c r="F69" s="4">
        <v>202.6</v>
      </c>
      <c r="G69" s="4">
        <v>197.506</v>
      </c>
      <c r="H69" s="4">
        <v>184.476</v>
      </c>
      <c r="I69" s="4">
        <v>181.91</v>
      </c>
      <c r="J69" s="4">
        <v>193.26300000000001</v>
      </c>
      <c r="K69" s="4">
        <v>191.27600000000001</v>
      </c>
      <c r="L69" s="4">
        <v>197.17099999999999</v>
      </c>
      <c r="M69" s="4">
        <v>186.07900000000001</v>
      </c>
    </row>
    <row r="70" spans="1:13" x14ac:dyDescent="0.3">
      <c r="A70" s="4">
        <v>2023</v>
      </c>
      <c r="B70" s="4">
        <v>161.39400000000001</v>
      </c>
      <c r="C70" s="4">
        <v>180.744</v>
      </c>
      <c r="D70" s="4">
        <v>177.88499999999999</v>
      </c>
      <c r="E70" s="4" t="s">
        <v>161</v>
      </c>
      <c r="F70" s="4" t="s">
        <v>162</v>
      </c>
      <c r="G70" s="4" t="s">
        <v>163</v>
      </c>
      <c r="H70" s="4" t="s">
        <v>164</v>
      </c>
    </row>
    <row r="71" spans="1:13" x14ac:dyDescent="0.3">
      <c r="A71" s="4" t="s">
        <v>46</v>
      </c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 t="s">
        <v>112</v>
      </c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 s="4" t="s">
        <v>111</v>
      </c>
      <c r="C76" s="17">
        <v>483</v>
      </c>
      <c r="D76" s="4" t="s">
        <v>110</v>
      </c>
      <c r="E76"/>
      <c r="F76"/>
      <c r="G76"/>
      <c r="H76"/>
      <c r="I76"/>
      <c r="J76"/>
      <c r="K76"/>
      <c r="L76"/>
      <c r="M76"/>
    </row>
    <row r="77" spans="1:13" x14ac:dyDescent="0.3">
      <c r="A77">
        <v>1987</v>
      </c>
      <c r="B77">
        <f>'[8]87SIC_GO_C _Price Indexes'!$D$121</f>
        <v>52.85</v>
      </c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>
        <v>1988</v>
      </c>
      <c r="B78" s="4">
        <f>'[8]87SIC_GO_C _Price Indexes'!$E$121</f>
        <v>55.353999999999999</v>
      </c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>
        <v>1989</v>
      </c>
      <c r="B79" s="4">
        <f>'[8]87SIC_GO_C _Price Indexes'!$F$121</f>
        <v>56.009</v>
      </c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 s="4">
        <v>1990</v>
      </c>
      <c r="B80" s="4">
        <f>'[8]87SIC_GO_C _Price Indexes'!$G$121</f>
        <v>59.633000000000003</v>
      </c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 s="4">
        <v>1991</v>
      </c>
      <c r="B81" s="4">
        <f>'[8]87SIC_GO_C _Price Indexes'!$H$121</f>
        <v>57.444000000000003</v>
      </c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 s="4">
        <v>1992</v>
      </c>
      <c r="B82" s="4">
        <f>'[8]87SIC_GO_C _Price Indexes'!$I$121</f>
        <v>58.01</v>
      </c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 s="4">
        <v>1993</v>
      </c>
      <c r="B83" s="4">
        <f>'[8]87SIC_GO_C _Price Indexes'!$J$121</f>
        <v>60.171999999999997</v>
      </c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 s="4">
        <v>1994</v>
      </c>
      <c r="B84" s="4">
        <f>'[8]87SIC_GO_C _Price Indexes'!$K$121</f>
        <v>63.753999999999998</v>
      </c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 s="4">
        <v>1995</v>
      </c>
      <c r="B85" s="4">
        <f>'[8]87SIC_GO_C _Price Indexes'!$L$121</f>
        <v>67.686000000000007</v>
      </c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 s="4">
        <v>1996</v>
      </c>
      <c r="B86" s="4">
        <f>'[8]87SIC_GO_C _Price Indexes'!$M$121</f>
        <v>73.899000000000001</v>
      </c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 s="4">
        <v>1997</v>
      </c>
      <c r="B87" s="4">
        <f>'[8]87SIC_GO_C _Price Indexes'!$N$121</f>
        <v>79.378</v>
      </c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B89" s="4" t="s">
        <v>112</v>
      </c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B90" s="4" t="s">
        <v>113</v>
      </c>
      <c r="C90" s="17">
        <v>483</v>
      </c>
      <c r="D90" s="4" t="s">
        <v>110</v>
      </c>
      <c r="E90"/>
      <c r="F90"/>
      <c r="G90"/>
      <c r="H90"/>
      <c r="I90"/>
      <c r="J90"/>
      <c r="K90"/>
      <c r="L90"/>
      <c r="M90"/>
    </row>
    <row r="91" spans="1:13" x14ac:dyDescent="0.3">
      <c r="A91" s="4">
        <v>1977</v>
      </c>
      <c r="B91" s="4">
        <f>'[8]72SIC_GO_C_Price Indexes'!$D$106</f>
        <v>45.021000000000001</v>
      </c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 s="4">
        <v>1978</v>
      </c>
      <c r="B92" s="4">
        <f>'[8]72SIC_GO_C_Price Indexes'!$E$106</f>
        <v>49.482999999999997</v>
      </c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 s="4">
        <v>1979</v>
      </c>
      <c r="B93" s="4">
        <f>'[8]72SIC_GO_C_Price Indexes'!$F$106</f>
        <v>54.106000000000002</v>
      </c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 s="4">
        <v>1980</v>
      </c>
      <c r="B94" s="4">
        <f>'[8]72SIC_GO_C_Price Indexes'!$G$106</f>
        <v>59.003</v>
      </c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 s="4">
        <v>1981</v>
      </c>
      <c r="B95" s="4">
        <f>'[8]72SIC_GO_C_Price Indexes'!$H$106</f>
        <v>65.631</v>
      </c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 s="4">
        <v>1982</v>
      </c>
      <c r="B96" s="4">
        <f>'[8]72SIC_GO_C_Price Indexes'!$I$106</f>
        <v>72.236000000000004</v>
      </c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 s="4">
        <v>1983</v>
      </c>
      <c r="B97" s="4">
        <f>'[8]72SIC_GO_C_Price Indexes'!$J$106</f>
        <v>77.88</v>
      </c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 s="4">
        <v>1984</v>
      </c>
      <c r="B98" s="4">
        <f>'[8]72SIC_GO_C_Price Indexes'!$K$106</f>
        <v>86.271000000000001</v>
      </c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 s="4">
        <v>1985</v>
      </c>
      <c r="B99" s="4">
        <f>'[8]72SIC_GO_C_Price Indexes'!$L$106</f>
        <v>92.524000000000001</v>
      </c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 s="4">
        <v>1986</v>
      </c>
      <c r="B100" s="4">
        <f>'[8]72SIC_GO_C_Price Indexes'!$M$106</f>
        <v>96.956000000000003</v>
      </c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 s="4">
        <v>1987</v>
      </c>
      <c r="B101" s="4">
        <f>'[8]72SIC_GO_C_Price Indexes'!$N$106</f>
        <v>100</v>
      </c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4E1F-77A4-4057-AC17-697082E4B6E5}">
  <dimension ref="A1:F125"/>
  <sheetViews>
    <sheetView workbookViewId="0">
      <selection activeCell="C1" sqref="C1:F1048576"/>
    </sheetView>
  </sheetViews>
  <sheetFormatPr defaultRowHeight="14.4" x14ac:dyDescent="0.3"/>
  <cols>
    <col min="1" max="6" width="8.88671875" style="4"/>
  </cols>
  <sheetData>
    <row r="1" spans="1:6" x14ac:dyDescent="0.3">
      <c r="B1" s="4" t="s">
        <v>282</v>
      </c>
      <c r="C1" s="1" t="s">
        <v>284</v>
      </c>
      <c r="D1" s="4" t="s">
        <v>6</v>
      </c>
      <c r="E1" s="4" t="s">
        <v>7</v>
      </c>
      <c r="F1" s="4" t="s">
        <v>283</v>
      </c>
    </row>
    <row r="2" spans="1:6" x14ac:dyDescent="0.3">
      <c r="A2" s="4">
        <v>2020</v>
      </c>
      <c r="B2" s="4">
        <f>B3*F2*D2*(100-E2)/(F3*D3*(100-E3))</f>
        <v>85.730620879015532</v>
      </c>
      <c r="D2" s="4">
        <v>331.44928099999998</v>
      </c>
      <c r="E2" s="4">
        <v>18.402334630350193</v>
      </c>
      <c r="F2" s="2">
        <v>0.83</v>
      </c>
    </row>
    <row r="3" spans="1:6" x14ac:dyDescent="0.3">
      <c r="A3" s="4">
        <v>2019</v>
      </c>
      <c r="B3" s="4">
        <f>B4*F3*D3*(100-E3)/(F4*D4*(100-E4))</f>
        <v>91.1075434934328</v>
      </c>
      <c r="D3" s="4">
        <v>329.10572873903209</v>
      </c>
      <c r="E3" s="4">
        <v>18.554737751424618</v>
      </c>
      <c r="F3" s="2">
        <v>0.89</v>
      </c>
    </row>
    <row r="4" spans="1:6" x14ac:dyDescent="0.3">
      <c r="A4" s="4">
        <v>2018</v>
      </c>
      <c r="B4" s="4">
        <f>B5*F4*D4*(100-E4)/(F5*D5*(100-E5))</f>
        <v>90.292676580981961</v>
      </c>
      <c r="D4" s="4">
        <v>326.77874684799622</v>
      </c>
      <c r="E4" s="4">
        <v>18.708403033620428</v>
      </c>
      <c r="F4" s="2">
        <v>0.89</v>
      </c>
    </row>
    <row r="5" spans="1:6" x14ac:dyDescent="0.3">
      <c r="A5" s="4">
        <v>2017</v>
      </c>
      <c r="B5" s="4">
        <f>B6*C5*D5*(100-E5)/(C6*D6*(100-E6))</f>
        <v>90.488805741424912</v>
      </c>
      <c r="C5" s="4">
        <v>100</v>
      </c>
      <c r="D5" s="4">
        <v>324.46821816408612</v>
      </c>
      <c r="E5" s="4">
        <v>18.863340929812118</v>
      </c>
      <c r="F5" s="5">
        <v>0.9</v>
      </c>
    </row>
    <row r="6" spans="1:6" x14ac:dyDescent="0.3">
      <c r="A6" s="4">
        <v>2016</v>
      </c>
      <c r="B6" s="4">
        <f>[7]Radio!$V5*100/[7]Radio!$V$9</f>
        <v>93.263037766258563</v>
      </c>
      <c r="C6" s="4">
        <v>104</v>
      </c>
      <c r="D6" s="4">
        <v>322.17402635290921</v>
      </c>
      <c r="E6" s="4">
        <v>19.019561979442035</v>
      </c>
      <c r="F6" s="5"/>
    </row>
    <row r="7" spans="1:6" x14ac:dyDescent="0.3">
      <c r="A7" s="4">
        <v>2015</v>
      </c>
      <c r="B7" s="4">
        <f>[7]Radio!$V6*100/[7]Radio!$V$9</f>
        <v>97.071985100254324</v>
      </c>
      <c r="C7" s="4">
        <v>109</v>
      </c>
      <c r="D7" s="4">
        <v>319.89605590262937</v>
      </c>
      <c r="E7" s="4">
        <v>19.177076809237313</v>
      </c>
      <c r="F7" s="5"/>
    </row>
    <row r="8" spans="1:6" x14ac:dyDescent="0.3">
      <c r="A8" s="4">
        <v>2014</v>
      </c>
      <c r="B8" s="4">
        <f>[7]Radio!$V7*100/[7]Radio!$V$9</f>
        <v>98.134404262639762</v>
      </c>
      <c r="D8" s="4">
        <v>317.63419211815091</v>
      </c>
      <c r="E8" s="4">
        <v>19.335896133932749</v>
      </c>
      <c r="F8" s="5"/>
    </row>
    <row r="9" spans="1:6" x14ac:dyDescent="0.3">
      <c r="A9" s="4">
        <v>2013</v>
      </c>
      <c r="B9" s="4">
        <f>[7]Radio!$V8*100/[7]Radio!$V$9</f>
        <v>100.77570015716718</v>
      </c>
      <c r="D9" s="4">
        <v>315.38832111534367</v>
      </c>
      <c r="E9" s="4">
        <v>19.496030756999655</v>
      </c>
      <c r="F9" s="5"/>
    </row>
    <row r="10" spans="1:6" x14ac:dyDescent="0.3">
      <c r="A10" s="4">
        <v>2012</v>
      </c>
      <c r="B10" s="4">
        <f>[7]Radio!$V9*100/[7]Radio!$V$9</f>
        <v>100</v>
      </c>
      <c r="D10" s="4">
        <v>313.158329815309</v>
      </c>
      <c r="E10" s="4">
        <v>19.657491571380746</v>
      </c>
      <c r="F10" s="5"/>
    </row>
    <row r="11" spans="1:6" x14ac:dyDescent="0.3">
      <c r="A11" s="4">
        <v>2011</v>
      </c>
      <c r="B11" s="4">
        <f>[7]Radio!$V10*100/[7]Radio!$V$9</f>
        <v>95.800348573977189</v>
      </c>
      <c r="D11" s="4">
        <v>310.94410593868639</v>
      </c>
      <c r="E11" s="4">
        <v>19.820289560231117</v>
      </c>
      <c r="F11" s="5"/>
    </row>
    <row r="12" spans="1:6" x14ac:dyDescent="0.3">
      <c r="A12" s="4">
        <v>2010</v>
      </c>
      <c r="B12" s="4">
        <f>[7]Radio!$V11*100/[7]Radio!$V$9</f>
        <v>100.29880914296238</v>
      </c>
      <c r="D12" s="4">
        <v>308.74553800000001</v>
      </c>
      <c r="E12" s="4">
        <v>19.984435797665366</v>
      </c>
      <c r="F12" s="5"/>
    </row>
    <row r="13" spans="1:6" x14ac:dyDescent="0.3">
      <c r="A13" s="4">
        <v>2009</v>
      </c>
      <c r="B13" s="4">
        <f>[7]Radio!$V12*100/[7]Radio!$V$9</f>
        <v>104.6686127145814</v>
      </c>
      <c r="D13" s="4">
        <v>305.89784037524367</v>
      </c>
      <c r="E13" s="4">
        <v>20.121672673259901</v>
      </c>
      <c r="F13" s="5"/>
    </row>
    <row r="14" spans="1:6" x14ac:dyDescent="0.3">
      <c r="A14" s="4">
        <v>2008</v>
      </c>
      <c r="B14" s="4">
        <f>[7]Radio!$V13*100/[7]Radio!$V$9</f>
        <v>109.81535717407931</v>
      </c>
      <c r="D14" s="4">
        <v>303.07640833416031</v>
      </c>
      <c r="E14" s="4">
        <v>20.259851980265246</v>
      </c>
      <c r="F14" s="5"/>
    </row>
    <row r="15" spans="1:6" x14ac:dyDescent="0.3">
      <c r="A15" s="4">
        <v>2007</v>
      </c>
      <c r="B15" s="4">
        <f>[7]Radio!$V14*100/[7]Radio!$V$9</f>
        <v>100.82190962126344</v>
      </c>
      <c r="D15" s="4">
        <v>300.28099961757209</v>
      </c>
      <c r="E15" s="4">
        <v>20.398980190534971</v>
      </c>
      <c r="F15" s="5"/>
    </row>
    <row r="16" spans="1:6" x14ac:dyDescent="0.3">
      <c r="A16" s="4">
        <v>2006</v>
      </c>
      <c r="B16" s="4">
        <f>[7]Radio!$V15*100/[7]Radio!$V$9</f>
        <v>101.31493911775456</v>
      </c>
      <c r="D16" s="4">
        <v>297.51137420076537</v>
      </c>
      <c r="E16" s="4">
        <v>20.539063820366088</v>
      </c>
      <c r="F16" s="5"/>
    </row>
    <row r="17" spans="1:6" x14ac:dyDescent="0.3">
      <c r="A17" s="4">
        <v>2005</v>
      </c>
      <c r="B17" s="4">
        <f>[7]Radio!$V16*100/[7]Radio!$V$9</f>
        <v>101.77616795912822</v>
      </c>
      <c r="D17" s="4">
        <v>294.76729427288137</v>
      </c>
      <c r="E17" s="4">
        <v>20.680109430804247</v>
      </c>
      <c r="F17" s="5"/>
    </row>
    <row r="18" spans="1:6" x14ac:dyDescent="0.3">
      <c r="A18" s="4">
        <v>2004</v>
      </c>
      <c r="B18" s="4">
        <f>[7]Radio!$V17*100/[7]Radio!$V$9</f>
        <v>102.26270899210775</v>
      </c>
      <c r="D18" s="4">
        <v>292.04852421649667</v>
      </c>
      <c r="E18" s="4">
        <v>20.822123627951022</v>
      </c>
      <c r="F18" s="5"/>
    </row>
    <row r="19" spans="1:6" x14ac:dyDescent="0.3">
      <c r="A19" s="4">
        <v>2003</v>
      </c>
      <c r="B19" s="4">
        <f>[7]Radio!$V18*100/[7]Radio!$V$9</f>
        <v>102.72788129112682</v>
      </c>
      <c r="D19" s="4">
        <v>289.35483058739248</v>
      </c>
      <c r="E19" s="4">
        <v>20.965113063273336</v>
      </c>
      <c r="F19" s="5"/>
    </row>
    <row r="20" spans="1:6" x14ac:dyDescent="0.3">
      <c r="A20" s="4">
        <v>2002</v>
      </c>
      <c r="B20" s="4">
        <f>[7]Radio!$V19*100/[7]Radio!$V$9</f>
        <v>103.94151966502697</v>
      </c>
      <c r="D20" s="4">
        <v>286.68598209450988</v>
      </c>
      <c r="E20" s="4">
        <v>21.109084433914983</v>
      </c>
      <c r="F20" s="5"/>
    </row>
    <row r="21" spans="1:6" x14ac:dyDescent="0.3">
      <c r="A21" s="4">
        <v>2001</v>
      </c>
      <c r="B21" s="4">
        <f>[7]Radio!$V20*100/[7]Radio!$V$9</f>
        <v>104.36391626763076</v>
      </c>
      <c r="D21" s="4">
        <v>284.04174958009048</v>
      </c>
      <c r="E21" s="4">
        <v>21.254044483010301</v>
      </c>
      <c r="F21" s="5"/>
    </row>
    <row r="22" spans="1:6" x14ac:dyDescent="0.3">
      <c r="A22" s="4">
        <v>2000</v>
      </c>
      <c r="B22" s="4">
        <f>[7]Radio!$V21*100/[7]Radio!$V$9</f>
        <v>104.70476803801645</v>
      </c>
      <c r="D22" s="4">
        <v>281.42190599999998</v>
      </c>
      <c r="E22" s="4">
        <v>21.4</v>
      </c>
      <c r="F22" s="5"/>
    </row>
    <row r="23" spans="1:6" x14ac:dyDescent="0.3">
      <c r="A23" s="4">
        <v>1999</v>
      </c>
      <c r="B23" s="4">
        <f>[7]Radio!$V22*100/[7]Radio!$V$9</f>
        <v>106.24802471524066</v>
      </c>
      <c r="D23" s="4">
        <v>277.96583047179496</v>
      </c>
      <c r="E23" s="4">
        <v>21.40997903398506</v>
      </c>
      <c r="F23" s="5"/>
    </row>
    <row r="24" spans="1:6" x14ac:dyDescent="0.3">
      <c r="A24" s="4">
        <v>1998</v>
      </c>
      <c r="B24" s="4">
        <f>[7]Radio!$V23*100/[7]Radio!$V$9</f>
        <v>107.71443997298562</v>
      </c>
      <c r="D24" s="4">
        <v>274.55219818557629</v>
      </c>
      <c r="E24" s="4">
        <v>21.419962721293448</v>
      </c>
      <c r="F24" s="5"/>
    </row>
    <row r="25" spans="1:6" x14ac:dyDescent="0.3">
      <c r="A25" s="4">
        <v>1997</v>
      </c>
      <c r="B25" s="4">
        <f>[7]Radio!$V24*100/[7]Radio!$V$9</f>
        <v>107.7874723957941</v>
      </c>
      <c r="D25" s="4">
        <v>271.18048790597885</v>
      </c>
      <c r="E25" s="4">
        <v>21.429951064095057</v>
      </c>
      <c r="F25" s="5"/>
    </row>
    <row r="26" spans="1:6" x14ac:dyDescent="0.3">
      <c r="A26" s="4">
        <v>1996</v>
      </c>
      <c r="B26" s="4">
        <f>[7]Radio!$V25*100/[7]Radio!$V$9</f>
        <v>107.81266944183722</v>
      </c>
      <c r="D26" s="4">
        <v>267.850184798805</v>
      </c>
      <c r="E26" s="4">
        <v>21.439944064560791</v>
      </c>
      <c r="F26" s="5"/>
    </row>
    <row r="27" spans="1:6" x14ac:dyDescent="0.3">
      <c r="A27" s="4">
        <v>1995</v>
      </c>
      <c r="B27" s="4">
        <f>[7]Radio!$V26*100/[7]Radio!$V$9</f>
        <v>107.86104273034618</v>
      </c>
      <c r="D27" s="4">
        <v>264.56078035241347</v>
      </c>
      <c r="E27" s="4">
        <v>21.449941724862565</v>
      </c>
      <c r="F27" s="5"/>
    </row>
    <row r="28" spans="1:6" x14ac:dyDescent="0.3">
      <c r="A28" s="4">
        <v>1994</v>
      </c>
      <c r="B28" s="4">
        <f>[7]Radio!$V27*100/[7]Radio!$V$9</f>
        <v>107.87476917191113</v>
      </c>
      <c r="D28" s="4">
        <v>261.31177230007359</v>
      </c>
      <c r="E28" s="4">
        <v>21.459944047173309</v>
      </c>
      <c r="F28" s="5"/>
    </row>
    <row r="29" spans="1:6" x14ac:dyDescent="0.3">
      <c r="A29" s="4">
        <v>1993</v>
      </c>
      <c r="B29" s="4">
        <f>[7]Radio!$V28*100/[7]Radio!$V$9</f>
        <v>108.46399091136483</v>
      </c>
      <c r="D29" s="4">
        <v>258.10266454327302</v>
      </c>
      <c r="E29" s="4">
        <v>21.469951033666963</v>
      </c>
      <c r="F29" s="5"/>
    </row>
    <row r="30" spans="1:6" x14ac:dyDescent="0.3">
      <c r="A30" s="4">
        <v>1992</v>
      </c>
      <c r="B30" s="4">
        <f>[7]Radio!$V29*100/[7]Radio!$V$9</f>
        <v>107.06325903895855</v>
      </c>
      <c r="D30" s="4">
        <v>254.9329670759673</v>
      </c>
      <c r="E30" s="4">
        <v>21.47996268651848</v>
      </c>
      <c r="F30" s="5"/>
    </row>
    <row r="31" spans="1:6" x14ac:dyDescent="0.3">
      <c r="A31" s="4">
        <v>1991</v>
      </c>
      <c r="B31" s="4">
        <f>[7]Radio!$V30*100/[7]Radio!$V$9</f>
        <v>106.2600768459281</v>
      </c>
      <c r="D31" s="4">
        <v>251.80219590975969</v>
      </c>
      <c r="E31" s="4">
        <v>21.48997900790383</v>
      </c>
      <c r="F31" s="5"/>
    </row>
    <row r="32" spans="1:6" x14ac:dyDescent="0.3">
      <c r="A32" s="4">
        <v>1990</v>
      </c>
      <c r="B32" s="4">
        <f>[7]Radio!$V31*100/[7]Radio!$V$9</f>
        <v>106.0633537984049</v>
      </c>
      <c r="D32" s="4">
        <v>248.70987299999999</v>
      </c>
      <c r="E32" s="4">
        <v>21.5</v>
      </c>
      <c r="F32" s="5"/>
    </row>
    <row r="33" spans="1:6" x14ac:dyDescent="0.3">
      <c r="A33" s="4">
        <v>1989</v>
      </c>
      <c r="B33" s="4">
        <f>[7]Radio!$V32*100/[7]Radio!$V$9</f>
        <v>106.07894354686546</v>
      </c>
      <c r="D33" s="4">
        <v>246.39921826135347</v>
      </c>
      <c r="E33" s="4">
        <v>21.607546577251174</v>
      </c>
      <c r="F33" s="5"/>
    </row>
    <row r="34" spans="1:6" x14ac:dyDescent="0.3">
      <c r="A34" s="4">
        <v>1988</v>
      </c>
      <c r="B34" s="4">
        <f>[7]Radio!$V33*100/[7]Radio!$V$9</f>
        <v>103.30244666063813</v>
      </c>
      <c r="D34" s="4">
        <v>244.11003080607924</v>
      </c>
      <c r="E34" s="4">
        <v>21.715631120375757</v>
      </c>
      <c r="F34" s="5"/>
    </row>
    <row r="35" spans="1:6" x14ac:dyDescent="0.3">
      <c r="A35" s="4">
        <v>1987</v>
      </c>
      <c r="B35" s="4">
        <f>[7]Radio!$V34*100/[7]Radio!$V$9</f>
        <v>104.13270616778837</v>
      </c>
      <c r="D35" s="4">
        <v>241.84211119102935</v>
      </c>
      <c r="E35" s="4">
        <v>21.824256320368566</v>
      </c>
      <c r="F35" s="5"/>
    </row>
    <row r="36" spans="1:6" x14ac:dyDescent="0.3">
      <c r="A36" s="4">
        <v>1986</v>
      </c>
      <c r="B36" s="4">
        <f>[7]Radio!$V35*100/[7]Radio!$V$9</f>
        <v>102.62623344632726</v>
      </c>
      <c r="D36" s="4">
        <v>239.59526182599475</v>
      </c>
      <c r="E36" s="4">
        <v>21.933424881685209</v>
      </c>
      <c r="F36" s="5"/>
    </row>
    <row r="37" spans="1:6" x14ac:dyDescent="0.3">
      <c r="A37" s="4">
        <v>1985</v>
      </c>
      <c r="B37" s="4">
        <f>[7]Radio!$V36*100/[7]Radio!$V$9</f>
        <v>104.00567176737027</v>
      </c>
      <c r="D37" s="4">
        <v>237.3692869564907</v>
      </c>
      <c r="E37" s="4">
        <v>22.043139522309435</v>
      </c>
      <c r="F37" s="5"/>
    </row>
    <row r="38" spans="1:6" x14ac:dyDescent="0.3">
      <c r="A38" s="4">
        <v>1984</v>
      </c>
      <c r="B38" s="4">
        <f>[7]Radio!$V37*100/[7]Radio!$V$9</f>
        <v>103.08191738392235</v>
      </c>
      <c r="D38" s="4">
        <v>235.16399264670181</v>
      </c>
      <c r="E38" s="4">
        <v>22.1534029738208</v>
      </c>
      <c r="F38" s="5"/>
    </row>
    <row r="39" spans="1:6" x14ac:dyDescent="0.3">
      <c r="A39" s="4">
        <v>1983</v>
      </c>
      <c r="B39" s="4">
        <f>[7]Radio!$V38*100/[7]Radio!$V$9</f>
        <v>103.32720998505016</v>
      </c>
      <c r="D39" s="4">
        <v>232.97918676258561</v>
      </c>
      <c r="E39" s="4">
        <v>22.264217981462672</v>
      </c>
      <c r="F39" s="5"/>
    </row>
    <row r="40" spans="1:6" x14ac:dyDescent="0.3">
      <c r="A40" s="4">
        <v>1982</v>
      </c>
      <c r="B40" s="4">
        <f>[7]Radio!$V39*100/[7]Radio!$V$9</f>
        <v>100.70495807978375</v>
      </c>
      <c r="D40" s="4">
        <v>230.81467895513305</v>
      </c>
      <c r="E40" s="4">
        <v>22.37558730421059</v>
      </c>
      <c r="F40" s="5"/>
    </row>
    <row r="41" spans="1:6" x14ac:dyDescent="0.3">
      <c r="A41" s="4">
        <v>1981</v>
      </c>
      <c r="B41" s="4">
        <f>[7]Radio!$V40*100/[7]Radio!$V$9</f>
        <v>93.611879370971408</v>
      </c>
      <c r="D41" s="4">
        <v>228.67028064378454</v>
      </c>
      <c r="E41" s="4">
        <v>22.48751371484094</v>
      </c>
      <c r="F41" s="5"/>
    </row>
    <row r="42" spans="1:6" x14ac:dyDescent="0.3">
      <c r="A42" s="4">
        <v>1980</v>
      </c>
      <c r="B42" s="4">
        <f>[7]Radio!$V41*100/[7]Radio!$V$9</f>
        <v>89.389330336427605</v>
      </c>
      <c r="D42" s="4">
        <v>226.545805</v>
      </c>
      <c r="E42" s="4">
        <v>22.6</v>
      </c>
      <c r="F42" s="5"/>
    </row>
    <row r="43" spans="1:6" x14ac:dyDescent="0.3">
      <c r="A43" s="4">
        <v>1979</v>
      </c>
      <c r="B43" s="4">
        <f>[7]Radio!$V42*100/[7]Radio!$V$9</f>
        <v>86.664389789688201</v>
      </c>
      <c r="D43" s="4">
        <v>224.10657270735817</v>
      </c>
      <c r="E43" s="4">
        <v>23.130343439901367</v>
      </c>
      <c r="F43" s="5"/>
    </row>
    <row r="44" spans="1:6" x14ac:dyDescent="0.3">
      <c r="A44" s="4">
        <v>1978</v>
      </c>
      <c r="B44" s="4">
        <f>[7]Radio!$V43*100/[7]Radio!$V$9</f>
        <v>84.086613655379651</v>
      </c>
      <c r="D44" s="4">
        <v>221.69360377535315</v>
      </c>
      <c r="E44" s="4">
        <v>23.673132196804787</v>
      </c>
      <c r="F44" s="5"/>
    </row>
    <row r="45" spans="1:6" x14ac:dyDescent="0.3">
      <c r="A45" s="4">
        <v>1977</v>
      </c>
      <c r="B45" s="4">
        <f>[7]Radio!$V44*100/[7]Radio!$V$9</f>
        <v>81.621420170475105</v>
      </c>
      <c r="D45" s="4">
        <v>219.30661542480314</v>
      </c>
      <c r="E45" s="4">
        <v>24.228658319039003</v>
      </c>
      <c r="F45" s="5"/>
    </row>
    <row r="46" spans="1:6" x14ac:dyDescent="0.3">
      <c r="A46" s="4">
        <v>1976</v>
      </c>
      <c r="B46" s="4">
        <f>[7]Radio!$V45*100/[7]Radio!$V$9</f>
        <v>79.271136792368821</v>
      </c>
      <c r="D46" s="4">
        <v>216.94532792122675</v>
      </c>
      <c r="E46" s="4">
        <v>24.797220708291835</v>
      </c>
      <c r="F46" s="5"/>
    </row>
    <row r="47" spans="1:6" x14ac:dyDescent="0.3">
      <c r="A47" s="4">
        <v>1975</v>
      </c>
      <c r="B47" s="4">
        <f>[7]Radio!$V46*100/[7]Radio!$V$9</f>
        <v>77.031310177134159</v>
      </c>
      <c r="D47" s="4">
        <v>214.60946454206058</v>
      </c>
      <c r="E47" s="4">
        <v>25.379125280434707</v>
      </c>
      <c r="F47" s="5"/>
    </row>
    <row r="48" spans="1:6" x14ac:dyDescent="0.3">
      <c r="A48" s="4">
        <v>1974</v>
      </c>
      <c r="B48" s="4">
        <f>[7]Radio!$V47*100/[7]Radio!$V$9</f>
        <v>74.828002662482461</v>
      </c>
      <c r="D48" s="4">
        <v>212.2987515442297</v>
      </c>
      <c r="E48" s="4">
        <v>25.974685130121145</v>
      </c>
      <c r="F48" s="5"/>
    </row>
    <row r="49" spans="1:6" x14ac:dyDescent="0.3">
      <c r="A49" s="4">
        <v>1973</v>
      </c>
      <c r="B49" s="4">
        <f>[7]Radio!$V48*100/[7]Radio!$V$9</f>
        <v>72.740306847722493</v>
      </c>
      <c r="D49" s="4">
        <v>210.01291813206731</v>
      </c>
      <c r="E49" s="4">
        <v>26.58422069924784</v>
      </c>
      <c r="F49" s="5"/>
    </row>
    <row r="50" spans="1:6" x14ac:dyDescent="0.3">
      <c r="A50" s="4">
        <v>1972</v>
      </c>
      <c r="B50" s="4">
        <f>[7]Radio!$V49*100/[7]Radio!$V$9</f>
        <v>72.266758494833155</v>
      </c>
      <c r="D50" s="4">
        <v>207.75169642557984</v>
      </c>
      <c r="E50" s="4">
        <v>27.208059949368913</v>
      </c>
      <c r="F50" s="5"/>
    </row>
    <row r="51" spans="1:6" x14ac:dyDescent="0.3">
      <c r="A51" s="4">
        <v>1971</v>
      </c>
      <c r="B51" s="4">
        <f>[7]Radio!$V50*100/[7]Radio!$V$9</f>
        <v>71.713024580933663</v>
      </c>
      <c r="D51" s="4">
        <v>205.51482142905368</v>
      </c>
      <c r="E51" s="4">
        <v>27.846538538156121</v>
      </c>
      <c r="F51" s="5"/>
    </row>
    <row r="52" spans="1:6" x14ac:dyDescent="0.3">
      <c r="A52" s="4">
        <v>1970</v>
      </c>
      <c r="B52" s="4">
        <f>[7]Radio!$V51*100/[7]Radio!$V$9</f>
        <v>71.025744430942993</v>
      </c>
      <c r="D52" s="4">
        <v>203.302031</v>
      </c>
      <c r="E52" s="4">
        <v>28.5</v>
      </c>
      <c r="F52" s="5"/>
    </row>
    <row r="53" spans="1:6" x14ac:dyDescent="0.3">
      <c r="A53" s="4">
        <v>1969</v>
      </c>
      <c r="B53" s="4">
        <f>[7]Radio!$V52*100/[7]Radio!$V$9</f>
        <v>70.414960181596896</v>
      </c>
      <c r="D53" s="4">
        <v>200.76647207994739</v>
      </c>
      <c r="E53" s="4">
        <v>28.749904930298424</v>
      </c>
      <c r="F53" s="5"/>
    </row>
    <row r="54" spans="1:6" x14ac:dyDescent="0.3">
      <c r="A54" s="4">
        <v>1968</v>
      </c>
      <c r="B54" s="4">
        <f>[7]Radio!$V53*100/[7]Radio!$V$9</f>
        <v>69.940625568064263</v>
      </c>
      <c r="D54" s="4">
        <v>198.26253635128865</v>
      </c>
      <c r="E54" s="4">
        <v>29.002001175480615</v>
      </c>
      <c r="F54" s="5"/>
    </row>
    <row r="55" spans="1:6" x14ac:dyDescent="0.3">
      <c r="A55" s="4">
        <v>1967</v>
      </c>
      <c r="B55" s="4">
        <f>[7]Radio!$V54*100/[7]Radio!$V$9</f>
        <v>69.454747570594861</v>
      </c>
      <c r="D55" s="4">
        <v>195.7898294133154</v>
      </c>
      <c r="E55" s="4">
        <v>29.256307950297217</v>
      </c>
      <c r="F55" s="5"/>
    </row>
    <row r="56" spans="1:6" x14ac:dyDescent="0.3">
      <c r="A56" s="4">
        <v>1966</v>
      </c>
      <c r="B56" s="4">
        <f>[7]Radio!$V55*100/[7]Radio!$V$9</f>
        <v>68.909908340727256</v>
      </c>
      <c r="D56" s="4">
        <v>193.34796178423846</v>
      </c>
      <c r="E56" s="4">
        <v>29.512844637985221</v>
      </c>
      <c r="F56" s="5"/>
    </row>
    <row r="57" spans="1:6" x14ac:dyDescent="0.3">
      <c r="A57" s="4">
        <v>1965</v>
      </c>
      <c r="B57" s="4">
        <f>[7]Radio!$V56*100/[7]Radio!$V$9</f>
        <v>68.324226047171877</v>
      </c>
      <c r="D57" s="4">
        <v>190.93654883983947</v>
      </c>
      <c r="E57" s="4">
        <v>29.771630791745356</v>
      </c>
      <c r="F57" s="5"/>
    </row>
    <row r="58" spans="1:6" x14ac:dyDescent="0.3">
      <c r="A58" s="4">
        <v>1964</v>
      </c>
      <c r="B58" s="4">
        <f>[7]Radio!$V57*100/[7]Radio!$V$9</f>
        <v>67.679007370066799</v>
      </c>
      <c r="D58" s="4">
        <v>188.55521075288794</v>
      </c>
      <c r="E58" s="4">
        <v>30.032686136232421</v>
      </c>
      <c r="F58" s="5"/>
    </row>
    <row r="59" spans="1:6" x14ac:dyDescent="0.3">
      <c r="A59" s="4">
        <v>1963</v>
      </c>
      <c r="B59" s="4">
        <f>[7]Radio!$V58*100/[7]Radio!$V$9</f>
        <v>66.946845181624482</v>
      </c>
      <c r="D59" s="4">
        <v>186.2035724333137</v>
      </c>
      <c r="E59" s="4">
        <v>30.296030569058718</v>
      </c>
      <c r="F59" s="5"/>
    </row>
    <row r="60" spans="1:6" x14ac:dyDescent="0.3">
      <c r="A60" s="4">
        <v>1962</v>
      </c>
      <c r="B60" s="4">
        <f>[7]Radio!$V59*100/[7]Radio!$V$9</f>
        <v>66.189422042765372</v>
      </c>
      <c r="D60" s="4">
        <v>183.88126346912566</v>
      </c>
      <c r="E60" s="4">
        <v>30.561684162310627</v>
      </c>
      <c r="F60" s="5"/>
    </row>
    <row r="61" spans="1:6" x14ac:dyDescent="0.3">
      <c r="A61" s="4">
        <v>1961</v>
      </c>
      <c r="B61" s="4">
        <f>[7]Radio!$V60*100/[7]Radio!$V$9</f>
        <v>65.375923574407977</v>
      </c>
      <c r="D61" s="4">
        <v>181.5879180680673</v>
      </c>
      <c r="E61" s="4">
        <v>30.829667164078508</v>
      </c>
      <c r="F61" s="5"/>
    </row>
    <row r="62" spans="1:6" x14ac:dyDescent="0.3">
      <c r="A62" s="4">
        <v>1960</v>
      </c>
      <c r="B62" s="4">
        <f>[7]Radio!$V61*100/[7]Radio!$V$9</f>
        <v>64.495155351012642</v>
      </c>
      <c r="D62" s="4">
        <v>179.32317499999999</v>
      </c>
      <c r="E62" s="4">
        <v>31.1</v>
      </c>
      <c r="F62" s="5"/>
    </row>
    <row r="63" spans="1:6" x14ac:dyDescent="0.3">
      <c r="A63" s="4">
        <v>1959</v>
      </c>
      <c r="B63" s="4">
        <f>[7]Radio!$V62*100/[7]Radio!$V$9</f>
        <v>63.672567038052918</v>
      </c>
      <c r="D63" s="4">
        <v>176.23142072395933</v>
      </c>
      <c r="E63" s="4">
        <v>30.652053727464015</v>
      </c>
      <c r="F63" s="5"/>
    </row>
    <row r="64" spans="1:6" x14ac:dyDescent="0.3">
      <c r="A64" s="4">
        <v>1958</v>
      </c>
      <c r="B64" s="4">
        <f>[7]Radio!$V63*100/[7]Radio!$V$9</f>
        <v>62.805999038003236</v>
      </c>
      <c r="D64" s="4">
        <v>173.19297213193539</v>
      </c>
      <c r="E64" s="4">
        <v>30.210559411940192</v>
      </c>
      <c r="F64" s="5"/>
    </row>
    <row r="65" spans="1:6" x14ac:dyDescent="0.3">
      <c r="A65" s="4">
        <v>1957</v>
      </c>
      <c r="B65" s="4">
        <f>[7]Radio!$V64*100/[7]Radio!$V$9</f>
        <v>61.9516315535977</v>
      </c>
      <c r="D65" s="4">
        <v>170.20691016772417</v>
      </c>
      <c r="E65" s="4">
        <v>29.775424123200445</v>
      </c>
      <c r="F65" s="5"/>
    </row>
    <row r="66" spans="1:6" x14ac:dyDescent="0.3">
      <c r="A66" s="4">
        <v>1956</v>
      </c>
      <c r="B66" s="4">
        <f>[7]Radio!$V65*100/[7]Radio!$V$9</f>
        <v>61.025416520415405</v>
      </c>
      <c r="D66" s="4">
        <v>167.27233162079224</v>
      </c>
      <c r="E66" s="4">
        <v>29.346556269529504</v>
      </c>
      <c r="F66" s="5"/>
    </row>
    <row r="67" spans="1:6" x14ac:dyDescent="0.3">
      <c r="A67" s="4">
        <v>1955</v>
      </c>
      <c r="B67" s="4">
        <f>[7]Radio!$V66*100/[7]Radio!$V$9</f>
        <v>60.13254783174105</v>
      </c>
      <c r="D67" s="4">
        <v>164.38834885307767</v>
      </c>
      <c r="E67" s="4">
        <v>28.923865578445778</v>
      </c>
      <c r="F67" s="5"/>
    </row>
    <row r="68" spans="1:6" x14ac:dyDescent="0.3">
      <c r="A68" s="4">
        <v>1954</v>
      </c>
      <c r="B68" s="4">
        <f>[7]Radio!$V67*100/[7]Radio!$V$9</f>
        <v>59.258087885968145</v>
      </c>
      <c r="D68" s="4">
        <v>161.55408953050122</v>
      </c>
      <c r="E68" s="4">
        <v>28.507263077699886</v>
      </c>
      <c r="F68" s="5"/>
    </row>
    <row r="69" spans="1:6" x14ac:dyDescent="0.3">
      <c r="A69" s="4">
        <v>1953</v>
      </c>
      <c r="B69" s="4">
        <f>[7]Radio!$V68*100/[7]Radio!$V$9</f>
        <v>58.400771081911849</v>
      </c>
      <c r="D69" s="4">
        <v>158.76869635910677</v>
      </c>
      <c r="E69" s="4">
        <v>28.096661076546866</v>
      </c>
      <c r="F69" s="5"/>
    </row>
    <row r="70" spans="1:6" x14ac:dyDescent="0.3">
      <c r="A70" s="4">
        <v>1952</v>
      </c>
      <c r="B70" s="4">
        <f>[7]Radio!$V69*100/[7]Radio!$V$9</f>
        <v>57.614899677584575</v>
      </c>
      <c r="D70" s="4">
        <v>156.0313268257508</v>
      </c>
      <c r="E70" s="4">
        <v>27.691973147288131</v>
      </c>
      <c r="F70" s="5"/>
    </row>
    <row r="71" spans="1:6" x14ac:dyDescent="0.3">
      <c r="A71" s="4">
        <v>1951</v>
      </c>
      <c r="B71" s="4">
        <f>[7]Radio!$V70*100/[7]Radio!$V$9</f>
        <v>56.807614266713969</v>
      </c>
      <c r="D71" s="4">
        <v>153.34115294326293</v>
      </c>
      <c r="E71" s="4">
        <v>27.293114107079294</v>
      </c>
      <c r="F71" s="5"/>
    </row>
    <row r="72" spans="1:6" x14ac:dyDescent="0.3">
      <c r="A72" s="4">
        <v>1950</v>
      </c>
      <c r="B72" s="4">
        <f>[7]Radio!$V71*100/[7]Radio!$V$9</f>
        <v>56.019948444393783</v>
      </c>
      <c r="D72" s="4">
        <v>150.697361</v>
      </c>
      <c r="E72" s="4">
        <v>26.9</v>
      </c>
      <c r="F72" s="5"/>
    </row>
    <row r="73" spans="1:6" x14ac:dyDescent="0.3">
      <c r="A73" s="4">
        <v>1949</v>
      </c>
      <c r="B73" s="4">
        <f>[7]Radio!$V72*100/[7]Radio!$V$9</f>
        <v>55.051363865375606</v>
      </c>
      <c r="D73" s="4">
        <v>148.73274275017829</v>
      </c>
      <c r="E73" s="4">
        <v>26.703676176290738</v>
      </c>
      <c r="F73" s="5"/>
    </row>
    <row r="74" spans="1:6" x14ac:dyDescent="0.3">
      <c r="A74" s="4">
        <v>1948</v>
      </c>
      <c r="B74" s="4">
        <f>[7]Radio!$V73*100/[7]Radio!$V$9</f>
        <v>50.876732686064678</v>
      </c>
      <c r="D74" s="4">
        <v>146.79373692543095</v>
      </c>
      <c r="E74" s="4">
        <v>26.508785179486921</v>
      </c>
      <c r="F74" s="5"/>
    </row>
    <row r="75" spans="1:6" x14ac:dyDescent="0.3">
      <c r="A75" s="4">
        <v>1947</v>
      </c>
      <c r="B75" s="4">
        <f>[7]Radio!$V74*100/[7]Radio!$V$9</f>
        <v>47.021337251232943</v>
      </c>
      <c r="D75" s="4">
        <v>144.88000962052317</v>
      </c>
      <c r="E75" s="4">
        <v>26.315316552411691</v>
      </c>
      <c r="F75" s="5"/>
    </row>
    <row r="76" spans="1:6" x14ac:dyDescent="0.3">
      <c r="A76" s="4">
        <v>1946</v>
      </c>
      <c r="B76" s="4">
        <f>[7]Radio!$V75*100/[7]Radio!$V$9</f>
        <v>43.37380183332624</v>
      </c>
      <c r="D76" s="4">
        <v>142.99123128329111</v>
      </c>
      <c r="E76" s="4">
        <v>26.123259914207658</v>
      </c>
      <c r="F76" s="5"/>
    </row>
    <row r="77" spans="1:6" x14ac:dyDescent="0.3">
      <c r="A77" s="4">
        <v>1945</v>
      </c>
      <c r="B77" s="4">
        <f>[7]Radio!$V76*100/[7]Radio!$V$9</f>
        <v>40.742337302837527</v>
      </c>
      <c r="D77" s="4">
        <v>141.12707665789162</v>
      </c>
      <c r="E77" s="4">
        <v>25.932604959779869</v>
      </c>
      <c r="F77" s="5"/>
    </row>
    <row r="78" spans="1:6" x14ac:dyDescent="0.3">
      <c r="A78" s="4">
        <v>1944</v>
      </c>
      <c r="B78" s="4">
        <f>[7]Radio!$V77*100/[7]Radio!$V$9</f>
        <v>38.247005156621945</v>
      </c>
      <c r="D78" s="4">
        <v>139.28722472879184</v>
      </c>
      <c r="E78" s="4">
        <v>25.743341459242874</v>
      </c>
      <c r="F78" s="5"/>
    </row>
    <row r="79" spans="1:6" x14ac:dyDescent="0.3">
      <c r="A79" s="4">
        <v>1943</v>
      </c>
      <c r="B79" s="4">
        <f>[7]Radio!$V78*100/[7]Radio!$V$9</f>
        <v>35.866797669865925</v>
      </c>
      <c r="D79" s="4">
        <v>137.47135866548888</v>
      </c>
      <c r="E79" s="4">
        <v>25.55545925737183</v>
      </c>
      <c r="F79" s="5"/>
    </row>
    <row r="80" spans="1:6" x14ac:dyDescent="0.3">
      <c r="A80" s="4">
        <v>1942</v>
      </c>
      <c r="B80" s="4">
        <f>[7]Radio!$V79*100/[7]Radio!$V$9</f>
        <v>35.930030575003215</v>
      </c>
      <c r="D80" s="4">
        <v>135.67916576795022</v>
      </c>
      <c r="E80" s="4">
        <v>25.368948273057594</v>
      </c>
      <c r="F80" s="5"/>
    </row>
    <row r="81" spans="1:6" x14ac:dyDescent="0.3">
      <c r="A81" s="4">
        <v>1941</v>
      </c>
      <c r="B81" s="4">
        <f>[7]Radio!$V80*100/[7]Radio!$V$9</f>
        <v>33.952449844612396</v>
      </c>
      <c r="D81" s="4">
        <v>133.91033741276547</v>
      </c>
      <c r="E81" s="4">
        <v>25.183798498765825</v>
      </c>
      <c r="F81" s="5"/>
    </row>
    <row r="82" spans="1:6" x14ac:dyDescent="0.3">
      <c r="A82" s="4">
        <v>1940</v>
      </c>
      <c r="B82" s="4">
        <f>[7]Radio!$V81*100/[7]Radio!$V$9</f>
        <v>32.839731232371129</v>
      </c>
      <c r="D82" s="4">
        <v>132.164569</v>
      </c>
      <c r="E82" s="4">
        <v>25</v>
      </c>
      <c r="F82" s="5"/>
    </row>
    <row r="83" spans="1:6" x14ac:dyDescent="0.3">
      <c r="A83" s="4">
        <v>1939</v>
      </c>
      <c r="B83" s="4">
        <f>[7]Radio!$V82*100/[7]Radio!$V$9</f>
        <v>31.457203466556223</v>
      </c>
      <c r="D83" s="4">
        <v>131.1941741887735</v>
      </c>
      <c r="E83" s="4">
        <v>25.408600264766964</v>
      </c>
      <c r="F83" s="5"/>
    </row>
    <row r="84" spans="1:6" x14ac:dyDescent="0.3">
      <c r="A84" s="4">
        <v>1938</v>
      </c>
      <c r="B84" s="4">
        <f>[7]Radio!$V83*100/[7]Radio!$V$9</f>
        <v>30.667030056051704</v>
      </c>
      <c r="D84" s="4">
        <v>130.23090432863478</v>
      </c>
      <c r="E84" s="4">
        <v>25.823878696588626</v>
      </c>
      <c r="F84" s="5"/>
    </row>
    <row r="85" spans="1:6" x14ac:dyDescent="0.3">
      <c r="A85" s="4">
        <v>1937</v>
      </c>
      <c r="B85" s="4">
        <f>[7]Radio!$V84*100/[7]Radio!$V$9</f>
        <v>27.6816963050696</v>
      </c>
      <c r="D85" s="4">
        <v>129.2747071058993</v>
      </c>
      <c r="E85" s="4">
        <v>26.245944443498061</v>
      </c>
      <c r="F85" s="5"/>
    </row>
    <row r="86" spans="1:6" x14ac:dyDescent="0.3">
      <c r="A86" s="4">
        <v>1936</v>
      </c>
      <c r="B86" s="4">
        <f>[7]Radio!$V85*100/[7]Radio!$V$9</f>
        <v>24.34293293763508</v>
      </c>
      <c r="D86" s="4">
        <v>128.32553059098643</v>
      </c>
      <c r="E86" s="4">
        <v>26.674908437444948</v>
      </c>
      <c r="F86" s="5"/>
    </row>
    <row r="87" spans="1:6" x14ac:dyDescent="0.3">
      <c r="A87" s="4">
        <v>1935</v>
      </c>
      <c r="B87" s="4">
        <f>[7]Radio!$V86*100/[7]Radio!$V$9</f>
        <v>22.232564366417837</v>
      </c>
      <c r="D87" s="4">
        <v>127.38332323559928</v>
      </c>
      <c r="E87" s="4">
        <v>27.11088342345192</v>
      </c>
      <c r="F87" s="5"/>
    </row>
    <row r="88" spans="1:6" x14ac:dyDescent="0.3">
      <c r="A88" s="4">
        <v>1934</v>
      </c>
      <c r="B88" s="4">
        <f>[7]Radio!$V87*100/[7]Radio!$V$9</f>
        <v>20.572737775439556</v>
      </c>
      <c r="D88" s="4">
        <v>126.44803386992514</v>
      </c>
      <c r="E88" s="4">
        <v>27.553983989247463</v>
      </c>
      <c r="F88" s="5"/>
    </row>
    <row r="89" spans="1:6" x14ac:dyDescent="0.3">
      <c r="A89" s="4">
        <v>1933</v>
      </c>
      <c r="B89" s="4">
        <f>[7]Radio!$V88*100/[7]Radio!$V$9</f>
        <v>18.687023843897911</v>
      </c>
      <c r="D89" s="4">
        <v>125.51961169985655</v>
      </c>
      <c r="E89" s="4">
        <v>28.004326595383102</v>
      </c>
      <c r="F89" s="5"/>
    </row>
    <row r="90" spans="1:6" x14ac:dyDescent="0.3">
      <c r="A90" s="4">
        <v>1932</v>
      </c>
      <c r="B90" s="4">
        <f>[7]Radio!$V89*100/[7]Radio!$V$9</f>
        <v>17.689517062408434</v>
      </c>
      <c r="D90" s="4">
        <v>124.59800630423273</v>
      </c>
      <c r="E90" s="4">
        <v>28.462029605842858</v>
      </c>
      <c r="F90" s="5"/>
    </row>
    <row r="91" spans="1:6" x14ac:dyDescent="0.3">
      <c r="A91" s="4">
        <v>1931</v>
      </c>
      <c r="B91" s="4">
        <f>[7]Radio!$V90*100/[7]Radio!$V$9</f>
        <v>15.812944039772828</v>
      </c>
      <c r="D91" s="4">
        <v>123.68316763210127</v>
      </c>
      <c r="E91" s="4">
        <v>28.927213319152951</v>
      </c>
      <c r="F91" s="5"/>
    </row>
    <row r="92" spans="1:6" x14ac:dyDescent="0.3">
      <c r="A92" s="4">
        <v>1930</v>
      </c>
      <c r="B92" s="4">
        <f>[7]Radio!$V91*100/[7]Radio!$V$9</f>
        <v>12.953162283075475</v>
      </c>
      <c r="D92" s="4">
        <v>122.775046</v>
      </c>
      <c r="E92" s="4">
        <v>29.4</v>
      </c>
      <c r="F92" s="5"/>
    </row>
    <row r="93" spans="1:6" x14ac:dyDescent="0.3">
      <c r="A93" s="4">
        <v>1929</v>
      </c>
      <c r="B93" s="4">
        <f>[7]Radio!$V92*100/[7]Radio!$V$9</f>
        <v>9.6886752328951893</v>
      </c>
      <c r="D93" s="4">
        <v>120.98694330532393</v>
      </c>
      <c r="E93" s="4">
        <v>29.631614117570692</v>
      </c>
      <c r="F93" s="5"/>
    </row>
    <row r="94" spans="1:6" x14ac:dyDescent="0.3">
      <c r="A94" s="4">
        <v>1928</v>
      </c>
      <c r="B94" s="4">
        <f>[7]Radio!$V93*100/[7]Radio!$V$9</f>
        <v>7.6409291395059302</v>
      </c>
      <c r="D94" s="4">
        <v>119.22488263914531</v>
      </c>
      <c r="E94" s="4">
        <v>29.865052898388253</v>
      </c>
      <c r="F94" s="5"/>
    </row>
    <row r="95" spans="1:6" x14ac:dyDescent="0.3">
      <c r="A95" s="4">
        <v>1927</v>
      </c>
      <c r="B95" s="4">
        <f>[7]Radio!$V94*100/[7]Radio!$V$9</f>
        <v>6.5065483280907976</v>
      </c>
      <c r="D95" s="4">
        <v>117.48848472389228</v>
      </c>
      <c r="E95" s="4">
        <v>30.100330717206692</v>
      </c>
      <c r="F95" s="5"/>
    </row>
    <row r="96" spans="1:6" x14ac:dyDescent="0.3">
      <c r="A96" s="4">
        <v>1926</v>
      </c>
      <c r="B96" s="4">
        <f>[7]Radio!$V95*100/[7]Radio!$V$9</f>
        <v>4.3770732868192379</v>
      </c>
      <c r="D96" s="4">
        <v>115.77737580581295</v>
      </c>
      <c r="E96" s="4">
        <v>30.337462062024777</v>
      </c>
      <c r="F96" s="5"/>
    </row>
    <row r="97" spans="1:6" x14ac:dyDescent="0.3">
      <c r="A97" s="4">
        <v>1925</v>
      </c>
      <c r="B97" s="4">
        <f>[7]Radio!$V96*100/[7]Radio!$V$9</f>
        <v>2.7416397488967643</v>
      </c>
      <c r="D97" s="4">
        <v>114.09118757452612</v>
      </c>
      <c r="E97" s="4">
        <v>30.576461534978179</v>
      </c>
      <c r="F97" s="5"/>
    </row>
    <row r="98" spans="1:6" x14ac:dyDescent="0.3">
      <c r="A98" s="4">
        <v>1924</v>
      </c>
      <c r="B98" s="4">
        <f>[7]Radio!$V97*100/[7]Radio!$V$9</f>
        <v>1.2659368758502696</v>
      </c>
      <c r="D98" s="4">
        <v>112.42955708374379</v>
      </c>
      <c r="E98" s="4">
        <v>30.817343853238658</v>
      </c>
      <c r="F98" s="5"/>
    </row>
    <row r="99" spans="1:6" x14ac:dyDescent="0.3">
      <c r="A99" s="4">
        <v>1923</v>
      </c>
      <c r="B99" s="4">
        <f>[7]Radio!$V98*100/[7]Radio!$V$9</f>
        <v>0.40089499147363689</v>
      </c>
      <c r="D99" s="4">
        <v>110.79212667314813</v>
      </c>
      <c r="E99" s="4">
        <v>31.060123849920302</v>
      </c>
      <c r="F99" s="5"/>
    </row>
    <row r="100" spans="1:6" x14ac:dyDescent="0.3">
      <c r="A100" s="4">
        <v>1922</v>
      </c>
      <c r="B100" s="4">
        <f>B99*B99/B98</f>
        <v>0.1269548247267081</v>
      </c>
      <c r="D100" s="4">
        <v>109.17854389140639</v>
      </c>
      <c r="E100" s="4">
        <v>31.30481647499294</v>
      </c>
      <c r="F100" s="5"/>
    </row>
    <row r="101" spans="1:6" x14ac:dyDescent="0.3">
      <c r="A101" s="4">
        <v>1921</v>
      </c>
      <c r="B101" s="4">
        <f t="shared" ref="B101:B122" si="0">B100*B100/B99</f>
        <v>4.0203863515838094E-2</v>
      </c>
      <c r="D101" s="4">
        <v>107.5884614203069</v>
      </c>
      <c r="E101" s="4">
        <v>31.551436796202729</v>
      </c>
      <c r="F101" s="5"/>
    </row>
    <row r="102" spans="1:6" x14ac:dyDescent="0.3">
      <c r="A102" s="4">
        <v>1920</v>
      </c>
      <c r="B102" s="4">
        <f t="shared" si="0"/>
        <v>1.2731699209381034E-2</v>
      </c>
      <c r="D102" s="4">
        <v>106.021537</v>
      </c>
      <c r="E102" s="4">
        <v>31.8</v>
      </c>
      <c r="F102" s="5"/>
    </row>
    <row r="103" spans="1:6" x14ac:dyDescent="0.3">
      <c r="A103" s="4">
        <v>1919</v>
      </c>
      <c r="B103" s="4">
        <f t="shared" si="0"/>
        <v>4.0318554134553949E-3</v>
      </c>
      <c r="D103" s="4">
        <v>104.55413153989278</v>
      </c>
      <c r="E103" s="4">
        <v>31.829873397289791</v>
      </c>
      <c r="F103" s="5"/>
    </row>
    <row r="104" spans="1:6" x14ac:dyDescent="0.3">
      <c r="A104" s="4">
        <v>1918</v>
      </c>
      <c r="B104" s="4">
        <f t="shared" si="0"/>
        <v>1.2768019262528487E-3</v>
      </c>
      <c r="D104" s="4">
        <v>103.10703590404651</v>
      </c>
      <c r="E104" s="4">
        <v>31.859774858097385</v>
      </c>
      <c r="F104" s="5"/>
    </row>
    <row r="105" spans="1:6" x14ac:dyDescent="0.3">
      <c r="A105" s="4">
        <v>1917</v>
      </c>
      <c r="B105" s="4">
        <f t="shared" si="0"/>
        <v>4.043357193421391E-4</v>
      </c>
      <c r="D105" s="4">
        <v>101.67996899158442</v>
      </c>
      <c r="E105" s="4">
        <v>31.889704408786056</v>
      </c>
      <c r="F105" s="5"/>
    </row>
    <row r="106" spans="1:6" x14ac:dyDescent="0.3">
      <c r="A106" s="4">
        <v>1916</v>
      </c>
      <c r="B106" s="4">
        <f t="shared" si="0"/>
        <v>1.2804442926846681E-4</v>
      </c>
      <c r="D106" s="4">
        <v>100.27265359224447</v>
      </c>
      <c r="E106" s="4">
        <v>31.919662075743858</v>
      </c>
      <c r="F106" s="5"/>
    </row>
    <row r="107" spans="1:6" x14ac:dyDescent="0.3">
      <c r="A107" s="4">
        <v>1915</v>
      </c>
      <c r="B107" s="4">
        <f t="shared" si="0"/>
        <v>4.0548917848175636E-5</v>
      </c>
      <c r="D107" s="4">
        <v>98.884816332530846</v>
      </c>
      <c r="E107" s="4">
        <v>31.949647885383641</v>
      </c>
      <c r="F107" s="5"/>
    </row>
    <row r="108" spans="1:6" x14ac:dyDescent="0.3">
      <c r="A108" s="4">
        <v>1914</v>
      </c>
      <c r="B108" s="4">
        <f t="shared" si="0"/>
        <v>1.2840970497909926E-5</v>
      </c>
      <c r="D108" s="4">
        <v>97.516187622610687</v>
      </c>
      <c r="E108" s="4">
        <v>31.979661864143058</v>
      </c>
      <c r="F108" s="5"/>
    </row>
    <row r="109" spans="1:6" x14ac:dyDescent="0.3">
      <c r="A109" s="4">
        <v>1913</v>
      </c>
      <c r="B109" s="4">
        <f t="shared" si="0"/>
        <v>4.0664592812459436E-6</v>
      </c>
      <c r="D109" s="4">
        <v>96.166501603945761</v>
      </c>
      <c r="E109" s="4">
        <v>32.009704038484607</v>
      </c>
      <c r="F109" s="5"/>
    </row>
    <row r="110" spans="1:6" x14ac:dyDescent="0.3">
      <c r="A110" s="4">
        <v>1912</v>
      </c>
      <c r="B110" s="4">
        <f t="shared" si="0"/>
        <v>1.287760227213573E-6</v>
      </c>
      <c r="D110" s="4">
        <v>94.835496097648999</v>
      </c>
      <c r="E110" s="4">
        <v>32.039774434895641</v>
      </c>
      <c r="F110" s="5"/>
    </row>
    <row r="111" spans="1:6" x14ac:dyDescent="0.3">
      <c r="A111" s="4">
        <v>1911</v>
      </c>
      <c r="B111" s="4">
        <f t="shared" si="0"/>
        <v>4.0780597765755815E-7</v>
      </c>
      <c r="D111" s="4">
        <v>93.522912553555756</v>
      </c>
      <c r="E111" s="4">
        <v>32.069873079888389</v>
      </c>
      <c r="F111" s="5"/>
    </row>
    <row r="112" spans="1:6" x14ac:dyDescent="0.3">
      <c r="A112" s="4">
        <v>1910</v>
      </c>
      <c r="B112" s="4">
        <f t="shared" si="0"/>
        <v>1.2914338546787194E-7</v>
      </c>
      <c r="D112" s="4">
        <v>92.228496000000007</v>
      </c>
      <c r="E112" s="4">
        <v>32.1</v>
      </c>
      <c r="F112" s="5"/>
    </row>
    <row r="113" spans="1:6" x14ac:dyDescent="0.3">
      <c r="A113" s="4">
        <v>1909</v>
      </c>
      <c r="B113" s="4">
        <f t="shared" si="0"/>
        <v>4.0896933649433112E-8</v>
      </c>
      <c r="D113" s="4">
        <v>90.485928148929617</v>
      </c>
      <c r="E113" s="4">
        <v>32.332288003568223</v>
      </c>
      <c r="F113" s="5"/>
    </row>
    <row r="114" spans="1:6" x14ac:dyDescent="0.3">
      <c r="A114" s="4">
        <v>1908</v>
      </c>
      <c r="B114" s="4">
        <f t="shared" si="0"/>
        <v>1.2951179619975431E-8</v>
      </c>
      <c r="D114" s="4">
        <v>88.776284424861984</v>
      </c>
      <c r="E114" s="4">
        <v>32.566256932887278</v>
      </c>
      <c r="F114" s="5"/>
    </row>
    <row r="115" spans="1:6" x14ac:dyDescent="0.3">
      <c r="A115" s="4">
        <v>1907</v>
      </c>
      <c r="B115" s="4">
        <f t="shared" si="0"/>
        <v>4.1013601407545126E-9</v>
      </c>
      <c r="D115" s="4">
        <v>87.098942758396419</v>
      </c>
      <c r="E115" s="4">
        <v>32.801918951785417</v>
      </c>
      <c r="F115" s="5"/>
    </row>
    <row r="116" spans="1:6" x14ac:dyDescent="0.3">
      <c r="A116" s="4">
        <v>1906</v>
      </c>
      <c r="B116" s="4">
        <f t="shared" si="0"/>
        <v>1.2988125790661982E-9</v>
      </c>
      <c r="D116" s="4">
        <v>85.453292833529289</v>
      </c>
      <c r="E116" s="4">
        <v>33.039286312113049</v>
      </c>
      <c r="F116" s="5"/>
    </row>
    <row r="117" spans="1:6" x14ac:dyDescent="0.3">
      <c r="A117" s="4">
        <v>1905</v>
      </c>
      <c r="B117" s="4">
        <f t="shared" si="0"/>
        <v>4.1130601986838781E-10</v>
      </c>
      <c r="D117" s="4">
        <v>83.838735865585036</v>
      </c>
      <c r="E117" s="4">
        <v>33.278371354379708</v>
      </c>
      <c r="F117" s="5"/>
    </row>
    <row r="118" spans="1:6" x14ac:dyDescent="0.3">
      <c r="A118" s="4">
        <v>1904</v>
      </c>
      <c r="B118" s="4">
        <f t="shared" si="0"/>
        <v>1.3025177358661245E-10</v>
      </c>
      <c r="D118" s="4">
        <v>82.254684383342962</v>
      </c>
      <c r="E118" s="4">
        <v>33.51918650839562</v>
      </c>
      <c r="F118" s="5"/>
    </row>
    <row r="119" spans="1:6" x14ac:dyDescent="0.3">
      <c r="A119" s="4">
        <v>1903</v>
      </c>
      <c r="B119" s="4">
        <f t="shared" si="0"/>
        <v>4.124793633676182E-11</v>
      </c>
      <c r="D119" s="4">
        <v>80.700562015280482</v>
      </c>
      <c r="E119" s="4">
        <v>33.761744293917936</v>
      </c>
      <c r="F119" s="5"/>
    </row>
    <row r="120" spans="1:6" x14ac:dyDescent="0.3">
      <c r="A120" s="4">
        <v>1902</v>
      </c>
      <c r="B120" s="4">
        <f t="shared" si="0"/>
        <v>1.3062334624642906E-11</v>
      </c>
      <c r="D120" s="4">
        <v>79.175803279855089</v>
      </c>
      <c r="E120" s="4">
        <v>34.006057321301583</v>
      </c>
      <c r="F120" s="5"/>
    </row>
    <row r="121" spans="1:6" x14ac:dyDescent="0.3">
      <c r="A121" s="4">
        <v>1901</v>
      </c>
      <c r="B121" s="4">
        <f t="shared" si="0"/>
        <v>4.1365605409470492E-12</v>
      </c>
      <c r="D121" s="4">
        <v>77.679853379748778</v>
      </c>
      <c r="E121" s="4">
        <v>34.25213829215491</v>
      </c>
      <c r="F121" s="5"/>
    </row>
    <row r="122" spans="1:6" x14ac:dyDescent="0.3">
      <c r="A122" s="4">
        <v>1900</v>
      </c>
      <c r="B122" s="4">
        <f t="shared" si="0"/>
        <v>1.3099597890134379E-12</v>
      </c>
      <c r="D122" s="3">
        <v>76.212168000000005</v>
      </c>
      <c r="E122" s="3">
        <v>34.5</v>
      </c>
      <c r="F122" s="5"/>
    </row>
    <row r="123" spans="1:6" x14ac:dyDescent="0.3">
      <c r="B123" s="3"/>
      <c r="C123" s="3"/>
      <c r="D123" s="4">
        <v>74.768708808246345</v>
      </c>
      <c r="E123" s="3">
        <v>34.616575575720127</v>
      </c>
      <c r="F123" s="3"/>
    </row>
    <row r="124" spans="1:6" x14ac:dyDescent="0.3">
      <c r="B124" s="3"/>
      <c r="C124" s="3"/>
      <c r="D124" s="4">
        <v>73.352588747407538</v>
      </c>
      <c r="E124" s="3">
        <v>34.73354506056647</v>
      </c>
      <c r="F124" s="3"/>
    </row>
    <row r="125" spans="1:6" x14ac:dyDescent="0.3">
      <c r="B125" s="3"/>
      <c r="C125" s="3"/>
      <c r="D125" s="4">
        <v>71.963290014082276</v>
      </c>
      <c r="E125" s="3">
        <v>34.850909785558834</v>
      </c>
      <c r="F125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FC30-CAA5-423A-8A27-BCD3CE62889C}">
  <dimension ref="A1:P125"/>
  <sheetViews>
    <sheetView topLeftCell="A21" workbookViewId="0">
      <selection activeCell="Q11" sqref="Q11"/>
    </sheetView>
  </sheetViews>
  <sheetFormatPr defaultRowHeight="14.4" x14ac:dyDescent="0.3"/>
  <cols>
    <col min="1" max="16384" width="8.88671875" style="4"/>
  </cols>
  <sheetData>
    <row r="1" spans="1:16" x14ac:dyDescent="0.3">
      <c r="A1" s="4" t="s">
        <v>21</v>
      </c>
      <c r="B1" s="4" t="s">
        <v>148</v>
      </c>
      <c r="P1" s="4" t="s">
        <v>288</v>
      </c>
    </row>
    <row r="2" spans="1:16" x14ac:dyDescent="0.3">
      <c r="A2" s="4" t="s">
        <v>24</v>
      </c>
      <c r="B2" s="4" t="s">
        <v>149</v>
      </c>
      <c r="O2" s="4">
        <v>2020</v>
      </c>
      <c r="P2" s="2"/>
    </row>
    <row r="3" spans="1:16" x14ac:dyDescent="0.3">
      <c r="A3" s="4" t="s">
        <v>52</v>
      </c>
      <c r="B3" s="4" t="s">
        <v>150</v>
      </c>
      <c r="O3" s="4">
        <v>2019</v>
      </c>
      <c r="P3" s="2"/>
    </row>
    <row r="4" spans="1:16" x14ac:dyDescent="0.3">
      <c r="A4" s="4" t="s">
        <v>54</v>
      </c>
      <c r="B4" s="4" t="s">
        <v>151</v>
      </c>
      <c r="O4" s="4">
        <v>2018</v>
      </c>
      <c r="P4" s="2"/>
    </row>
    <row r="5" spans="1:16" x14ac:dyDescent="0.3">
      <c r="A5" s="4" t="s">
        <v>30</v>
      </c>
      <c r="B5" s="4">
        <v>200806</v>
      </c>
      <c r="O5" s="4">
        <v>2017</v>
      </c>
      <c r="P5" s="2"/>
    </row>
    <row r="6" spans="1:16" x14ac:dyDescent="0.3">
      <c r="O6" s="4">
        <v>2016</v>
      </c>
      <c r="P6" s="2"/>
    </row>
    <row r="7" spans="1:16" x14ac:dyDescent="0.3">
      <c r="A7" s="4" t="s">
        <v>31</v>
      </c>
      <c r="O7" s="4">
        <v>2015</v>
      </c>
      <c r="P7" s="2"/>
    </row>
    <row r="8" spans="1:16" x14ac:dyDescent="0.3">
      <c r="A8" s="4" t="s">
        <v>32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40</v>
      </c>
      <c r="J8" s="4" t="s">
        <v>41</v>
      </c>
      <c r="K8" s="4" t="s">
        <v>42</v>
      </c>
      <c r="L8" s="4" t="s">
        <v>43</v>
      </c>
      <c r="M8" s="4" t="s">
        <v>44</v>
      </c>
      <c r="O8" s="4">
        <v>2014</v>
      </c>
      <c r="P8" s="2"/>
    </row>
    <row r="9" spans="1:16" x14ac:dyDescent="0.3">
      <c r="A9" s="4">
        <v>2008</v>
      </c>
      <c r="B9" s="4">
        <f>C9*(B40+B60)/(C40+C60)</f>
        <v>100.44665012406946</v>
      </c>
      <c r="C9" s="4">
        <f>D9*(C40+C60)/(D40+D60)</f>
        <v>102.03473945409428</v>
      </c>
      <c r="D9" s="4">
        <f>E9*(D40+D60)/(E40+E60)</f>
        <v>103.52357320099256</v>
      </c>
      <c r="E9" s="4">
        <f>F9*(E40+E60)/(F40+F60)</f>
        <v>105.50868486352358</v>
      </c>
      <c r="F9" s="4">
        <f>G9*(F40+F60)/(G40+G60)</f>
        <v>107.09677419354838</v>
      </c>
      <c r="G9" s="4">
        <v>100</v>
      </c>
      <c r="H9" s="4">
        <v>95.4</v>
      </c>
      <c r="I9" s="4">
        <v>96</v>
      </c>
      <c r="J9" s="4">
        <v>98.8</v>
      </c>
      <c r="K9" s="4">
        <v>107.4</v>
      </c>
      <c r="L9" s="4">
        <v>108.5</v>
      </c>
      <c r="M9" s="4">
        <v>99.4</v>
      </c>
      <c r="O9" s="4">
        <v>2013</v>
      </c>
      <c r="P9" s="2"/>
    </row>
    <row r="10" spans="1:16" x14ac:dyDescent="0.3">
      <c r="A10" s="4">
        <v>2009</v>
      </c>
      <c r="B10" s="4">
        <v>88.7</v>
      </c>
      <c r="C10" s="4">
        <v>84.8</v>
      </c>
      <c r="D10" s="4">
        <v>89.7</v>
      </c>
      <c r="E10" s="4">
        <v>89.6</v>
      </c>
      <c r="F10" s="4">
        <v>91.3</v>
      </c>
      <c r="G10" s="4">
        <v>89.4</v>
      </c>
      <c r="H10" s="4">
        <v>84.4</v>
      </c>
      <c r="I10" s="4">
        <v>82.3</v>
      </c>
      <c r="J10" s="4">
        <v>83.9</v>
      </c>
      <c r="K10" s="4">
        <v>89.6</v>
      </c>
      <c r="L10" s="4">
        <v>90.5</v>
      </c>
      <c r="M10" s="4">
        <v>90</v>
      </c>
      <c r="O10" s="4">
        <v>2012</v>
      </c>
      <c r="P10" s="2"/>
    </row>
    <row r="11" spans="1:16" x14ac:dyDescent="0.3">
      <c r="A11" s="4">
        <v>2010</v>
      </c>
      <c r="B11" s="4">
        <v>84.9</v>
      </c>
      <c r="C11" s="4">
        <v>81.7</v>
      </c>
      <c r="D11" s="4">
        <v>85.4</v>
      </c>
      <c r="E11" s="4">
        <v>90.3</v>
      </c>
      <c r="F11" s="4">
        <v>92.9</v>
      </c>
      <c r="G11" s="4">
        <v>103.7</v>
      </c>
      <c r="H11" s="4">
        <v>95.3</v>
      </c>
      <c r="I11" s="4">
        <v>88.7</v>
      </c>
      <c r="J11" s="4">
        <v>92.7</v>
      </c>
      <c r="K11" s="4">
        <v>99.9</v>
      </c>
      <c r="L11" s="4">
        <v>104.9</v>
      </c>
      <c r="M11" s="4">
        <v>94.4</v>
      </c>
      <c r="O11" s="4">
        <v>2011</v>
      </c>
      <c r="P11" s="2"/>
    </row>
    <row r="12" spans="1:16" x14ac:dyDescent="0.3">
      <c r="A12" s="4">
        <v>2011</v>
      </c>
      <c r="B12" s="4">
        <v>87.8</v>
      </c>
      <c r="C12" s="4">
        <v>86.8</v>
      </c>
      <c r="D12" s="4">
        <v>92.4</v>
      </c>
      <c r="E12" s="4">
        <v>91.2</v>
      </c>
      <c r="F12" s="4">
        <v>94.5</v>
      </c>
      <c r="G12" s="4">
        <v>96.2</v>
      </c>
      <c r="H12" s="4">
        <v>92.9</v>
      </c>
      <c r="I12" s="4">
        <v>88.6</v>
      </c>
      <c r="J12" s="4">
        <v>92</v>
      </c>
      <c r="K12" s="4">
        <v>94.4</v>
      </c>
      <c r="L12" s="4">
        <v>97.5</v>
      </c>
      <c r="M12" s="4">
        <v>96.9</v>
      </c>
      <c r="O12" s="4">
        <v>2010</v>
      </c>
      <c r="P12" s="2"/>
    </row>
    <row r="13" spans="1:16" x14ac:dyDescent="0.3">
      <c r="A13" s="4">
        <v>2012</v>
      </c>
      <c r="B13" s="4">
        <v>93.7</v>
      </c>
      <c r="C13" s="4">
        <v>96.7</v>
      </c>
      <c r="D13" s="4">
        <v>95.7</v>
      </c>
      <c r="E13" s="4">
        <v>99.8</v>
      </c>
      <c r="F13" s="4">
        <v>105.5</v>
      </c>
      <c r="G13" s="4">
        <v>104.1</v>
      </c>
      <c r="H13" s="4">
        <v>92.4</v>
      </c>
      <c r="I13" s="4">
        <v>93.3</v>
      </c>
      <c r="J13" s="4">
        <v>100.6</v>
      </c>
      <c r="K13" s="4">
        <v>112</v>
      </c>
      <c r="L13" s="4">
        <v>111.4</v>
      </c>
      <c r="M13" s="4">
        <v>101.2</v>
      </c>
      <c r="O13" s="4">
        <v>2009</v>
      </c>
      <c r="P13" s="2"/>
    </row>
    <row r="14" spans="1:16" x14ac:dyDescent="0.3">
      <c r="A14" s="4">
        <v>2013</v>
      </c>
      <c r="B14" s="4">
        <v>93.3</v>
      </c>
      <c r="C14" s="4">
        <v>90.4</v>
      </c>
      <c r="D14" s="4">
        <v>96.4</v>
      </c>
      <c r="E14" s="4">
        <v>96.7</v>
      </c>
      <c r="F14" s="4">
        <v>99.3</v>
      </c>
      <c r="G14" s="4">
        <v>100.9</v>
      </c>
      <c r="H14" s="4">
        <v>93.5</v>
      </c>
      <c r="I14" s="4">
        <v>91</v>
      </c>
      <c r="J14" s="4">
        <v>99</v>
      </c>
      <c r="K14" s="4">
        <v>102.3</v>
      </c>
      <c r="L14" s="4">
        <v>102.3</v>
      </c>
      <c r="M14" s="4">
        <v>98.9</v>
      </c>
      <c r="O14" s="4">
        <v>2008</v>
      </c>
      <c r="P14" s="2"/>
    </row>
    <row r="15" spans="1:16" x14ac:dyDescent="0.3">
      <c r="A15" s="4">
        <v>2014</v>
      </c>
      <c r="B15" s="4">
        <v>95</v>
      </c>
      <c r="C15" s="4">
        <v>93.8</v>
      </c>
      <c r="D15" s="4">
        <v>95</v>
      </c>
      <c r="E15" s="4">
        <v>98.6</v>
      </c>
      <c r="F15" s="4">
        <v>99.7</v>
      </c>
      <c r="G15" s="4">
        <v>98.7</v>
      </c>
      <c r="H15" s="4">
        <v>96.9</v>
      </c>
      <c r="I15" s="4">
        <v>88</v>
      </c>
      <c r="J15" s="4">
        <v>91.7</v>
      </c>
      <c r="K15" s="4">
        <v>101.5</v>
      </c>
      <c r="L15" s="4">
        <v>100.1</v>
      </c>
      <c r="M15" s="4">
        <v>93.2</v>
      </c>
      <c r="O15" s="4">
        <v>2007</v>
      </c>
      <c r="P15" s="2"/>
    </row>
    <row r="16" spans="1:16" x14ac:dyDescent="0.3">
      <c r="A16" s="4">
        <v>2015</v>
      </c>
      <c r="B16" s="4">
        <v>88.2</v>
      </c>
      <c r="C16" s="4">
        <v>91.2</v>
      </c>
      <c r="D16" s="4">
        <v>97.7</v>
      </c>
      <c r="E16" s="4">
        <v>96</v>
      </c>
      <c r="F16" s="4">
        <v>98.7</v>
      </c>
      <c r="G16" s="4">
        <v>96.9</v>
      </c>
      <c r="H16" s="4">
        <v>91.7</v>
      </c>
      <c r="I16" s="4">
        <v>87.1</v>
      </c>
      <c r="J16" s="4">
        <v>90.3</v>
      </c>
      <c r="K16" s="4">
        <v>90.9</v>
      </c>
      <c r="L16" s="4">
        <v>94.6</v>
      </c>
      <c r="M16" s="4">
        <v>93.6</v>
      </c>
      <c r="O16" s="4">
        <v>2006</v>
      </c>
      <c r="P16" s="2"/>
    </row>
    <row r="17" spans="1:16" x14ac:dyDescent="0.3">
      <c r="A17" s="4">
        <v>2016</v>
      </c>
      <c r="B17" s="4">
        <v>90.2</v>
      </c>
      <c r="C17" s="4">
        <v>89.5</v>
      </c>
      <c r="D17" s="4">
        <v>93.3</v>
      </c>
      <c r="E17" s="4">
        <v>92.3</v>
      </c>
      <c r="F17" s="4">
        <v>99</v>
      </c>
      <c r="G17" s="4">
        <v>98.1</v>
      </c>
      <c r="H17" s="4">
        <v>96.1</v>
      </c>
      <c r="I17" s="4">
        <v>100.3</v>
      </c>
      <c r="J17" s="4">
        <v>102.3</v>
      </c>
      <c r="K17" s="4">
        <v>114.3</v>
      </c>
      <c r="L17" s="4">
        <v>116.7</v>
      </c>
      <c r="M17" s="4">
        <v>102.3</v>
      </c>
      <c r="O17" s="4">
        <v>2005</v>
      </c>
      <c r="P17" s="2"/>
    </row>
    <row r="18" spans="1:16" x14ac:dyDescent="0.3">
      <c r="A18" s="4">
        <v>2017</v>
      </c>
      <c r="B18" s="4">
        <v>91.7</v>
      </c>
      <c r="C18" s="4">
        <v>94.1</v>
      </c>
      <c r="D18" s="4">
        <v>97.2</v>
      </c>
      <c r="E18" s="4">
        <v>97.2</v>
      </c>
      <c r="F18" s="4">
        <v>99.7</v>
      </c>
      <c r="G18" s="4">
        <v>98.3</v>
      </c>
      <c r="H18" s="4">
        <v>92.9</v>
      </c>
      <c r="I18" s="4">
        <v>92.1</v>
      </c>
      <c r="J18" s="4">
        <v>94.5</v>
      </c>
      <c r="K18" s="4">
        <v>95.3</v>
      </c>
      <c r="L18" s="4">
        <v>98.2</v>
      </c>
      <c r="M18" s="4">
        <v>96.3</v>
      </c>
      <c r="O18" s="4">
        <v>2004</v>
      </c>
      <c r="P18" s="2"/>
    </row>
    <row r="19" spans="1:16" x14ac:dyDescent="0.3">
      <c r="A19" s="4">
        <v>2018</v>
      </c>
      <c r="B19" s="4">
        <v>89.5</v>
      </c>
      <c r="C19" s="4">
        <v>90.1</v>
      </c>
      <c r="D19" s="4">
        <v>92</v>
      </c>
      <c r="E19" s="4">
        <v>93.7</v>
      </c>
      <c r="F19" s="4">
        <v>99.8</v>
      </c>
      <c r="G19" s="4">
        <v>93.2</v>
      </c>
      <c r="H19" s="4">
        <v>91</v>
      </c>
      <c r="I19" s="4">
        <v>92.1</v>
      </c>
      <c r="J19" s="4">
        <v>97.3</v>
      </c>
      <c r="K19" s="4">
        <v>113.6</v>
      </c>
      <c r="L19" s="4">
        <v>109.6</v>
      </c>
      <c r="M19" s="4">
        <v>99.6</v>
      </c>
      <c r="O19" s="4">
        <v>2003</v>
      </c>
      <c r="P19" s="2"/>
    </row>
    <row r="20" spans="1:16" x14ac:dyDescent="0.3">
      <c r="A20" s="4">
        <v>2019</v>
      </c>
      <c r="B20" s="4">
        <v>91</v>
      </c>
      <c r="C20" s="4">
        <v>93.3</v>
      </c>
      <c r="D20" s="4">
        <v>95</v>
      </c>
      <c r="E20" s="4">
        <v>93.1</v>
      </c>
      <c r="F20" s="4">
        <v>93.8</v>
      </c>
      <c r="G20" s="4">
        <v>93.9</v>
      </c>
      <c r="H20" s="4">
        <v>90</v>
      </c>
      <c r="I20" s="4">
        <v>87.9</v>
      </c>
      <c r="J20" s="4">
        <v>88.9</v>
      </c>
      <c r="K20" s="4">
        <v>96.3</v>
      </c>
      <c r="L20" s="4">
        <v>99.6</v>
      </c>
      <c r="M20" s="4">
        <v>98.3</v>
      </c>
      <c r="O20" s="4">
        <v>2002</v>
      </c>
      <c r="P20" s="2"/>
    </row>
    <row r="21" spans="1:16" x14ac:dyDescent="0.3">
      <c r="A21" s="4">
        <v>2020</v>
      </c>
      <c r="B21" s="4">
        <v>93.2</v>
      </c>
      <c r="C21" s="4">
        <v>99</v>
      </c>
      <c r="D21" s="4">
        <v>95.1</v>
      </c>
      <c r="E21" s="4">
        <v>80.7</v>
      </c>
      <c r="F21" s="4">
        <v>79.400000000000006</v>
      </c>
      <c r="G21" s="4">
        <v>79.599999999999994</v>
      </c>
      <c r="H21" s="4">
        <v>78.3</v>
      </c>
      <c r="I21" s="4">
        <v>81.7</v>
      </c>
      <c r="J21" s="4">
        <v>89.6</v>
      </c>
      <c r="K21" s="4">
        <v>106.1</v>
      </c>
      <c r="L21" s="4">
        <v>107.8</v>
      </c>
      <c r="M21" s="4">
        <v>97.2</v>
      </c>
      <c r="O21" s="4">
        <v>2001</v>
      </c>
      <c r="P21" s="2">
        <v>0.61699999999999999</v>
      </c>
    </row>
    <row r="22" spans="1:16" x14ac:dyDescent="0.3">
      <c r="A22" s="4">
        <v>2021</v>
      </c>
      <c r="B22" s="4">
        <v>86.3</v>
      </c>
      <c r="C22" s="4">
        <v>84.7</v>
      </c>
      <c r="D22" s="4">
        <v>87.4</v>
      </c>
      <c r="E22" s="4">
        <v>88</v>
      </c>
      <c r="F22" s="4">
        <v>90.6</v>
      </c>
      <c r="G22" s="4">
        <v>91.3</v>
      </c>
      <c r="H22" s="4">
        <v>85.290999999999997</v>
      </c>
      <c r="I22" s="4">
        <v>83.067999999999998</v>
      </c>
      <c r="J22" s="4">
        <v>88.15</v>
      </c>
      <c r="K22" s="4">
        <v>89.040999999999997</v>
      </c>
      <c r="L22" s="4">
        <v>92.427000000000007</v>
      </c>
      <c r="M22" s="4">
        <v>93.456000000000003</v>
      </c>
      <c r="O22" s="4">
        <v>2000</v>
      </c>
      <c r="P22" s="2">
        <v>0.59699999999999998</v>
      </c>
    </row>
    <row r="23" spans="1:16" x14ac:dyDescent="0.3">
      <c r="A23" s="4">
        <v>2022</v>
      </c>
      <c r="B23" s="4">
        <v>89.703000000000003</v>
      </c>
      <c r="C23" s="4">
        <v>87.346999999999994</v>
      </c>
      <c r="D23" s="4">
        <v>91.298000000000002</v>
      </c>
      <c r="E23" s="4">
        <v>93.611999999999995</v>
      </c>
      <c r="F23" s="4">
        <v>98.751000000000005</v>
      </c>
      <c r="G23" s="4">
        <v>89.956999999999994</v>
      </c>
      <c r="H23" s="4">
        <v>87.655000000000001</v>
      </c>
      <c r="I23" s="4">
        <v>87.927000000000007</v>
      </c>
      <c r="J23" s="4">
        <v>92.507000000000005</v>
      </c>
      <c r="K23" s="4">
        <v>104.85</v>
      </c>
      <c r="L23" s="4">
        <v>106.705</v>
      </c>
      <c r="M23" s="4">
        <v>88.888999999999996</v>
      </c>
      <c r="O23" s="4">
        <v>1999</v>
      </c>
      <c r="P23" s="2">
        <f>P24*(P22/P27)^0.2</f>
        <v>0.58273432375209755</v>
      </c>
    </row>
    <row r="24" spans="1:16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O24" s="4">
        <v>1998</v>
      </c>
      <c r="P24" s="2">
        <f>P25*(P22/P27)^0.2</f>
        <v>0.56880953447037608</v>
      </c>
    </row>
    <row r="25" spans="1:16" x14ac:dyDescent="0.3">
      <c r="A25" s="4" t="s">
        <v>21</v>
      </c>
      <c r="B25" s="4" t="s">
        <v>152</v>
      </c>
      <c r="O25" s="4">
        <v>1997</v>
      </c>
      <c r="P25" s="2">
        <f>P26*(P22/P27)^0.2</f>
        <v>0.55521748645450608</v>
      </c>
    </row>
    <row r="26" spans="1:16" x14ac:dyDescent="0.3">
      <c r="A26" s="4" t="s">
        <v>24</v>
      </c>
      <c r="B26" s="4" t="s">
        <v>153</v>
      </c>
      <c r="O26" s="4">
        <v>1996</v>
      </c>
      <c r="P26" s="2">
        <f>P27*(P22/P27)^0.2</f>
        <v>0.54195022865059639</v>
      </c>
    </row>
    <row r="27" spans="1:16" x14ac:dyDescent="0.3">
      <c r="A27" s="4" t="s">
        <v>52</v>
      </c>
      <c r="B27" s="4" t="s">
        <v>150</v>
      </c>
      <c r="O27" s="4">
        <v>1995</v>
      </c>
      <c r="P27" s="2">
        <v>0.52900000000000003</v>
      </c>
    </row>
    <row r="28" spans="1:16" x14ac:dyDescent="0.3">
      <c r="A28" s="4" t="s">
        <v>54</v>
      </c>
      <c r="B28" s="4" t="s">
        <v>154</v>
      </c>
      <c r="O28" s="4">
        <v>1994</v>
      </c>
      <c r="P28" s="2">
        <f>P29*(P27/P32)^0.2</f>
        <v>0.50295936843909761</v>
      </c>
    </row>
    <row r="29" spans="1:16" x14ac:dyDescent="0.3">
      <c r="A29" s="4" t="s">
        <v>30</v>
      </c>
      <c r="B29" s="4">
        <v>200106</v>
      </c>
      <c r="O29" s="4">
        <v>1993</v>
      </c>
      <c r="P29" s="2">
        <f>P30*(P27/P32)^0.2</f>
        <v>0.47820061682543669</v>
      </c>
    </row>
    <row r="30" spans="1:16" x14ac:dyDescent="0.3">
      <c r="O30" s="4">
        <v>1992</v>
      </c>
      <c r="P30" s="2">
        <f>P31*(P27/P32)^0.2</f>
        <v>0.45466064314878751</v>
      </c>
    </row>
    <row r="31" spans="1:16" x14ac:dyDescent="0.3">
      <c r="A31" s="4" t="s">
        <v>31</v>
      </c>
      <c r="O31" s="4">
        <v>1991</v>
      </c>
      <c r="P31" s="2">
        <f>P32*(P27/P32)^0.2</f>
        <v>0.43227945166772808</v>
      </c>
    </row>
    <row r="32" spans="1:16" x14ac:dyDescent="0.3">
      <c r="A32" s="4" t="s">
        <v>32</v>
      </c>
      <c r="B32" s="4" t="s">
        <v>33</v>
      </c>
      <c r="C32" s="4" t="s">
        <v>34</v>
      </c>
      <c r="D32" s="4" t="s">
        <v>35</v>
      </c>
      <c r="E32" s="4" t="s">
        <v>36</v>
      </c>
      <c r="F32" s="4" t="s">
        <v>37</v>
      </c>
      <c r="G32" s="4" t="s">
        <v>38</v>
      </c>
      <c r="H32" s="4" t="s">
        <v>39</v>
      </c>
      <c r="I32" s="4" t="s">
        <v>40</v>
      </c>
      <c r="J32" s="4" t="s">
        <v>41</v>
      </c>
      <c r="K32" s="4" t="s">
        <v>42</v>
      </c>
      <c r="L32" s="4" t="s">
        <v>43</v>
      </c>
      <c r="M32" s="4" t="s">
        <v>44</v>
      </c>
      <c r="O32" s="4">
        <v>1990</v>
      </c>
      <c r="P32" s="2">
        <v>0.41099999999999998</v>
      </c>
    </row>
    <row r="33" spans="1:16" x14ac:dyDescent="0.3">
      <c r="A33" s="4">
        <v>2001</v>
      </c>
      <c r="B33" s="4">
        <f>C33*'Radio PPI''s'!C$48/'Radio PPI''s'!D$48</f>
        <v>98.368036015756914</v>
      </c>
      <c r="C33" s="4">
        <f>D33*'Radio PPI''s'!D$48/'Radio PPI''s'!E$48</f>
        <v>99.155880697805301</v>
      </c>
      <c r="D33" s="4">
        <f>E33*'Radio PPI''s'!E$48/'Radio PPI''s'!F$48</f>
        <v>99.09960607765899</v>
      </c>
      <c r="E33" s="4">
        <f>F33*'Radio PPI''s'!F$48/'Radio PPI''s'!G$48</f>
        <v>100.50647158131683</v>
      </c>
      <c r="F33" s="4">
        <f>G33*'Radio PPI''s'!G$48/'Radio PPI''s'!H$48</f>
        <v>100.11254924029264</v>
      </c>
      <c r="G33" s="4">
        <v>100</v>
      </c>
      <c r="H33" s="4">
        <v>94.4</v>
      </c>
      <c r="I33" s="4">
        <v>92.4</v>
      </c>
      <c r="J33" s="4">
        <v>95.6</v>
      </c>
      <c r="K33" s="4">
        <v>98.8</v>
      </c>
      <c r="L33" s="4">
        <v>101.8</v>
      </c>
      <c r="M33" s="4">
        <v>99.4</v>
      </c>
      <c r="O33" s="4">
        <v>1989</v>
      </c>
      <c r="P33" s="2">
        <f>P34*(P32/P37)^0.2</f>
        <v>0.42271307926850227</v>
      </c>
    </row>
    <row r="34" spans="1:16" x14ac:dyDescent="0.3">
      <c r="A34" s="4">
        <v>2002</v>
      </c>
      <c r="B34" s="4">
        <v>91.4</v>
      </c>
      <c r="C34" s="4">
        <v>89.3</v>
      </c>
      <c r="D34" s="4">
        <v>93.1</v>
      </c>
      <c r="E34" s="4">
        <v>98.7</v>
      </c>
      <c r="F34" s="4">
        <v>102.7</v>
      </c>
      <c r="G34" s="4">
        <v>99.3</v>
      </c>
      <c r="H34" s="4">
        <v>92.4</v>
      </c>
      <c r="I34" s="4">
        <v>96</v>
      </c>
      <c r="J34" s="4">
        <v>103.6</v>
      </c>
      <c r="K34" s="4">
        <v>115.1</v>
      </c>
      <c r="L34" s="4">
        <v>111.5</v>
      </c>
      <c r="M34" s="4">
        <v>106.3</v>
      </c>
      <c r="O34" s="4">
        <v>1988</v>
      </c>
      <c r="P34" s="2">
        <f>P35*(P32/P37)^0.2</f>
        <v>0.43475996930573979</v>
      </c>
    </row>
    <row r="35" spans="1:16" x14ac:dyDescent="0.3">
      <c r="A35" s="4">
        <v>2003</v>
      </c>
      <c r="B35" s="4">
        <v>96</v>
      </c>
      <c r="C35" s="4">
        <v>97.1</v>
      </c>
      <c r="D35" s="4">
        <v>98.8</v>
      </c>
      <c r="E35" s="4">
        <v>101.6</v>
      </c>
      <c r="F35" s="4">
        <v>104.7</v>
      </c>
      <c r="G35" s="4">
        <v>102.6</v>
      </c>
      <c r="H35" s="4">
        <v>96.9</v>
      </c>
      <c r="I35" s="4">
        <v>97.1</v>
      </c>
      <c r="J35" s="4">
        <v>100.6</v>
      </c>
      <c r="K35" s="4">
        <v>110</v>
      </c>
      <c r="L35" s="4">
        <v>112.4</v>
      </c>
      <c r="M35" s="4">
        <v>107.7</v>
      </c>
      <c r="O35" s="4">
        <v>1987</v>
      </c>
      <c r="P35" s="2">
        <f>P36*(P32/P37)^0.2</f>
        <v>0.44715018337690698</v>
      </c>
    </row>
    <row r="36" spans="1:16" x14ac:dyDescent="0.3">
      <c r="A36" s="4">
        <v>2004</v>
      </c>
      <c r="B36" s="4">
        <v>100</v>
      </c>
      <c r="C36" s="4">
        <v>101.8</v>
      </c>
      <c r="D36" s="4">
        <v>106.2</v>
      </c>
      <c r="E36" s="4">
        <v>109.1</v>
      </c>
      <c r="F36" s="4">
        <v>113.3</v>
      </c>
      <c r="G36" s="4">
        <v>111.1</v>
      </c>
      <c r="H36" s="4">
        <v>103.1</v>
      </c>
      <c r="I36" s="4">
        <v>111.2</v>
      </c>
      <c r="J36" s="4">
        <v>109</v>
      </c>
      <c r="K36" s="4">
        <v>118</v>
      </c>
      <c r="L36" s="4">
        <v>115.4</v>
      </c>
      <c r="M36" s="4">
        <v>107.8</v>
      </c>
      <c r="O36" s="4">
        <v>1986</v>
      </c>
      <c r="P36" s="2">
        <f>P37*(P32/P37)^0.2</f>
        <v>0.45989350586551775</v>
      </c>
    </row>
    <row r="37" spans="1:16" x14ac:dyDescent="0.3">
      <c r="A37" s="4">
        <v>2005</v>
      </c>
      <c r="B37" s="4">
        <v>104.1</v>
      </c>
      <c r="C37" s="4">
        <v>103.6</v>
      </c>
      <c r="D37" s="4">
        <v>106.8</v>
      </c>
      <c r="E37" s="4">
        <v>108.9</v>
      </c>
      <c r="F37" s="4">
        <v>108.9</v>
      </c>
      <c r="G37" s="4">
        <v>106.2</v>
      </c>
      <c r="H37" s="4">
        <v>97.6</v>
      </c>
      <c r="I37" s="4">
        <v>99.4</v>
      </c>
      <c r="J37" s="4">
        <v>108.1</v>
      </c>
      <c r="K37" s="4">
        <v>109.6</v>
      </c>
      <c r="L37" s="4">
        <v>111.5</v>
      </c>
      <c r="M37" s="4">
        <v>106.9</v>
      </c>
      <c r="O37" s="4">
        <v>1985</v>
      </c>
      <c r="P37" s="2">
        <f>(55.2*0.5+39.4*0.5)/100</f>
        <v>0.47299999999999998</v>
      </c>
    </row>
    <row r="38" spans="1:16" x14ac:dyDescent="0.3">
      <c r="A38" s="4">
        <v>2006</v>
      </c>
      <c r="B38" s="4">
        <v>99.4</v>
      </c>
      <c r="C38" s="4">
        <v>101.5</v>
      </c>
      <c r="D38" s="4">
        <v>103.6</v>
      </c>
      <c r="E38" s="4">
        <v>103.7</v>
      </c>
      <c r="F38" s="4">
        <v>106.4</v>
      </c>
      <c r="G38" s="4">
        <v>105.5</v>
      </c>
      <c r="H38" s="4">
        <v>101.1</v>
      </c>
      <c r="I38" s="4">
        <v>101</v>
      </c>
      <c r="J38" s="4">
        <v>108.4</v>
      </c>
      <c r="K38" s="4">
        <v>121.7</v>
      </c>
      <c r="L38" s="4">
        <v>115.8</v>
      </c>
      <c r="M38" s="4">
        <v>112.9</v>
      </c>
      <c r="O38" s="4">
        <v>1984</v>
      </c>
      <c r="P38" s="2"/>
    </row>
    <row r="39" spans="1:16" x14ac:dyDescent="0.3">
      <c r="A39" s="4">
        <v>2007</v>
      </c>
      <c r="B39" s="4">
        <v>104.4</v>
      </c>
      <c r="C39" s="4">
        <v>106.8</v>
      </c>
      <c r="D39" s="4">
        <v>107.2</v>
      </c>
      <c r="E39" s="4">
        <v>107.1</v>
      </c>
      <c r="F39" s="4">
        <v>109.6</v>
      </c>
      <c r="G39" s="4">
        <v>104.1</v>
      </c>
      <c r="H39" s="4">
        <v>99.8</v>
      </c>
      <c r="I39" s="4">
        <v>99.7</v>
      </c>
      <c r="J39" s="4">
        <v>104.1</v>
      </c>
      <c r="K39" s="4">
        <v>106.3</v>
      </c>
      <c r="L39" s="4">
        <v>106.9</v>
      </c>
      <c r="M39" s="4">
        <v>104</v>
      </c>
      <c r="O39" s="4">
        <v>1983</v>
      </c>
      <c r="P39" s="2"/>
    </row>
    <row r="40" spans="1:16" x14ac:dyDescent="0.3">
      <c r="A40" s="4">
        <v>2008</v>
      </c>
      <c r="B40" s="4">
        <v>103.4</v>
      </c>
      <c r="C40" s="4">
        <v>105.1</v>
      </c>
      <c r="D40" s="4">
        <v>106.7</v>
      </c>
      <c r="E40" s="4">
        <v>108.9</v>
      </c>
      <c r="F40" s="4">
        <v>110.6</v>
      </c>
      <c r="G40" s="4">
        <v>102.9</v>
      </c>
      <c r="H40" s="4">
        <f t="shared" ref="H40:M40" si="0">G40*H$9/G$9</f>
        <v>98.166600000000017</v>
      </c>
      <c r="I40" s="4">
        <f t="shared" si="0"/>
        <v>98.784000000000006</v>
      </c>
      <c r="J40" s="4">
        <f t="shared" si="0"/>
        <v>101.66520000000001</v>
      </c>
      <c r="K40" s="4">
        <f t="shared" si="0"/>
        <v>110.51460000000002</v>
      </c>
      <c r="L40" s="4">
        <f t="shared" si="0"/>
        <v>111.64650000000002</v>
      </c>
      <c r="M40" s="4">
        <f t="shared" si="0"/>
        <v>102.28260000000003</v>
      </c>
      <c r="O40" s="4">
        <v>1982</v>
      </c>
      <c r="P40" s="2"/>
    </row>
    <row r="41" spans="1:16" x14ac:dyDescent="0.3">
      <c r="O41" s="4">
        <v>1981</v>
      </c>
      <c r="P41" s="2"/>
    </row>
    <row r="42" spans="1:16" x14ac:dyDescent="0.3">
      <c r="O42" s="4">
        <v>1980</v>
      </c>
      <c r="P42" s="2"/>
    </row>
    <row r="43" spans="1:16" x14ac:dyDescent="0.3">
      <c r="O43" s="4">
        <v>1979</v>
      </c>
      <c r="P43" s="2"/>
    </row>
    <row r="44" spans="1:16" x14ac:dyDescent="0.3">
      <c r="O44" s="4">
        <v>1978</v>
      </c>
      <c r="P44" s="2"/>
    </row>
    <row r="45" spans="1:16" x14ac:dyDescent="0.3">
      <c r="A45" s="4" t="s">
        <v>21</v>
      </c>
      <c r="B45" s="4" t="s">
        <v>155</v>
      </c>
      <c r="O45" s="4">
        <v>1977</v>
      </c>
      <c r="P45" s="2"/>
    </row>
    <row r="46" spans="1:16" x14ac:dyDescent="0.3">
      <c r="A46" s="4" t="s">
        <v>24</v>
      </c>
      <c r="B46" s="4" t="s">
        <v>156</v>
      </c>
      <c r="O46" s="4">
        <v>1976</v>
      </c>
      <c r="P46" s="2"/>
    </row>
    <row r="47" spans="1:16" x14ac:dyDescent="0.3">
      <c r="A47" s="4" t="s">
        <v>52</v>
      </c>
      <c r="B47" s="4" t="s">
        <v>150</v>
      </c>
      <c r="O47" s="4">
        <v>1975</v>
      </c>
      <c r="P47" s="2"/>
    </row>
    <row r="48" spans="1:16" x14ac:dyDescent="0.3">
      <c r="A48" s="4" t="s">
        <v>54</v>
      </c>
      <c r="B48" s="4" t="s">
        <v>157</v>
      </c>
      <c r="O48" s="4">
        <v>1974</v>
      </c>
      <c r="P48" s="2"/>
    </row>
    <row r="49" spans="1:16" x14ac:dyDescent="0.3">
      <c r="A49" s="4" t="s">
        <v>30</v>
      </c>
      <c r="B49" s="4">
        <v>200106</v>
      </c>
      <c r="O49" s="4">
        <v>1973</v>
      </c>
      <c r="P49" s="2"/>
    </row>
    <row r="50" spans="1:16" x14ac:dyDescent="0.3">
      <c r="O50" s="4">
        <v>1972</v>
      </c>
      <c r="P50" s="2"/>
    </row>
    <row r="51" spans="1:16" x14ac:dyDescent="0.3">
      <c r="A51" s="4" t="s">
        <v>31</v>
      </c>
      <c r="O51" s="4">
        <v>1971</v>
      </c>
      <c r="P51" s="2"/>
    </row>
    <row r="52" spans="1:16" x14ac:dyDescent="0.3">
      <c r="A52" s="4" t="s">
        <v>32</v>
      </c>
      <c r="B52" s="4" t="s">
        <v>33</v>
      </c>
      <c r="C52" s="4" t="s">
        <v>34</v>
      </c>
      <c r="D52" s="4" t="s">
        <v>35</v>
      </c>
      <c r="E52" s="4" t="s">
        <v>36</v>
      </c>
      <c r="F52" s="4" t="s">
        <v>37</v>
      </c>
      <c r="G52" s="4" t="s">
        <v>38</v>
      </c>
      <c r="H52" s="4" t="s">
        <v>39</v>
      </c>
      <c r="I52" s="4" t="s">
        <v>40</v>
      </c>
      <c r="J52" s="4" t="s">
        <v>41</v>
      </c>
      <c r="K52" s="4" t="s">
        <v>42</v>
      </c>
      <c r="L52" s="4" t="s">
        <v>43</v>
      </c>
      <c r="M52" s="4" t="s">
        <v>44</v>
      </c>
      <c r="O52" s="4">
        <v>1970</v>
      </c>
      <c r="P52" s="2"/>
    </row>
    <row r="53" spans="1:16" x14ac:dyDescent="0.3">
      <c r="A53" s="4">
        <v>2001</v>
      </c>
      <c r="B53" s="4">
        <f>C53*'Radio PPI''s'!C$48/'Radio PPI''s'!D$48</f>
        <v>98.368036015756914</v>
      </c>
      <c r="C53" s="4">
        <f>D53*'Radio PPI''s'!D$48/'Radio PPI''s'!E$48</f>
        <v>99.155880697805301</v>
      </c>
      <c r="D53" s="4">
        <f>E53*'Radio PPI''s'!E$48/'Radio PPI''s'!F$48</f>
        <v>99.09960607765899</v>
      </c>
      <c r="E53" s="4">
        <f>F53*'Radio PPI''s'!F$48/'Radio PPI''s'!G$48</f>
        <v>100.50647158131683</v>
      </c>
      <c r="F53" s="4">
        <f>G53*'Radio PPI''s'!G$48/'Radio PPI''s'!H$48</f>
        <v>100.11254924029264</v>
      </c>
      <c r="G53" s="4">
        <v>100</v>
      </c>
      <c r="H53" s="4">
        <v>94.5</v>
      </c>
      <c r="I53" s="4">
        <v>92.6</v>
      </c>
      <c r="J53" s="4">
        <v>95.7</v>
      </c>
      <c r="K53" s="4">
        <v>98.8</v>
      </c>
      <c r="L53" s="4">
        <v>101.7</v>
      </c>
      <c r="M53" s="4">
        <v>99.3</v>
      </c>
      <c r="O53" s="4">
        <v>1969</v>
      </c>
      <c r="P53" s="2"/>
    </row>
    <row r="54" spans="1:16" x14ac:dyDescent="0.3">
      <c r="A54" s="4">
        <v>2002</v>
      </c>
      <c r="B54" s="4">
        <v>93.5</v>
      </c>
      <c r="C54" s="4">
        <v>92</v>
      </c>
      <c r="D54" s="4">
        <v>94.7</v>
      </c>
      <c r="E54" s="4">
        <v>98.6</v>
      </c>
      <c r="F54" s="4">
        <v>101.5</v>
      </c>
      <c r="G54" s="4">
        <v>99.1</v>
      </c>
      <c r="H54" s="4">
        <v>94.2</v>
      </c>
      <c r="I54" s="4">
        <v>96.8</v>
      </c>
      <c r="J54" s="4">
        <v>102.1</v>
      </c>
      <c r="K54" s="4">
        <v>110.3</v>
      </c>
      <c r="L54" s="4">
        <v>107.5</v>
      </c>
      <c r="M54" s="4">
        <v>103.9</v>
      </c>
      <c r="O54" s="4">
        <v>1968</v>
      </c>
      <c r="P54" s="2"/>
    </row>
    <row r="55" spans="1:16" x14ac:dyDescent="0.3">
      <c r="A55" s="4">
        <v>2003</v>
      </c>
      <c r="B55" s="4">
        <v>96.6</v>
      </c>
      <c r="C55" s="4">
        <v>97.3</v>
      </c>
      <c r="D55" s="4">
        <v>98.5</v>
      </c>
      <c r="E55" s="4">
        <v>100.6</v>
      </c>
      <c r="F55" s="4">
        <v>102.7</v>
      </c>
      <c r="G55" s="4">
        <v>101.3</v>
      </c>
      <c r="H55" s="4">
        <v>97.2</v>
      </c>
      <c r="I55" s="4">
        <v>97.4</v>
      </c>
      <c r="J55" s="4">
        <v>99.8</v>
      </c>
      <c r="K55" s="4">
        <v>106.5</v>
      </c>
      <c r="L55" s="4">
        <v>108.1</v>
      </c>
      <c r="M55" s="4">
        <v>104.8</v>
      </c>
      <c r="O55" s="4">
        <v>1967</v>
      </c>
      <c r="P55" s="2"/>
    </row>
    <row r="56" spans="1:16" x14ac:dyDescent="0.3">
      <c r="A56" s="4">
        <v>2004</v>
      </c>
      <c r="B56" s="4">
        <v>98.8</v>
      </c>
      <c r="C56" s="4">
        <v>100</v>
      </c>
      <c r="D56" s="4">
        <v>103.1</v>
      </c>
      <c r="E56" s="4">
        <v>105.2</v>
      </c>
      <c r="F56" s="4">
        <v>108.2</v>
      </c>
      <c r="G56" s="4">
        <v>106.6</v>
      </c>
      <c r="H56" s="4">
        <v>101</v>
      </c>
      <c r="I56" s="4">
        <v>106.7</v>
      </c>
      <c r="J56" s="4">
        <v>105.2</v>
      </c>
      <c r="K56" s="4">
        <v>111.5</v>
      </c>
      <c r="L56" s="4">
        <v>109.6</v>
      </c>
      <c r="M56" s="4">
        <v>104.3</v>
      </c>
      <c r="O56" s="4">
        <v>1966</v>
      </c>
      <c r="P56" s="2"/>
    </row>
    <row r="57" spans="1:16" x14ac:dyDescent="0.3">
      <c r="A57" s="4">
        <v>2005</v>
      </c>
      <c r="B57" s="4">
        <v>101.1</v>
      </c>
      <c r="C57" s="4">
        <v>100.8</v>
      </c>
      <c r="D57" s="4">
        <v>103</v>
      </c>
      <c r="E57" s="4">
        <v>104.5</v>
      </c>
      <c r="F57" s="4">
        <v>104.5</v>
      </c>
      <c r="G57" s="4">
        <v>102.6</v>
      </c>
      <c r="H57" s="4">
        <v>96.5</v>
      </c>
      <c r="I57" s="4">
        <v>97.7</v>
      </c>
      <c r="J57" s="4">
        <v>103.9</v>
      </c>
      <c r="K57" s="4">
        <v>105</v>
      </c>
      <c r="L57" s="4">
        <v>106.3</v>
      </c>
      <c r="M57" s="4">
        <v>103.1</v>
      </c>
      <c r="O57" s="4">
        <v>1965</v>
      </c>
      <c r="P57" s="2"/>
    </row>
    <row r="58" spans="1:16" x14ac:dyDescent="0.3">
      <c r="A58" s="4">
        <v>2006</v>
      </c>
      <c r="B58" s="4">
        <v>97.7</v>
      </c>
      <c r="C58" s="4">
        <v>99.2</v>
      </c>
      <c r="D58" s="4">
        <v>100.7</v>
      </c>
      <c r="E58" s="4">
        <v>100.8</v>
      </c>
      <c r="F58" s="4">
        <v>102.7</v>
      </c>
      <c r="G58" s="4">
        <v>102.1</v>
      </c>
      <c r="H58" s="4">
        <v>98.9</v>
      </c>
      <c r="I58" s="4">
        <v>98.9</v>
      </c>
      <c r="J58" s="4">
        <v>104.1</v>
      </c>
      <c r="K58" s="4">
        <v>113.5</v>
      </c>
      <c r="L58" s="4">
        <v>109.4</v>
      </c>
      <c r="M58" s="4">
        <v>107.3</v>
      </c>
      <c r="O58" s="4">
        <v>1964</v>
      </c>
      <c r="P58" s="2"/>
    </row>
    <row r="59" spans="1:16" x14ac:dyDescent="0.3">
      <c r="A59" s="4">
        <v>2007</v>
      </c>
      <c r="B59" s="4">
        <v>100</v>
      </c>
      <c r="C59" s="4">
        <v>102</v>
      </c>
      <c r="D59" s="4">
        <v>102.4</v>
      </c>
      <c r="E59" s="4">
        <v>102.3</v>
      </c>
      <c r="F59" s="4">
        <v>104.4</v>
      </c>
      <c r="G59" s="4">
        <v>99.7</v>
      </c>
      <c r="H59" s="4">
        <v>95.9</v>
      </c>
      <c r="I59" s="4">
        <v>95.8</v>
      </c>
      <c r="J59" s="4">
        <v>99.6</v>
      </c>
      <c r="K59" s="4">
        <v>101.5</v>
      </c>
      <c r="L59" s="4">
        <v>102</v>
      </c>
      <c r="M59" s="4">
        <v>99.5</v>
      </c>
      <c r="O59" s="4">
        <v>1963</v>
      </c>
      <c r="P59" s="2"/>
    </row>
    <row r="60" spans="1:16" x14ac:dyDescent="0.3">
      <c r="A60" s="4">
        <v>2008</v>
      </c>
      <c r="B60" s="4">
        <v>99</v>
      </c>
      <c r="C60" s="4">
        <v>100.5</v>
      </c>
      <c r="D60" s="4">
        <v>101.9</v>
      </c>
      <c r="E60" s="4">
        <v>103.7</v>
      </c>
      <c r="F60" s="4">
        <v>105.2</v>
      </c>
      <c r="G60" s="4">
        <v>98.6</v>
      </c>
      <c r="H60" s="4">
        <f t="shared" ref="H60:M60" si="1">G60*H$9/G$9</f>
        <v>94.064400000000006</v>
      </c>
      <c r="I60" s="4">
        <f t="shared" si="1"/>
        <v>94.656000000000006</v>
      </c>
      <c r="J60" s="4">
        <f t="shared" si="1"/>
        <v>97.416800000000009</v>
      </c>
      <c r="K60" s="4">
        <f t="shared" si="1"/>
        <v>105.89640000000001</v>
      </c>
      <c r="L60" s="4">
        <f t="shared" si="1"/>
        <v>106.98100000000001</v>
      </c>
      <c r="M60" s="4">
        <f t="shared" si="1"/>
        <v>98.008400000000009</v>
      </c>
      <c r="O60" s="4">
        <v>1962</v>
      </c>
      <c r="P60" s="2"/>
    </row>
    <row r="61" spans="1:16" x14ac:dyDescent="0.3">
      <c r="O61" s="4">
        <v>1961</v>
      </c>
      <c r="P61" s="2"/>
    </row>
    <row r="62" spans="1:16" x14ac:dyDescent="0.3">
      <c r="B62" s="4" t="s">
        <v>112</v>
      </c>
      <c r="O62" s="4">
        <v>1960</v>
      </c>
      <c r="P62" s="2"/>
    </row>
    <row r="63" spans="1:16" x14ac:dyDescent="0.3">
      <c r="B63" s="4" t="s">
        <v>111</v>
      </c>
      <c r="C63" s="17">
        <v>483</v>
      </c>
      <c r="D63" s="4" t="s">
        <v>110</v>
      </c>
      <c r="E63"/>
      <c r="F63"/>
      <c r="G63"/>
      <c r="H63"/>
      <c r="I63"/>
      <c r="J63"/>
      <c r="K63"/>
      <c r="L63"/>
      <c r="M63"/>
      <c r="O63" s="4">
        <v>1959</v>
      </c>
      <c r="P63" s="2"/>
    </row>
    <row r="64" spans="1:16" x14ac:dyDescent="0.3">
      <c r="A64" s="4">
        <v>1987</v>
      </c>
      <c r="B64" s="4">
        <f>'[8]87SIC_GO_C _Price Indexes'!$D$121</f>
        <v>52.85</v>
      </c>
      <c r="E64"/>
      <c r="F64"/>
      <c r="G64"/>
      <c r="H64"/>
      <c r="I64"/>
      <c r="J64"/>
      <c r="K64"/>
      <c r="L64"/>
      <c r="M64"/>
      <c r="O64" s="4">
        <v>1958</v>
      </c>
      <c r="P64" s="2"/>
    </row>
    <row r="65" spans="1:16" x14ac:dyDescent="0.3">
      <c r="A65" s="4">
        <v>1988</v>
      </c>
      <c r="B65" s="4">
        <f>'[8]87SIC_GO_C _Price Indexes'!$E$121</f>
        <v>55.353999999999999</v>
      </c>
      <c r="E65"/>
      <c r="F65"/>
      <c r="G65"/>
      <c r="H65"/>
      <c r="I65"/>
      <c r="J65"/>
      <c r="K65"/>
      <c r="L65"/>
      <c r="M65"/>
      <c r="O65" s="4">
        <v>1957</v>
      </c>
      <c r="P65" s="2"/>
    </row>
    <row r="66" spans="1:16" x14ac:dyDescent="0.3">
      <c r="A66" s="4">
        <v>1989</v>
      </c>
      <c r="B66" s="4">
        <f>'[8]87SIC_GO_C _Price Indexes'!$F$121</f>
        <v>56.009</v>
      </c>
      <c r="E66"/>
      <c r="F66"/>
      <c r="G66"/>
      <c r="H66"/>
      <c r="I66"/>
      <c r="J66"/>
      <c r="K66"/>
      <c r="L66"/>
      <c r="M66"/>
      <c r="O66" s="4">
        <v>1956</v>
      </c>
      <c r="P66" s="2"/>
    </row>
    <row r="67" spans="1:16" x14ac:dyDescent="0.3">
      <c r="A67" s="4">
        <v>1990</v>
      </c>
      <c r="B67" s="4">
        <f>'[8]87SIC_GO_C _Price Indexes'!$G$121</f>
        <v>59.633000000000003</v>
      </c>
      <c r="E67"/>
      <c r="F67"/>
      <c r="G67"/>
      <c r="H67"/>
      <c r="I67"/>
      <c r="J67"/>
      <c r="K67"/>
      <c r="L67"/>
      <c r="M67"/>
      <c r="O67" s="4">
        <v>1955</v>
      </c>
      <c r="P67" s="2"/>
    </row>
    <row r="68" spans="1:16" x14ac:dyDescent="0.3">
      <c r="A68" s="4">
        <v>1991</v>
      </c>
      <c r="B68" s="4">
        <f>'[8]87SIC_GO_C _Price Indexes'!$H$121</f>
        <v>57.444000000000003</v>
      </c>
      <c r="E68"/>
      <c r="F68"/>
      <c r="G68"/>
      <c r="H68"/>
      <c r="I68"/>
      <c r="J68"/>
      <c r="K68"/>
      <c r="L68"/>
      <c r="M68"/>
      <c r="O68" s="4">
        <v>1954</v>
      </c>
      <c r="P68" s="2"/>
    </row>
    <row r="69" spans="1:16" x14ac:dyDescent="0.3">
      <c r="A69" s="4">
        <v>1992</v>
      </c>
      <c r="B69" s="4">
        <f>'[8]87SIC_GO_C _Price Indexes'!$I$121</f>
        <v>58.01</v>
      </c>
      <c r="E69"/>
      <c r="F69"/>
      <c r="G69"/>
      <c r="H69"/>
      <c r="I69"/>
      <c r="J69"/>
      <c r="K69"/>
      <c r="L69"/>
      <c r="M69"/>
      <c r="O69" s="4">
        <v>1953</v>
      </c>
      <c r="P69" s="2"/>
    </row>
    <row r="70" spans="1:16" x14ac:dyDescent="0.3">
      <c r="A70" s="4">
        <v>1993</v>
      </c>
      <c r="B70" s="4">
        <f>'[8]87SIC_GO_C _Price Indexes'!$J$121</f>
        <v>60.171999999999997</v>
      </c>
      <c r="E70"/>
      <c r="F70"/>
      <c r="G70"/>
      <c r="H70"/>
      <c r="I70"/>
      <c r="J70"/>
      <c r="K70"/>
      <c r="L70"/>
      <c r="M70"/>
      <c r="O70" s="4">
        <v>1952</v>
      </c>
      <c r="P70" s="2"/>
    </row>
    <row r="71" spans="1:16" x14ac:dyDescent="0.3">
      <c r="A71" s="4">
        <v>1994</v>
      </c>
      <c r="B71" s="4">
        <f>'[8]87SIC_GO_C _Price Indexes'!$K$121</f>
        <v>63.753999999999998</v>
      </c>
      <c r="E71"/>
      <c r="F71"/>
      <c r="G71"/>
      <c r="H71"/>
      <c r="I71"/>
      <c r="J71"/>
      <c r="K71"/>
      <c r="L71"/>
      <c r="M71"/>
      <c r="O71" s="4">
        <v>1951</v>
      </c>
      <c r="P71" s="2"/>
    </row>
    <row r="72" spans="1:16" x14ac:dyDescent="0.3">
      <c r="A72" s="4">
        <v>1995</v>
      </c>
      <c r="B72" s="4">
        <f>'[8]87SIC_GO_C _Price Indexes'!$L$121</f>
        <v>67.686000000000007</v>
      </c>
      <c r="E72"/>
      <c r="F72"/>
      <c r="G72"/>
      <c r="H72"/>
      <c r="I72"/>
      <c r="J72"/>
      <c r="K72"/>
      <c r="L72"/>
      <c r="M72"/>
      <c r="O72" s="4">
        <v>1950</v>
      </c>
      <c r="P72" s="2"/>
    </row>
    <row r="73" spans="1:16" x14ac:dyDescent="0.3">
      <c r="A73" s="4">
        <v>1996</v>
      </c>
      <c r="B73" s="4">
        <f>'[8]87SIC_GO_C _Price Indexes'!$M$121</f>
        <v>73.899000000000001</v>
      </c>
      <c r="E73"/>
      <c r="F73"/>
      <c r="G73"/>
      <c r="H73"/>
      <c r="I73"/>
      <c r="J73"/>
      <c r="K73"/>
      <c r="L73"/>
      <c r="M73"/>
      <c r="O73" s="4">
        <v>1949</v>
      </c>
      <c r="P73" s="2"/>
    </row>
    <row r="74" spans="1:16" x14ac:dyDescent="0.3">
      <c r="A74" s="4">
        <v>1997</v>
      </c>
      <c r="B74" s="4">
        <f>'[8]87SIC_GO_C _Price Indexes'!$N$121</f>
        <v>79.378</v>
      </c>
      <c r="E74"/>
      <c r="F74"/>
      <c r="G74"/>
      <c r="H74"/>
      <c r="I74"/>
      <c r="J74"/>
      <c r="K74"/>
      <c r="L74"/>
      <c r="M74"/>
      <c r="O74" s="4">
        <v>1948</v>
      </c>
      <c r="P74" s="2"/>
    </row>
    <row r="75" spans="1:16" x14ac:dyDescent="0.3">
      <c r="E75"/>
      <c r="F75"/>
      <c r="G75"/>
      <c r="H75"/>
      <c r="I75"/>
      <c r="J75"/>
      <c r="K75"/>
      <c r="L75"/>
      <c r="M75"/>
      <c r="O75" s="4">
        <v>1947</v>
      </c>
      <c r="P75" s="2"/>
    </row>
    <row r="76" spans="1:16" x14ac:dyDescent="0.3">
      <c r="B76" s="4" t="s">
        <v>112</v>
      </c>
      <c r="E76"/>
      <c r="F76"/>
      <c r="G76"/>
      <c r="H76"/>
      <c r="I76"/>
      <c r="J76"/>
      <c r="K76"/>
      <c r="L76"/>
      <c r="M76"/>
      <c r="O76" s="4">
        <v>1946</v>
      </c>
      <c r="P76" s="2"/>
    </row>
    <row r="77" spans="1:16" x14ac:dyDescent="0.3">
      <c r="B77" s="4" t="s">
        <v>113</v>
      </c>
      <c r="C77" s="17">
        <v>483</v>
      </c>
      <c r="D77" s="4" t="s">
        <v>110</v>
      </c>
      <c r="E77"/>
      <c r="F77"/>
      <c r="G77"/>
      <c r="H77"/>
      <c r="I77"/>
      <c r="J77"/>
      <c r="K77"/>
      <c r="L77"/>
      <c r="M77"/>
      <c r="O77" s="4">
        <v>1945</v>
      </c>
      <c r="P77" s="2"/>
    </row>
    <row r="78" spans="1:16" x14ac:dyDescent="0.3">
      <c r="A78" s="4">
        <v>1977</v>
      </c>
      <c r="B78" s="4">
        <f>'[8]72SIC_GO_C_Price Indexes'!$D$106</f>
        <v>45.021000000000001</v>
      </c>
      <c r="E78"/>
      <c r="F78"/>
      <c r="G78"/>
      <c r="H78"/>
      <c r="I78"/>
      <c r="J78"/>
      <c r="K78"/>
      <c r="L78"/>
      <c r="M78"/>
      <c r="O78" s="4">
        <v>1944</v>
      </c>
      <c r="P78" s="2"/>
    </row>
    <row r="79" spans="1:16" x14ac:dyDescent="0.3">
      <c r="A79" s="4">
        <v>1978</v>
      </c>
      <c r="B79" s="4">
        <f>'[8]72SIC_GO_C_Price Indexes'!$E$106</f>
        <v>49.482999999999997</v>
      </c>
      <c r="E79"/>
      <c r="F79"/>
      <c r="G79"/>
      <c r="H79"/>
      <c r="I79"/>
      <c r="J79"/>
      <c r="K79"/>
      <c r="L79"/>
      <c r="M79"/>
      <c r="O79" s="4">
        <v>1943</v>
      </c>
      <c r="P79" s="2"/>
    </row>
    <row r="80" spans="1:16" x14ac:dyDescent="0.3">
      <c r="A80" s="4">
        <v>1979</v>
      </c>
      <c r="B80" s="4">
        <f>'[8]72SIC_GO_C_Price Indexes'!$F$106</f>
        <v>54.106000000000002</v>
      </c>
      <c r="E80"/>
      <c r="F80"/>
      <c r="G80"/>
      <c r="H80"/>
      <c r="I80"/>
      <c r="J80"/>
      <c r="K80"/>
      <c r="L80"/>
      <c r="M80"/>
      <c r="O80" s="4">
        <v>1942</v>
      </c>
      <c r="P80" s="2"/>
    </row>
    <row r="81" spans="1:16" x14ac:dyDescent="0.3">
      <c r="A81" s="4">
        <v>1980</v>
      </c>
      <c r="B81" s="4">
        <f>'[8]72SIC_GO_C_Price Indexes'!$G$106</f>
        <v>59.003</v>
      </c>
      <c r="E81"/>
      <c r="F81"/>
      <c r="G81"/>
      <c r="H81"/>
      <c r="I81"/>
      <c r="J81"/>
      <c r="K81"/>
      <c r="L81"/>
      <c r="M81"/>
      <c r="O81" s="4">
        <v>1941</v>
      </c>
      <c r="P81" s="2"/>
    </row>
    <row r="82" spans="1:16" x14ac:dyDescent="0.3">
      <c r="A82" s="4">
        <v>1981</v>
      </c>
      <c r="B82" s="4">
        <f>'[8]72SIC_GO_C_Price Indexes'!$H$106</f>
        <v>65.631</v>
      </c>
      <c r="E82"/>
      <c r="F82"/>
      <c r="G82"/>
      <c r="H82"/>
      <c r="I82"/>
      <c r="J82"/>
      <c r="K82"/>
      <c r="L82"/>
      <c r="M82"/>
      <c r="O82" s="4">
        <v>1940</v>
      </c>
      <c r="P82" s="2"/>
    </row>
    <row r="83" spans="1:16" x14ac:dyDescent="0.3">
      <c r="A83" s="4">
        <v>1982</v>
      </c>
      <c r="B83" s="4">
        <f>'[8]72SIC_GO_C_Price Indexes'!$I$106</f>
        <v>72.236000000000004</v>
      </c>
      <c r="E83"/>
      <c r="F83"/>
      <c r="G83"/>
      <c r="H83"/>
      <c r="I83"/>
      <c r="J83"/>
      <c r="K83"/>
      <c r="L83"/>
      <c r="M83"/>
      <c r="O83" s="4">
        <v>1939</v>
      </c>
      <c r="P83" s="2"/>
    </row>
    <row r="84" spans="1:16" x14ac:dyDescent="0.3">
      <c r="A84" s="4">
        <v>1983</v>
      </c>
      <c r="B84" s="4">
        <f>'[8]72SIC_GO_C_Price Indexes'!$J$106</f>
        <v>77.88</v>
      </c>
      <c r="E84"/>
      <c r="F84"/>
      <c r="G84"/>
      <c r="H84"/>
      <c r="I84"/>
      <c r="J84"/>
      <c r="K84"/>
      <c r="L84"/>
      <c r="M84"/>
      <c r="O84" s="4">
        <v>1938</v>
      </c>
      <c r="P84" s="2"/>
    </row>
    <row r="85" spans="1:16" x14ac:dyDescent="0.3">
      <c r="A85" s="4">
        <v>1984</v>
      </c>
      <c r="B85" s="4">
        <f>'[8]72SIC_GO_C_Price Indexes'!$K$106</f>
        <v>86.271000000000001</v>
      </c>
      <c r="E85"/>
      <c r="F85"/>
      <c r="G85"/>
      <c r="H85"/>
      <c r="I85"/>
      <c r="J85"/>
      <c r="K85"/>
      <c r="L85"/>
      <c r="M85"/>
      <c r="O85" s="4">
        <v>1937</v>
      </c>
      <c r="P85" s="2"/>
    </row>
    <row r="86" spans="1:16" x14ac:dyDescent="0.3">
      <c r="A86" s="4">
        <v>1985</v>
      </c>
      <c r="B86" s="4">
        <f>'[8]72SIC_GO_C_Price Indexes'!$L$106</f>
        <v>92.524000000000001</v>
      </c>
      <c r="E86"/>
      <c r="F86"/>
      <c r="G86"/>
      <c r="H86"/>
      <c r="I86"/>
      <c r="J86"/>
      <c r="K86"/>
      <c r="L86"/>
      <c r="M86"/>
      <c r="O86" s="4">
        <v>1936</v>
      </c>
      <c r="P86" s="2"/>
    </row>
    <row r="87" spans="1:16" x14ac:dyDescent="0.3">
      <c r="A87" s="4">
        <v>1986</v>
      </c>
      <c r="B87" s="4">
        <f>'[8]72SIC_GO_C_Price Indexes'!$M$106</f>
        <v>96.956000000000003</v>
      </c>
      <c r="E87"/>
      <c r="F87"/>
      <c r="G87"/>
      <c r="H87"/>
      <c r="I87"/>
      <c r="J87"/>
      <c r="K87"/>
      <c r="L87"/>
      <c r="M87"/>
      <c r="O87" s="4">
        <v>1935</v>
      </c>
      <c r="P87" s="2"/>
    </row>
    <row r="88" spans="1:16" x14ac:dyDescent="0.3">
      <c r="A88" s="4">
        <v>1987</v>
      </c>
      <c r="B88" s="4">
        <f>'[8]72SIC_GO_C_Price Indexes'!$N$106</f>
        <v>100</v>
      </c>
      <c r="E88"/>
      <c r="F88"/>
      <c r="G88"/>
      <c r="H88"/>
      <c r="I88"/>
      <c r="J88"/>
      <c r="K88"/>
      <c r="L88"/>
      <c r="M88"/>
      <c r="O88" s="4">
        <v>1934</v>
      </c>
      <c r="P88" s="2"/>
    </row>
    <row r="89" spans="1:16" x14ac:dyDescent="0.3">
      <c r="O89" s="4">
        <v>1933</v>
      </c>
      <c r="P89" s="2"/>
    </row>
    <row r="90" spans="1:16" x14ac:dyDescent="0.3">
      <c r="O90" s="4">
        <v>1932</v>
      </c>
      <c r="P90" s="2"/>
    </row>
    <row r="91" spans="1:16" x14ac:dyDescent="0.3">
      <c r="O91" s="4">
        <v>1931</v>
      </c>
      <c r="P91" s="2"/>
    </row>
    <row r="92" spans="1:16" x14ac:dyDescent="0.3">
      <c r="O92" s="4">
        <v>1930</v>
      </c>
      <c r="P92" s="2"/>
    </row>
    <row r="93" spans="1:16" x14ac:dyDescent="0.3">
      <c r="O93" s="4">
        <v>1929</v>
      </c>
      <c r="P93" s="2"/>
    </row>
    <row r="94" spans="1:16" x14ac:dyDescent="0.3">
      <c r="O94" s="4">
        <v>1928</v>
      </c>
      <c r="P94" s="2"/>
    </row>
    <row r="95" spans="1:16" x14ac:dyDescent="0.3">
      <c r="O95" s="4">
        <v>1927</v>
      </c>
      <c r="P95" s="2"/>
    </row>
    <row r="96" spans="1:16" x14ac:dyDescent="0.3">
      <c r="O96" s="4">
        <v>1926</v>
      </c>
      <c r="P96" s="2"/>
    </row>
    <row r="97" spans="15:16" x14ac:dyDescent="0.3">
      <c r="O97" s="4">
        <v>1925</v>
      </c>
      <c r="P97" s="2"/>
    </row>
    <row r="98" spans="15:16" x14ac:dyDescent="0.3">
      <c r="O98" s="4">
        <v>1924</v>
      </c>
      <c r="P98" s="2"/>
    </row>
    <row r="99" spans="15:16" x14ac:dyDescent="0.3">
      <c r="O99" s="4">
        <v>1923</v>
      </c>
      <c r="P99" s="2"/>
    </row>
    <row r="100" spans="15:16" x14ac:dyDescent="0.3">
      <c r="O100" s="4">
        <v>1922</v>
      </c>
      <c r="P100" s="2"/>
    </row>
    <row r="101" spans="15:16" x14ac:dyDescent="0.3">
      <c r="O101" s="4">
        <v>1921</v>
      </c>
      <c r="P101" s="2"/>
    </row>
    <row r="102" spans="15:16" x14ac:dyDescent="0.3">
      <c r="O102" s="4">
        <v>1920</v>
      </c>
      <c r="P102" s="2"/>
    </row>
    <row r="103" spans="15:16" x14ac:dyDescent="0.3">
      <c r="O103" s="4">
        <v>1919</v>
      </c>
      <c r="P103" s="2"/>
    </row>
    <row r="104" spans="15:16" x14ac:dyDescent="0.3">
      <c r="O104" s="4">
        <v>1918</v>
      </c>
      <c r="P104" s="2"/>
    </row>
    <row r="105" spans="15:16" x14ac:dyDescent="0.3">
      <c r="O105" s="4">
        <v>1917</v>
      </c>
      <c r="P105" s="2"/>
    </row>
    <row r="106" spans="15:16" x14ac:dyDescent="0.3">
      <c r="O106" s="4">
        <v>1916</v>
      </c>
      <c r="P106" s="2"/>
    </row>
    <row r="107" spans="15:16" x14ac:dyDescent="0.3">
      <c r="O107" s="4">
        <v>1915</v>
      </c>
      <c r="P107" s="2"/>
    </row>
    <row r="108" spans="15:16" x14ac:dyDescent="0.3">
      <c r="O108" s="4">
        <v>1914</v>
      </c>
      <c r="P108" s="2"/>
    </row>
    <row r="109" spans="15:16" x14ac:dyDescent="0.3">
      <c r="O109" s="4">
        <v>1913</v>
      </c>
      <c r="P109" s="2"/>
    </row>
    <row r="110" spans="15:16" x14ac:dyDescent="0.3">
      <c r="O110" s="4">
        <v>1912</v>
      </c>
      <c r="P110" s="2"/>
    </row>
    <row r="111" spans="15:16" x14ac:dyDescent="0.3">
      <c r="O111" s="4">
        <v>1911</v>
      </c>
      <c r="P111" s="2"/>
    </row>
    <row r="112" spans="15:16" x14ac:dyDescent="0.3">
      <c r="O112" s="4">
        <v>1910</v>
      </c>
      <c r="P112" s="2"/>
    </row>
    <row r="113" spans="15:16" x14ac:dyDescent="0.3">
      <c r="O113" s="4">
        <v>1909</v>
      </c>
      <c r="P113" s="2"/>
    </row>
    <row r="114" spans="15:16" x14ac:dyDescent="0.3">
      <c r="O114" s="4">
        <v>1908</v>
      </c>
      <c r="P114" s="2"/>
    </row>
    <row r="115" spans="15:16" x14ac:dyDescent="0.3">
      <c r="O115" s="4">
        <v>1907</v>
      </c>
      <c r="P115" s="2"/>
    </row>
    <row r="116" spans="15:16" x14ac:dyDescent="0.3">
      <c r="O116" s="4">
        <v>1906</v>
      </c>
      <c r="P116" s="2"/>
    </row>
    <row r="117" spans="15:16" x14ac:dyDescent="0.3">
      <c r="O117" s="4">
        <v>1905</v>
      </c>
      <c r="P117" s="2"/>
    </row>
    <row r="118" spans="15:16" x14ac:dyDescent="0.3">
      <c r="O118" s="4">
        <v>1904</v>
      </c>
      <c r="P118" s="2"/>
    </row>
    <row r="119" spans="15:16" x14ac:dyDescent="0.3">
      <c r="O119" s="4">
        <v>1903</v>
      </c>
      <c r="P119" s="2"/>
    </row>
    <row r="120" spans="15:16" x14ac:dyDescent="0.3">
      <c r="O120" s="4">
        <v>1902</v>
      </c>
      <c r="P120" s="2"/>
    </row>
    <row r="121" spans="15:16" x14ac:dyDescent="0.3">
      <c r="O121" s="4">
        <v>1901</v>
      </c>
      <c r="P121" s="2"/>
    </row>
    <row r="122" spans="15:16" x14ac:dyDescent="0.3">
      <c r="O122" s="4">
        <v>1900</v>
      </c>
      <c r="P122" s="2"/>
    </row>
    <row r="123" spans="15:16" x14ac:dyDescent="0.3">
      <c r="P123" s="3"/>
    </row>
    <row r="124" spans="15:16" x14ac:dyDescent="0.3">
      <c r="P124" s="3"/>
    </row>
    <row r="125" spans="15:16" x14ac:dyDescent="0.3">
      <c r="P125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1BF0-47A5-490D-9178-AE6B6D0E9332}">
  <sheetPr codeName="Sheet2"/>
  <dimension ref="A1:P125"/>
  <sheetViews>
    <sheetView workbookViewId="0">
      <selection activeCell="C1" sqref="C1:I1048576"/>
    </sheetView>
  </sheetViews>
  <sheetFormatPr defaultRowHeight="14.4" x14ac:dyDescent="0.3"/>
  <cols>
    <col min="1" max="4" width="8.88671875" style="4"/>
    <col min="6" max="9" width="8.88671875" style="4"/>
    <col min="16" max="16" width="8.88671875" style="4"/>
  </cols>
  <sheetData>
    <row r="1" spans="1:16" x14ac:dyDescent="0.3">
      <c r="B1" s="4" t="s">
        <v>194</v>
      </c>
      <c r="C1" s="4" t="s">
        <v>254</v>
      </c>
      <c r="D1" s="4" t="s">
        <v>255</v>
      </c>
      <c r="F1" s="4" t="s">
        <v>286</v>
      </c>
      <c r="G1" s="4" t="s">
        <v>219</v>
      </c>
      <c r="H1" s="4" t="s">
        <v>287</v>
      </c>
      <c r="I1" s="4" t="s">
        <v>285</v>
      </c>
    </row>
    <row r="2" spans="1:16" x14ac:dyDescent="0.3">
      <c r="A2" s="4">
        <v>2020</v>
      </c>
      <c r="B2" s="4">
        <f>B3*C2*G2*H2/(C3*G3*H3)</f>
        <v>55.741962252579718</v>
      </c>
      <c r="C2" s="4">
        <v>331.44928099999998</v>
      </c>
      <c r="D2" s="4">
        <v>18.402334630350193</v>
      </c>
      <c r="G2" s="4">
        <v>214</v>
      </c>
      <c r="H2" s="5">
        <v>21.961319369425041</v>
      </c>
      <c r="I2" s="2">
        <v>0.51467417670722737</v>
      </c>
    </row>
    <row r="3" spans="1:16" x14ac:dyDescent="0.3">
      <c r="A3" s="4">
        <v>2019</v>
      </c>
      <c r="B3" s="4">
        <f>B4*C3*G3*H3/(C4*G4*H4)</f>
        <v>61.359504838131393</v>
      </c>
      <c r="C3" s="4">
        <v>329.10572873903209</v>
      </c>
      <c r="D3" s="4">
        <v>18.554737751424618</v>
      </c>
      <c r="G3" s="4">
        <v>207</v>
      </c>
      <c r="H3" s="5">
        <v>25.169992612638964</v>
      </c>
      <c r="I3" s="2">
        <v>0.50299900950879706</v>
      </c>
    </row>
    <row r="4" spans="1:16" x14ac:dyDescent="0.3">
      <c r="A4" s="4">
        <v>2018</v>
      </c>
      <c r="B4" s="4">
        <f>B5*C4*G4*H4/(C5*G5*H5)</f>
        <v>71.448916892681765</v>
      </c>
      <c r="C4" s="4">
        <v>326.77874684799622</v>
      </c>
      <c r="D4" s="4">
        <v>18.708403033620428</v>
      </c>
      <c r="G4" s="4">
        <v>222</v>
      </c>
      <c r="H4" s="5">
        <v>27.523008331039861</v>
      </c>
      <c r="I4" s="2">
        <v>0.48184010389085741</v>
      </c>
      <c r="P4" s="1"/>
    </row>
    <row r="5" spans="1:16" x14ac:dyDescent="0.3">
      <c r="A5" s="4">
        <v>2017</v>
      </c>
      <c r="B5" s="4">
        <f t="shared" ref="B5:B33" si="0">F5*H5*100/(F$10*H$10)</f>
        <v>77.33665766995145</v>
      </c>
      <c r="C5" s="4">
        <v>324.46821816408612</v>
      </c>
      <c r="D5" s="4">
        <v>18.863340929812118</v>
      </c>
      <c r="F5" s="5">
        <v>98.867716408679826</v>
      </c>
      <c r="G5" s="5">
        <v>228.9375</v>
      </c>
      <c r="H5" s="5">
        <v>29.093992890829142</v>
      </c>
      <c r="I5" s="2">
        <v>0.44968492572951158</v>
      </c>
    </row>
    <row r="6" spans="1:16" x14ac:dyDescent="0.3">
      <c r="A6" s="4">
        <v>2016</v>
      </c>
      <c r="B6" s="4">
        <f t="shared" si="0"/>
        <v>82.293620809666294</v>
      </c>
      <c r="C6" s="4">
        <v>322.17402635290921</v>
      </c>
      <c r="D6" s="4">
        <v>19.019561979442035</v>
      </c>
      <c r="F6" s="5">
        <v>99.925996221260249</v>
      </c>
      <c r="G6" s="5"/>
      <c r="H6" s="5">
        <v>30.630925368291813</v>
      </c>
      <c r="I6" s="2">
        <v>0.46834842880209027</v>
      </c>
    </row>
    <row r="7" spans="1:16" x14ac:dyDescent="0.3">
      <c r="A7" s="4">
        <v>2015</v>
      </c>
      <c r="B7" s="4">
        <f t="shared" si="0"/>
        <v>85.929147192976842</v>
      </c>
      <c r="C7" s="4">
        <v>319.89605590262937</v>
      </c>
      <c r="D7" s="4">
        <v>19.177076809237313</v>
      </c>
      <c r="F7" s="5">
        <v>99.458245715034451</v>
      </c>
      <c r="G7" s="5"/>
      <c r="H7" s="5">
        <v>32.134543863814386</v>
      </c>
      <c r="I7" s="2">
        <v>0.45501474449760904</v>
      </c>
    </row>
    <row r="8" spans="1:16" x14ac:dyDescent="0.3">
      <c r="A8" s="4">
        <v>2014</v>
      </c>
      <c r="B8" s="4">
        <f t="shared" si="0"/>
        <v>92.300032730268541</v>
      </c>
      <c r="C8" s="4">
        <v>317.63419211815091</v>
      </c>
      <c r="D8" s="4">
        <v>19.335896133932749</v>
      </c>
      <c r="F8" s="5">
        <v>102.15579677933016</v>
      </c>
      <c r="G8" s="5"/>
      <c r="H8" s="5">
        <v>33.60557047899141</v>
      </c>
      <c r="I8" s="2">
        <v>0.47986415645274949</v>
      </c>
    </row>
    <row r="9" spans="1:16" x14ac:dyDescent="0.3">
      <c r="A9" s="4">
        <v>2013</v>
      </c>
      <c r="B9" s="4">
        <f t="shared" si="0"/>
        <v>97.050074439996678</v>
      </c>
      <c r="C9" s="4">
        <v>315.38832111534367</v>
      </c>
      <c r="D9" s="4">
        <v>19.496030756999655</v>
      </c>
      <c r="F9" s="5">
        <v>103.0020372212653</v>
      </c>
      <c r="G9" s="5"/>
      <c r="H9" s="5">
        <v>35.04471166340943</v>
      </c>
      <c r="I9" s="2">
        <v>0.4730676366758354</v>
      </c>
    </row>
    <row r="10" spans="1:16" x14ac:dyDescent="0.3">
      <c r="A10" s="4">
        <v>2012</v>
      </c>
      <c r="B10" s="4">
        <f t="shared" si="0"/>
        <v>100</v>
      </c>
      <c r="C10" s="4">
        <v>313.158329815309</v>
      </c>
      <c r="D10" s="4">
        <v>19.657491571380746</v>
      </c>
      <c r="F10" s="5">
        <v>100.00000000000001</v>
      </c>
      <c r="G10" s="5"/>
      <c r="H10" s="5">
        <v>37.193961117410261</v>
      </c>
      <c r="I10" s="2">
        <v>0.46618230802014271</v>
      </c>
    </row>
    <row r="11" spans="1:16" x14ac:dyDescent="0.3">
      <c r="A11" s="4">
        <v>2011</v>
      </c>
      <c r="B11" s="4">
        <f t="shared" si="0"/>
        <v>103.63039229720853</v>
      </c>
      <c r="C11" s="4">
        <v>310.94410593868639</v>
      </c>
      <c r="D11" s="4">
        <v>19.820289560231117</v>
      </c>
      <c r="F11" s="5">
        <v>98.146653296379156</v>
      </c>
      <c r="G11" s="5"/>
      <c r="H11" s="5">
        <v>39.272095911868902</v>
      </c>
      <c r="I11" s="2">
        <v>0.45920701003632247</v>
      </c>
    </row>
    <row r="12" spans="1:16" x14ac:dyDescent="0.3">
      <c r="A12" s="4">
        <v>2010</v>
      </c>
      <c r="B12" s="4">
        <f t="shared" si="0"/>
        <v>105.72123952303332</v>
      </c>
      <c r="C12" s="4">
        <v>308.74553800000001</v>
      </c>
      <c r="D12" s="4">
        <v>19.984435797665366</v>
      </c>
      <c r="F12" s="5">
        <v>95.253191274163981</v>
      </c>
      <c r="G12" s="5"/>
      <c r="H12" s="5">
        <v>41.28146909835521</v>
      </c>
      <c r="I12" s="2">
        <v>0.47607157540236544</v>
      </c>
    </row>
    <row r="13" spans="1:16" x14ac:dyDescent="0.3">
      <c r="A13" s="4">
        <v>2009</v>
      </c>
      <c r="B13" s="4">
        <f t="shared" si="0"/>
        <v>105.13383466773563</v>
      </c>
      <c r="C13" s="4">
        <v>305.89784037524367</v>
      </c>
      <c r="D13" s="4">
        <v>20.121672673259901</v>
      </c>
      <c r="F13" s="5">
        <v>90.466212393891752</v>
      </c>
      <c r="G13" s="5"/>
      <c r="H13" s="5">
        <v>43.224355870347274</v>
      </c>
      <c r="I13" s="2">
        <v>0.46694483631511563</v>
      </c>
    </row>
    <row r="14" spans="1:16" x14ac:dyDescent="0.3">
      <c r="A14" s="4">
        <v>2008</v>
      </c>
      <c r="B14" s="4">
        <f t="shared" si="0"/>
        <v>109.23586242071903</v>
      </c>
      <c r="C14" s="4">
        <v>303.07640833416031</v>
      </c>
      <c r="D14" s="4">
        <v>20.259851980265246</v>
      </c>
      <c r="F14" s="5">
        <v>90.080889752431602</v>
      </c>
      <c r="G14" s="5"/>
      <c r="H14" s="5">
        <v>45.102956139410566</v>
      </c>
      <c r="I14" s="2">
        <v>0.50603593687144777</v>
      </c>
    </row>
    <row r="15" spans="1:16" x14ac:dyDescent="0.3">
      <c r="A15" s="4">
        <v>2007</v>
      </c>
      <c r="B15" s="4">
        <f t="shared" si="0"/>
        <v>111.2315414936393</v>
      </c>
      <c r="C15" s="4">
        <v>300.28099961757209</v>
      </c>
      <c r="D15" s="4">
        <v>20.398980190534971</v>
      </c>
      <c r="F15" s="5">
        <v>87.562582699122459</v>
      </c>
      <c r="G15" s="5"/>
      <c r="H15" s="5">
        <v>47.247825518804497</v>
      </c>
      <c r="I15" s="2">
        <v>0.53179780015980416</v>
      </c>
    </row>
    <row r="16" spans="1:16" x14ac:dyDescent="0.3">
      <c r="A16" s="4">
        <v>2006</v>
      </c>
      <c r="B16" s="4">
        <f t="shared" si="0"/>
        <v>106.02499244999562</v>
      </c>
      <c r="C16" s="4">
        <v>297.51137420076537</v>
      </c>
      <c r="D16" s="4">
        <v>20.539063820366088</v>
      </c>
      <c r="F16" s="5">
        <v>83.51106813840488</v>
      </c>
      <c r="G16" s="5"/>
      <c r="H16" s="5">
        <v>47.221159237518258</v>
      </c>
      <c r="I16" s="2">
        <v>0.54967318519465636</v>
      </c>
    </row>
    <row r="17" spans="1:9" x14ac:dyDescent="0.3">
      <c r="A17" s="4">
        <v>2005</v>
      </c>
      <c r="B17" s="4">
        <f t="shared" si="0"/>
        <v>101.31978702463695</v>
      </c>
      <c r="C17" s="4">
        <v>294.76729427288137</v>
      </c>
      <c r="D17" s="4">
        <v>20.680109430804247</v>
      </c>
      <c r="F17" s="5">
        <v>79.84304792652145</v>
      </c>
      <c r="G17" s="5"/>
      <c r="H17" s="5">
        <v>47.198651816082027</v>
      </c>
      <c r="I17" s="2">
        <v>0.55981648256448668</v>
      </c>
    </row>
    <row r="18" spans="1:9" x14ac:dyDescent="0.3">
      <c r="A18" s="4">
        <v>2004</v>
      </c>
      <c r="B18" s="4">
        <f t="shared" si="0"/>
        <v>102.48810853764894</v>
      </c>
      <c r="C18" s="4">
        <v>292.04852421649667</v>
      </c>
      <c r="D18" s="4">
        <v>20.822123627951022</v>
      </c>
      <c r="F18" s="5">
        <v>76.733317122006483</v>
      </c>
      <c r="G18" s="5"/>
      <c r="H18" s="5">
        <v>49.677752336514139</v>
      </c>
      <c r="I18" s="2">
        <v>0.57957470147823154</v>
      </c>
    </row>
    <row r="19" spans="1:9" x14ac:dyDescent="0.3">
      <c r="A19" s="4">
        <v>2003</v>
      </c>
      <c r="B19" s="4">
        <f t="shared" si="0"/>
        <v>98.59660628600642</v>
      </c>
      <c r="C19" s="4">
        <v>289.35483058739248</v>
      </c>
      <c r="D19" s="4">
        <v>20.965113063273336</v>
      </c>
      <c r="F19" s="5">
        <v>73.658033172561744</v>
      </c>
      <c r="G19" s="5"/>
      <c r="H19" s="5">
        <v>49.786807800298341</v>
      </c>
      <c r="I19" s="2">
        <v>0.59021977265797232</v>
      </c>
    </row>
    <row r="20" spans="1:9" x14ac:dyDescent="0.3">
      <c r="A20" s="4">
        <v>2002</v>
      </c>
      <c r="B20" s="4">
        <f t="shared" si="0"/>
        <v>98.298308822935141</v>
      </c>
      <c r="C20" s="4">
        <v>286.68598209450988</v>
      </c>
      <c r="D20" s="4">
        <v>21.109084433914983</v>
      </c>
      <c r="F20" s="5">
        <v>71.368450183029921</v>
      </c>
      <c r="G20" s="5"/>
      <c r="H20" s="5">
        <v>51.228567621842359</v>
      </c>
      <c r="I20" s="2">
        <v>0.61535874435192506</v>
      </c>
    </row>
    <row r="21" spans="1:9" x14ac:dyDescent="0.3">
      <c r="A21" s="4">
        <v>2001</v>
      </c>
      <c r="B21" s="4">
        <f t="shared" si="0"/>
        <v>98.33051388499598</v>
      </c>
      <c r="C21" s="4">
        <v>284.04174958009048</v>
      </c>
      <c r="D21" s="4">
        <v>21.254044483010301</v>
      </c>
      <c r="F21" s="5">
        <v>68.106169647923849</v>
      </c>
      <c r="G21" s="5"/>
      <c r="H21" s="5">
        <v>53.7</v>
      </c>
      <c r="I21" s="2">
        <v>0.60962383886650295</v>
      </c>
    </row>
    <row r="22" spans="1:9" x14ac:dyDescent="0.3">
      <c r="A22" s="4">
        <v>2000</v>
      </c>
      <c r="B22" s="4">
        <f t="shared" si="0"/>
        <v>101.91431938296461</v>
      </c>
      <c r="C22" s="4">
        <v>281.42190599999998</v>
      </c>
      <c r="D22" s="4">
        <v>21.4</v>
      </c>
      <c r="F22" s="5">
        <v>66.455070694903881</v>
      </c>
      <c r="G22" s="5"/>
      <c r="H22" s="5">
        <v>57.04</v>
      </c>
      <c r="I22" s="2">
        <v>0.64046821864863868</v>
      </c>
    </row>
    <row r="23" spans="1:9" x14ac:dyDescent="0.3">
      <c r="A23" s="4">
        <v>1999</v>
      </c>
      <c r="B23" s="4">
        <f t="shared" si="0"/>
        <v>104.37330885636797</v>
      </c>
      <c r="C23" s="4">
        <v>277.96583047179496</v>
      </c>
      <c r="D23" s="4">
        <v>21.40997903398506</v>
      </c>
      <c r="F23" s="5">
        <v>64.14404298161358</v>
      </c>
      <c r="G23" s="5"/>
      <c r="H23" s="5">
        <v>60.520924638504098</v>
      </c>
      <c r="I23" s="2">
        <v>0.65265550605790201</v>
      </c>
    </row>
    <row r="24" spans="1:9" x14ac:dyDescent="0.3">
      <c r="A24" s="4">
        <v>1998</v>
      </c>
      <c r="B24" s="4">
        <f t="shared" si="0"/>
        <v>104.87313560176214</v>
      </c>
      <c r="C24" s="4">
        <v>274.55219818557629</v>
      </c>
      <c r="D24" s="4">
        <v>21.419962721293448</v>
      </c>
      <c r="F24" s="5">
        <v>61.77683356910272</v>
      </c>
      <c r="G24" s="5"/>
      <c r="H24" s="5">
        <v>63.140939774286508</v>
      </c>
      <c r="I24" s="2">
        <v>0.67568614563910856</v>
      </c>
    </row>
    <row r="25" spans="1:9" x14ac:dyDescent="0.3">
      <c r="A25" s="4">
        <v>1997</v>
      </c>
      <c r="B25" s="4">
        <f t="shared" si="0"/>
        <v>106.63088239655934</v>
      </c>
      <c r="C25" s="4">
        <v>271.18048790597885</v>
      </c>
      <c r="D25" s="4">
        <v>21.429951064095057</v>
      </c>
      <c r="F25" s="5">
        <v>60.375300165895773</v>
      </c>
      <c r="G25" s="5"/>
      <c r="H25" s="5">
        <v>65.68952672492162</v>
      </c>
      <c r="I25" s="2">
        <v>0.69744696254519711</v>
      </c>
    </row>
    <row r="26" spans="1:9" x14ac:dyDescent="0.3">
      <c r="A26" s="4">
        <v>1996</v>
      </c>
      <c r="B26" s="4">
        <f t="shared" si="0"/>
        <v>108.13930373506007</v>
      </c>
      <c r="C26" s="4">
        <v>267.850184798805</v>
      </c>
      <c r="D26" s="4">
        <v>21.439944064560791</v>
      </c>
      <c r="F26" s="5">
        <v>59.352477961157732</v>
      </c>
      <c r="G26" s="5"/>
      <c r="H26" s="5">
        <v>67.766826197515471</v>
      </c>
      <c r="I26" s="2">
        <v>0.72655964242450854</v>
      </c>
    </row>
    <row r="27" spans="1:9" x14ac:dyDescent="0.3">
      <c r="A27" s="4">
        <v>1995</v>
      </c>
      <c r="B27" s="4">
        <f t="shared" si="0"/>
        <v>112.67041175652842</v>
      </c>
      <c r="C27" s="4">
        <v>264.56078035241347</v>
      </c>
      <c r="D27" s="4">
        <v>21.449941724862565</v>
      </c>
      <c r="F27" s="5">
        <v>59.866555913641761</v>
      </c>
      <c r="G27" s="5"/>
      <c r="H27" s="5">
        <v>70</v>
      </c>
      <c r="I27" s="2">
        <v>0.74984789734720891</v>
      </c>
    </row>
    <row r="28" spans="1:9" x14ac:dyDescent="0.3">
      <c r="A28" s="4">
        <v>1994</v>
      </c>
      <c r="B28" s="4">
        <f t="shared" si="0"/>
        <v>115.543865494651</v>
      </c>
      <c r="C28" s="4">
        <v>261.31177230007359</v>
      </c>
      <c r="D28" s="4">
        <v>21.459944047173309</v>
      </c>
      <c r="F28" s="5">
        <v>59.806593862784297</v>
      </c>
      <c r="G28" s="5"/>
      <c r="H28" s="5">
        <v>71.857194382667359</v>
      </c>
      <c r="I28" s="2">
        <v>0.76876185300415822</v>
      </c>
    </row>
    <row r="29" spans="1:9" x14ac:dyDescent="0.3">
      <c r="A29" s="4">
        <v>1993</v>
      </c>
      <c r="B29" s="4">
        <f t="shared" si="0"/>
        <v>113.01431541539181</v>
      </c>
      <c r="C29" s="4">
        <v>258.10266454327302</v>
      </c>
      <c r="D29" s="4">
        <v>21.469951033666963</v>
      </c>
      <c r="F29" s="5">
        <v>57.049701236863491</v>
      </c>
      <c r="G29" s="5"/>
      <c r="H29" s="5">
        <v>73.680491959433823</v>
      </c>
      <c r="I29" s="2">
        <v>0.78573249039381743</v>
      </c>
    </row>
    <row r="30" spans="1:9" x14ac:dyDescent="0.3">
      <c r="A30" s="4">
        <v>1992</v>
      </c>
      <c r="B30" s="4">
        <f t="shared" si="0"/>
        <v>108.49449148702028</v>
      </c>
      <c r="C30" s="4">
        <v>254.9329670759673</v>
      </c>
      <c r="D30" s="4">
        <v>21.47996268651848</v>
      </c>
      <c r="F30" s="5">
        <v>53.761861452353735</v>
      </c>
      <c r="G30" s="5"/>
      <c r="H30" s="5">
        <v>75.059527122172611</v>
      </c>
      <c r="I30" s="2">
        <v>0.81371840416375807</v>
      </c>
    </row>
    <row r="31" spans="1:9" x14ac:dyDescent="0.3">
      <c r="A31" s="4">
        <v>1991</v>
      </c>
      <c r="B31" s="4">
        <f t="shared" si="0"/>
        <v>109.44421965904715</v>
      </c>
      <c r="C31" s="4">
        <v>251.80219590975969</v>
      </c>
      <c r="D31" s="4">
        <v>21.48997900790383</v>
      </c>
      <c r="F31" s="5">
        <v>52.972613665529828</v>
      </c>
      <c r="G31" s="5"/>
      <c r="H31" s="5">
        <v>76.844689526293052</v>
      </c>
      <c r="I31" s="2">
        <v>0.82564351538201031</v>
      </c>
    </row>
    <row r="32" spans="1:9" x14ac:dyDescent="0.3">
      <c r="A32" s="4">
        <v>1990</v>
      </c>
      <c r="B32" s="4">
        <f t="shared" si="0"/>
        <v>104.21672161687711</v>
      </c>
      <c r="C32" s="4">
        <v>248.70987299999999</v>
      </c>
      <c r="D32" s="4">
        <v>21.5</v>
      </c>
      <c r="F32" s="5">
        <v>49.618954065567038</v>
      </c>
      <c r="G32" s="5"/>
      <c r="H32" s="5">
        <v>78.12</v>
      </c>
      <c r="I32" s="2">
        <v>0.85263232588717652</v>
      </c>
    </row>
    <row r="33" spans="1:9" x14ac:dyDescent="0.3">
      <c r="A33" s="4">
        <v>1989</v>
      </c>
      <c r="B33" s="4">
        <f t="shared" si="0"/>
        <v>106.20918535982715</v>
      </c>
      <c r="C33" s="4">
        <v>246.39921826135347</v>
      </c>
      <c r="D33" s="4">
        <v>21.607546577251174</v>
      </c>
      <c r="F33" s="5">
        <v>48.281938203350073</v>
      </c>
      <c r="G33" s="5"/>
      <c r="H33" s="5">
        <v>81.818179998232409</v>
      </c>
      <c r="I33" s="2">
        <v>0.86498253795891222</v>
      </c>
    </row>
    <row r="34" spans="1:9" x14ac:dyDescent="0.3">
      <c r="A34" s="4">
        <v>1988</v>
      </c>
      <c r="B34" s="4">
        <f t="shared" ref="B34:B65" si="1">F34*H34*100/(F$10*H$10)</f>
        <v>111.2221894684812</v>
      </c>
      <c r="C34" s="4">
        <v>244.11003080607924</v>
      </c>
      <c r="D34" s="4">
        <v>21.715631120375757</v>
      </c>
      <c r="F34" s="5">
        <v>48.831472923226961</v>
      </c>
      <c r="G34" s="5"/>
      <c r="H34" s="5">
        <v>84.715728255582448</v>
      </c>
      <c r="I34" s="2">
        <v>0.88770823041891245</v>
      </c>
    </row>
    <row r="35" spans="1:9" x14ac:dyDescent="0.3">
      <c r="A35" s="4">
        <v>1987</v>
      </c>
      <c r="B35" s="4">
        <f t="shared" si="1"/>
        <v>116.37440011388524</v>
      </c>
      <c r="C35" s="4">
        <v>241.84211119102935</v>
      </c>
      <c r="D35" s="4">
        <v>21.824256320368566</v>
      </c>
      <c r="F35" s="5">
        <v>49.639952024982897</v>
      </c>
      <c r="G35" s="5"/>
      <c r="H35" s="5">
        <v>87.196395973939985</v>
      </c>
      <c r="I35" s="2">
        <v>0.90784820671086641</v>
      </c>
    </row>
    <row r="36" spans="1:9" x14ac:dyDescent="0.3">
      <c r="A36" s="4">
        <v>1986</v>
      </c>
      <c r="B36" s="4">
        <f t="shared" si="1"/>
        <v>112.45979133593309</v>
      </c>
      <c r="C36" s="4">
        <v>239.59526182599475</v>
      </c>
      <c r="D36" s="4">
        <v>21.933424881685209</v>
      </c>
      <c r="F36" s="5">
        <v>46.848640194045693</v>
      </c>
      <c r="G36" s="5"/>
      <c r="H36" s="5">
        <v>89.283810349577465</v>
      </c>
      <c r="I36" s="2">
        <v>0.9276345301813208</v>
      </c>
    </row>
    <row r="37" spans="1:9" x14ac:dyDescent="0.3">
      <c r="A37" s="4">
        <v>1985</v>
      </c>
      <c r="B37" s="4">
        <f t="shared" si="1"/>
        <v>116.76703059719253</v>
      </c>
      <c r="C37" s="4">
        <v>237.3692869564907</v>
      </c>
      <c r="D37" s="4">
        <v>22.043139522309435</v>
      </c>
      <c r="F37" s="5">
        <v>47.647047677755715</v>
      </c>
      <c r="G37" s="5"/>
      <c r="H37" s="5">
        <v>91.15</v>
      </c>
      <c r="I37" s="2">
        <v>0.93526632154792144</v>
      </c>
    </row>
    <row r="38" spans="1:9" x14ac:dyDescent="0.3">
      <c r="A38" s="4">
        <v>1984</v>
      </c>
      <c r="B38" s="4">
        <f t="shared" si="1"/>
        <v>116.19770544502376</v>
      </c>
      <c r="C38" s="4">
        <v>235.16399264670181</v>
      </c>
      <c r="D38" s="4">
        <v>22.1534029738208</v>
      </c>
      <c r="F38" s="5">
        <v>46.720098882530834</v>
      </c>
      <c r="G38" s="5"/>
      <c r="H38" s="5">
        <v>92.505218131515846</v>
      </c>
      <c r="I38" s="2">
        <v>0.94517911869571503</v>
      </c>
    </row>
    <row r="39" spans="1:9" x14ac:dyDescent="0.3">
      <c r="A39" s="4">
        <v>1983</v>
      </c>
      <c r="B39" s="4">
        <f t="shared" si="1"/>
        <v>109.89224578418364</v>
      </c>
      <c r="C39" s="4">
        <v>232.97918676258561</v>
      </c>
      <c r="D39" s="4">
        <v>22.264217981462672</v>
      </c>
      <c r="F39" s="5">
        <v>44.0608146299952</v>
      </c>
      <c r="G39" s="5"/>
      <c r="H39" s="5">
        <v>92.765600253321153</v>
      </c>
      <c r="I39" s="2">
        <v>0.94708369412482407</v>
      </c>
    </row>
    <row r="40" spans="1:9" x14ac:dyDescent="0.3">
      <c r="A40" s="4">
        <v>1982</v>
      </c>
      <c r="B40" s="4">
        <f t="shared" si="1"/>
        <v>111.65103197313667</v>
      </c>
      <c r="C40" s="4">
        <v>230.81467895513305</v>
      </c>
      <c r="D40" s="4">
        <v>22.37558730421059</v>
      </c>
      <c r="F40" s="5">
        <v>43.97042862184837</v>
      </c>
      <c r="G40" s="5"/>
      <c r="H40" s="5">
        <v>94.44402231421796</v>
      </c>
      <c r="I40" s="2">
        <v>0.95936057932222163</v>
      </c>
    </row>
    <row r="41" spans="1:9" x14ac:dyDescent="0.3">
      <c r="A41" s="4">
        <v>1981</v>
      </c>
      <c r="B41" s="4">
        <f t="shared" si="1"/>
        <v>114.17278109830808</v>
      </c>
      <c r="C41" s="4">
        <v>228.67028064378454</v>
      </c>
      <c r="D41" s="4">
        <v>22.48751371484094</v>
      </c>
      <c r="F41" s="5">
        <v>44.143912365683917</v>
      </c>
      <c r="G41" s="5"/>
      <c r="H41" s="5">
        <v>96.197589956666121</v>
      </c>
      <c r="I41" s="2">
        <v>0.97218711987704753</v>
      </c>
    </row>
    <row r="42" spans="1:9" x14ac:dyDescent="0.3">
      <c r="A42" s="4">
        <v>1980</v>
      </c>
      <c r="B42" s="4">
        <f t="shared" si="1"/>
        <v>110.30433381082261</v>
      </c>
      <c r="C42" s="4">
        <v>226.545805</v>
      </c>
      <c r="D42" s="4">
        <v>22.6</v>
      </c>
      <c r="F42" s="5">
        <v>42.011347049876996</v>
      </c>
      <c r="G42" s="5"/>
      <c r="H42" s="5">
        <v>97.655880873583911</v>
      </c>
      <c r="I42" s="2">
        <v>0.98285384703019363</v>
      </c>
    </row>
    <row r="43" spans="1:9" x14ac:dyDescent="0.3">
      <c r="A43" s="4">
        <v>1979</v>
      </c>
      <c r="B43" s="4">
        <f t="shared" si="1"/>
        <v>110.24178651720173</v>
      </c>
      <c r="C43" s="4">
        <v>224.10657270735817</v>
      </c>
      <c r="D43" s="4">
        <v>23.130343439901367</v>
      </c>
      <c r="F43" s="5">
        <v>41.46318572813724</v>
      </c>
      <c r="G43" s="5"/>
      <c r="H43" s="5">
        <v>98.890826867944455</v>
      </c>
      <c r="I43" s="2">
        <v>0.99188690882732555</v>
      </c>
    </row>
    <row r="44" spans="1:9" x14ac:dyDescent="0.3">
      <c r="A44" s="4">
        <v>1978</v>
      </c>
      <c r="B44" s="4">
        <f t="shared" si="1"/>
        <v>111.29841570175032</v>
      </c>
      <c r="C44" s="4">
        <v>221.69360377535315</v>
      </c>
      <c r="D44" s="4">
        <v>23.673132196804787</v>
      </c>
      <c r="F44" s="5">
        <v>41.40194968647797</v>
      </c>
      <c r="G44" s="5"/>
      <c r="H44" s="5">
        <v>99.986328600179036</v>
      </c>
      <c r="I44" s="2">
        <v>0.99990000000000001</v>
      </c>
    </row>
    <row r="45" spans="1:9" x14ac:dyDescent="0.3">
      <c r="A45" s="4">
        <v>1977</v>
      </c>
      <c r="B45" s="4">
        <f t="shared" si="1"/>
        <v>107.26659351809973</v>
      </c>
      <c r="C45" s="4">
        <v>219.30661542480314</v>
      </c>
      <c r="D45" s="4">
        <v>24.228658319039003</v>
      </c>
      <c r="F45" s="5">
        <v>39.902150267592781</v>
      </c>
      <c r="G45" s="5"/>
      <c r="H45" s="5">
        <v>99.986328600179036</v>
      </c>
      <c r="I45" s="2">
        <v>0.99990000000000001</v>
      </c>
    </row>
    <row r="46" spans="1:9" x14ac:dyDescent="0.3">
      <c r="A46" s="4">
        <v>1976</v>
      </c>
      <c r="B46" s="4">
        <f t="shared" si="1"/>
        <v>104.65016321497436</v>
      </c>
      <c r="C46" s="4">
        <v>216.94532792122675</v>
      </c>
      <c r="D46" s="4">
        <v>24.797220708291835</v>
      </c>
      <c r="F46" s="5">
        <v>38.928863136009028</v>
      </c>
      <c r="G46" s="5"/>
      <c r="H46" s="5">
        <v>99.986328600179036</v>
      </c>
      <c r="I46" s="2">
        <v>0.99990000000000001</v>
      </c>
    </row>
    <row r="47" spans="1:9" x14ac:dyDescent="0.3">
      <c r="A47" s="4">
        <v>1975</v>
      </c>
      <c r="B47" s="4">
        <f t="shared" si="1"/>
        <v>103.74969647373133</v>
      </c>
      <c r="C47" s="4">
        <v>214.60946454206058</v>
      </c>
      <c r="D47" s="4">
        <v>25.379125280434707</v>
      </c>
      <c r="F47" s="5">
        <v>38.593898091985452</v>
      </c>
      <c r="G47" s="5"/>
      <c r="H47" s="5">
        <v>99.986328600179036</v>
      </c>
      <c r="I47" s="2">
        <v>0.99990000000000001</v>
      </c>
    </row>
    <row r="48" spans="1:9" x14ac:dyDescent="0.3">
      <c r="A48" s="4">
        <v>1974</v>
      </c>
      <c r="B48" s="4">
        <f t="shared" si="1"/>
        <v>96.927690469545325</v>
      </c>
      <c r="C48" s="4">
        <v>212.2987515442297</v>
      </c>
      <c r="D48" s="4">
        <v>25.974685130121145</v>
      </c>
      <c r="F48" s="5">
        <v>36.05617688934916</v>
      </c>
      <c r="G48" s="5"/>
      <c r="H48" s="5">
        <v>99.986328600179036</v>
      </c>
      <c r="I48" s="2">
        <v>0.99990000000000001</v>
      </c>
    </row>
    <row r="49" spans="1:9" x14ac:dyDescent="0.3">
      <c r="A49" s="4">
        <v>1973</v>
      </c>
      <c r="B49" s="4">
        <f t="shared" si="1"/>
        <v>95.888390724221182</v>
      </c>
      <c r="C49" s="4">
        <v>210.01291813206731</v>
      </c>
      <c r="D49" s="4">
        <v>26.58422069924784</v>
      </c>
      <c r="F49" s="5">
        <v>35.669567291236056</v>
      </c>
      <c r="G49" s="5"/>
      <c r="H49" s="5">
        <v>99.986328600179036</v>
      </c>
      <c r="I49" s="2">
        <v>0.99990000000000001</v>
      </c>
    </row>
    <row r="50" spans="1:9" x14ac:dyDescent="0.3">
      <c r="A50" s="4">
        <v>1972</v>
      </c>
      <c r="B50" s="4">
        <f t="shared" si="1"/>
        <v>90.118941340914333</v>
      </c>
      <c r="C50" s="4">
        <v>207.75169642557984</v>
      </c>
      <c r="D50" s="4">
        <v>27.208059949368913</v>
      </c>
      <c r="F50" s="5">
        <v>33.523387118047886</v>
      </c>
      <c r="G50" s="5"/>
      <c r="H50" s="5">
        <v>99.986328600179036</v>
      </c>
      <c r="I50" s="2">
        <v>0.99990000000000001</v>
      </c>
    </row>
    <row r="51" spans="1:9" x14ac:dyDescent="0.3">
      <c r="A51" s="4">
        <v>1971</v>
      </c>
      <c r="B51" s="4">
        <f t="shared" si="1"/>
        <v>87.487712671609756</v>
      </c>
      <c r="C51" s="4">
        <v>205.51482142905368</v>
      </c>
      <c r="D51" s="4">
        <v>27.846538538156121</v>
      </c>
      <c r="F51" s="5">
        <v>32.544595135311212</v>
      </c>
      <c r="G51" s="5"/>
      <c r="H51" s="5">
        <v>99.986328600179036</v>
      </c>
      <c r="I51" s="2">
        <v>0.99990000000000001</v>
      </c>
    </row>
    <row r="52" spans="1:9" x14ac:dyDescent="0.3">
      <c r="A52" s="4">
        <v>1970</v>
      </c>
      <c r="B52" s="4">
        <f t="shared" si="1"/>
        <v>82.498346714603414</v>
      </c>
      <c r="C52" s="4">
        <v>203.302031</v>
      </c>
      <c r="D52" s="4">
        <v>28.5</v>
      </c>
      <c r="F52" s="5">
        <v>30.688598560544566</v>
      </c>
      <c r="G52" s="5"/>
      <c r="H52" s="5">
        <v>99.986328600179036</v>
      </c>
      <c r="I52" s="2">
        <v>0.99990000000000001</v>
      </c>
    </row>
    <row r="53" spans="1:9" x14ac:dyDescent="0.3">
      <c r="A53" s="4">
        <v>1969</v>
      </c>
      <c r="B53" s="4">
        <f t="shared" si="1"/>
        <v>80.670621138887995</v>
      </c>
      <c r="C53" s="4">
        <v>200.76647207994739</v>
      </c>
      <c r="D53" s="4">
        <v>28.749904930298424</v>
      </c>
      <c r="F53" s="5">
        <v>30.008702069212315</v>
      </c>
      <c r="G53" s="5"/>
      <c r="H53" s="5">
        <v>99.986328600179036</v>
      </c>
      <c r="I53" s="2">
        <v>0.99990000000000001</v>
      </c>
    </row>
    <row r="54" spans="1:9" x14ac:dyDescent="0.3">
      <c r="A54" s="4">
        <v>1968</v>
      </c>
      <c r="B54" s="4">
        <f t="shared" si="1"/>
        <v>78.991183707098358</v>
      </c>
      <c r="C54" s="4">
        <v>198.26253635128865</v>
      </c>
      <c r="D54" s="4">
        <v>29.002001175480615</v>
      </c>
      <c r="F54" s="5">
        <v>29.383967353860488</v>
      </c>
      <c r="G54" s="5"/>
      <c r="H54" s="5">
        <v>99.986328600179036</v>
      </c>
      <c r="I54" s="2">
        <v>0.99990000000000001</v>
      </c>
    </row>
    <row r="55" spans="1:9" x14ac:dyDescent="0.3">
      <c r="A55" s="4">
        <v>1967</v>
      </c>
      <c r="B55" s="4">
        <f t="shared" si="1"/>
        <v>76.182579197270741</v>
      </c>
      <c r="C55" s="4">
        <v>195.7898294133154</v>
      </c>
      <c r="D55" s="4">
        <v>29.256307950297217</v>
      </c>
      <c r="F55" s="5">
        <v>28.339193249288311</v>
      </c>
      <c r="G55" s="5"/>
      <c r="H55" s="5">
        <v>99.986328600179036</v>
      </c>
      <c r="I55" s="2">
        <v>0.99990000000000001</v>
      </c>
    </row>
    <row r="56" spans="1:9" x14ac:dyDescent="0.3">
      <c r="A56" s="4">
        <v>1966</v>
      </c>
      <c r="B56" s="4">
        <f t="shared" si="1"/>
        <v>71.931628914860326</v>
      </c>
      <c r="C56" s="4">
        <v>193.34796178423846</v>
      </c>
      <c r="D56" s="4">
        <v>29.512844637985221</v>
      </c>
      <c r="F56" s="5">
        <v>26.75788026650784</v>
      </c>
      <c r="G56" s="5"/>
      <c r="H56" s="5">
        <v>99.986328600179036</v>
      </c>
      <c r="I56" s="2">
        <v>0.99990000000000001</v>
      </c>
    </row>
    <row r="57" spans="1:9" x14ac:dyDescent="0.3">
      <c r="A57" s="4">
        <v>1965</v>
      </c>
      <c r="B57" s="4">
        <f t="shared" si="1"/>
        <v>70.109133291460566</v>
      </c>
      <c r="C57" s="4">
        <v>190.93654883983947</v>
      </c>
      <c r="D57" s="4">
        <v>29.771630791745356</v>
      </c>
      <c r="F57" s="5">
        <v>26.079929267582376</v>
      </c>
      <c r="G57" s="5"/>
      <c r="H57" s="5">
        <v>99.986328600179036</v>
      </c>
      <c r="I57" s="2">
        <v>0.99990000000000001</v>
      </c>
    </row>
    <row r="58" spans="1:9" x14ac:dyDescent="0.3">
      <c r="A58" s="4">
        <v>1964</v>
      </c>
      <c r="B58" s="4">
        <f t="shared" si="1"/>
        <v>69.455356380574671</v>
      </c>
      <c r="C58" s="4">
        <v>188.55521075288794</v>
      </c>
      <c r="D58" s="4">
        <v>30.032686136232421</v>
      </c>
      <c r="F58" s="5">
        <v>25.836730488875471</v>
      </c>
      <c r="G58" s="5"/>
      <c r="H58" s="5">
        <v>99.986328600179036</v>
      </c>
      <c r="I58" s="2">
        <v>0.99990000000000001</v>
      </c>
    </row>
    <row r="59" spans="1:9" x14ac:dyDescent="0.3">
      <c r="A59" s="4">
        <v>1963</v>
      </c>
      <c r="B59" s="4">
        <f t="shared" si="1"/>
        <v>67.231688680436321</v>
      </c>
      <c r="C59" s="4">
        <v>186.2035724333137</v>
      </c>
      <c r="D59" s="4">
        <v>30.296030569058718</v>
      </c>
      <c r="F59" s="5">
        <v>25.009547301584821</v>
      </c>
      <c r="G59" s="5"/>
      <c r="H59" s="5">
        <v>99.986328600179036</v>
      </c>
      <c r="I59" s="2">
        <v>0.99990000000000001</v>
      </c>
    </row>
    <row r="60" spans="1:9" x14ac:dyDescent="0.3">
      <c r="A60" s="4">
        <v>1962</v>
      </c>
      <c r="B60" s="4">
        <f t="shared" si="1"/>
        <v>66.209456832433588</v>
      </c>
      <c r="C60" s="4">
        <v>183.88126346912566</v>
      </c>
      <c r="D60" s="4">
        <v>30.561684162310627</v>
      </c>
      <c r="F60" s="5">
        <v>24.629286798575169</v>
      </c>
      <c r="G60" s="5"/>
      <c r="H60" s="5">
        <v>99.986328600179036</v>
      </c>
      <c r="I60" s="2">
        <v>0.99990000000000001</v>
      </c>
    </row>
    <row r="61" spans="1:9" x14ac:dyDescent="0.3">
      <c r="A61" s="4">
        <v>1961</v>
      </c>
      <c r="B61" s="4">
        <f t="shared" si="1"/>
        <v>62.907568362540317</v>
      </c>
      <c r="C61" s="4">
        <v>181.5879180680673</v>
      </c>
      <c r="D61" s="4">
        <v>30.829667164078508</v>
      </c>
      <c r="F61" s="5">
        <v>23.401015763098666</v>
      </c>
      <c r="G61" s="5"/>
      <c r="H61" s="5">
        <v>99.986328600179036</v>
      </c>
      <c r="I61" s="2">
        <v>0.99990000000000001</v>
      </c>
    </row>
    <row r="62" spans="1:9" x14ac:dyDescent="0.3">
      <c r="A62" s="4">
        <v>1960</v>
      </c>
      <c r="B62" s="4">
        <f t="shared" si="1"/>
        <v>60.620701893988297</v>
      </c>
      <c r="C62" s="4">
        <v>179.32317499999999</v>
      </c>
      <c r="D62" s="4">
        <v>31.1</v>
      </c>
      <c r="F62" s="5">
        <v>22.550323236401766</v>
      </c>
      <c r="G62" s="5"/>
      <c r="H62" s="5">
        <v>99.986328600179036</v>
      </c>
      <c r="I62" s="2">
        <v>0.99990000000000001</v>
      </c>
    </row>
    <row r="63" spans="1:9" x14ac:dyDescent="0.3">
      <c r="A63" s="4">
        <v>1959</v>
      </c>
      <c r="B63" s="4">
        <f t="shared" si="1"/>
        <v>53.577502520633779</v>
      </c>
      <c r="C63" s="4">
        <v>176.23142072395933</v>
      </c>
      <c r="D63" s="4">
        <v>30.652053727464015</v>
      </c>
      <c r="F63" s="5">
        <v>19.930320208965401</v>
      </c>
      <c r="G63" s="5"/>
      <c r="H63" s="5">
        <v>99.986328600179036</v>
      </c>
      <c r="I63" s="2">
        <v>0.99990000000000001</v>
      </c>
    </row>
    <row r="64" spans="1:9" x14ac:dyDescent="0.3">
      <c r="A64" s="4">
        <v>1958</v>
      </c>
      <c r="B64" s="4">
        <f t="shared" si="1"/>
        <v>48.528628619393587</v>
      </c>
      <c r="C64" s="4">
        <v>173.19297213193539</v>
      </c>
      <c r="D64" s="4">
        <v>30.210559411940192</v>
      </c>
      <c r="F64" s="5">
        <v>18.052187246204539</v>
      </c>
      <c r="G64" s="5"/>
      <c r="H64" s="5">
        <v>99.986328600179036</v>
      </c>
      <c r="I64" s="2">
        <v>0.99990000000000001</v>
      </c>
    </row>
    <row r="65" spans="1:9" x14ac:dyDescent="0.3">
      <c r="A65" s="4">
        <v>1957</v>
      </c>
      <c r="B65" s="4">
        <f t="shared" si="1"/>
        <v>43.713623003116624</v>
      </c>
      <c r="C65" s="4">
        <v>170.20691016772417</v>
      </c>
      <c r="D65" s="4">
        <v>29.775424123200445</v>
      </c>
      <c r="F65" s="5">
        <v>16.261051056095475</v>
      </c>
      <c r="G65" s="5"/>
      <c r="H65" s="5">
        <v>99.986328600179036</v>
      </c>
      <c r="I65" s="2">
        <v>0.99990000000000001</v>
      </c>
    </row>
    <row r="66" spans="1:9" x14ac:dyDescent="0.3">
      <c r="A66" s="4">
        <v>1956</v>
      </c>
      <c r="B66" s="4">
        <f t="shared" ref="B66:B97" si="2">F66*H66*100/(F$10*H$10)</f>
        <v>40.758497349320173</v>
      </c>
      <c r="C66" s="4">
        <v>167.27233162079224</v>
      </c>
      <c r="D66" s="4">
        <v>29.346556269529504</v>
      </c>
      <c r="F66" s="5">
        <v>15.161772482682892</v>
      </c>
      <c r="G66" s="5"/>
      <c r="H66" s="5">
        <v>99.986328600179036</v>
      </c>
      <c r="I66" s="2">
        <v>0.99990000000000001</v>
      </c>
    </row>
    <row r="67" spans="1:9" x14ac:dyDescent="0.3">
      <c r="A67" s="4">
        <v>1955</v>
      </c>
      <c r="B67" s="4">
        <f t="shared" si="2"/>
        <v>37.954232665678497</v>
      </c>
      <c r="C67" s="4">
        <v>164.38834885307767</v>
      </c>
      <c r="D67" s="4">
        <v>28.923865578445778</v>
      </c>
      <c r="F67" s="5">
        <v>14.118612752082397</v>
      </c>
      <c r="G67" s="5"/>
      <c r="H67" s="5">
        <v>99.986328600179036</v>
      </c>
      <c r="I67" s="2">
        <v>0.99990000000000001</v>
      </c>
    </row>
    <row r="68" spans="1:9" x14ac:dyDescent="0.3">
      <c r="A68" s="4">
        <v>1954</v>
      </c>
      <c r="B68" s="4">
        <f t="shared" si="2"/>
        <v>25.052306079510618</v>
      </c>
      <c r="C68" s="4">
        <v>161.55408953050122</v>
      </c>
      <c r="D68" s="4">
        <v>28.507263077699886</v>
      </c>
      <c r="F68" s="5">
        <v>9.3192190499242944</v>
      </c>
      <c r="G68" s="5"/>
      <c r="H68" s="5">
        <v>99.986328600179036</v>
      </c>
      <c r="I68" s="2">
        <v>0.99990000000000001</v>
      </c>
    </row>
    <row r="69" spans="1:9" x14ac:dyDescent="0.3">
      <c r="A69" s="4">
        <v>1953</v>
      </c>
      <c r="B69" s="4">
        <f t="shared" si="2"/>
        <v>17.417676380810587</v>
      </c>
      <c r="C69" s="4">
        <v>158.76869635910677</v>
      </c>
      <c r="D69" s="4">
        <v>28.096661076546866</v>
      </c>
      <c r="F69" s="5">
        <v>6.4792095792818634</v>
      </c>
      <c r="G69" s="5"/>
      <c r="H69" s="5">
        <v>99.986328600179036</v>
      </c>
      <c r="I69" s="2">
        <v>0.99990000000000001</v>
      </c>
    </row>
    <row r="70" spans="1:9" x14ac:dyDescent="0.3">
      <c r="A70" s="4">
        <v>1952</v>
      </c>
      <c r="B70" s="4">
        <f t="shared" si="2"/>
        <v>11.895266110521471</v>
      </c>
      <c r="C70" s="4">
        <v>156.0313268257508</v>
      </c>
      <c r="D70" s="4">
        <v>27.691973147288131</v>
      </c>
      <c r="F70" s="5">
        <v>4.4249256012305613</v>
      </c>
      <c r="G70" s="5"/>
      <c r="H70" s="5">
        <v>99.986328600179036</v>
      </c>
      <c r="I70" s="2">
        <v>0.99990000000000001</v>
      </c>
    </row>
    <row r="71" spans="1:9" x14ac:dyDescent="0.3">
      <c r="A71" s="4">
        <v>1951</v>
      </c>
      <c r="B71" s="4">
        <f t="shared" si="2"/>
        <v>7.8697268014449575</v>
      </c>
      <c r="C71" s="4">
        <v>153.34115294326293</v>
      </c>
      <c r="D71" s="4">
        <v>27.293114107079294</v>
      </c>
      <c r="F71" s="5">
        <v>2.9274633517952884</v>
      </c>
      <c r="G71" s="5"/>
      <c r="H71" s="5">
        <v>99.986328600179036</v>
      </c>
      <c r="I71" s="2">
        <v>0.99990000000000001</v>
      </c>
    </row>
    <row r="72" spans="1:9" x14ac:dyDescent="0.3">
      <c r="A72" s="4">
        <v>1950</v>
      </c>
      <c r="B72" s="4">
        <f t="shared" si="2"/>
        <v>5.3521211599131018</v>
      </c>
      <c r="C72" s="4">
        <v>150.697361</v>
      </c>
      <c r="D72" s="4">
        <v>26.9</v>
      </c>
      <c r="F72" s="5">
        <v>1.9909380522760809</v>
      </c>
      <c r="G72" s="5"/>
      <c r="H72" s="5">
        <v>99.986328600179036</v>
      </c>
      <c r="I72" s="2">
        <v>0.99990000000000001</v>
      </c>
    </row>
    <row r="73" spans="1:9" x14ac:dyDescent="0.3">
      <c r="A73" s="4">
        <v>1949</v>
      </c>
      <c r="B73" s="4">
        <f t="shared" si="2"/>
        <v>3.7693426380100257</v>
      </c>
      <c r="C73" s="4">
        <v>148.73274275017829</v>
      </c>
      <c r="D73" s="4">
        <v>26.703676176290738</v>
      </c>
      <c r="F73" s="5">
        <v>1.4021595299988894</v>
      </c>
      <c r="G73" s="5"/>
      <c r="H73" s="5">
        <v>99.986328600179036</v>
      </c>
      <c r="I73" s="2">
        <v>0.99990000000000001</v>
      </c>
    </row>
    <row r="74" spans="1:9" x14ac:dyDescent="0.3">
      <c r="A74" s="4">
        <v>1948</v>
      </c>
      <c r="B74" s="4">
        <f t="shared" si="2"/>
        <v>2.4104351045822328</v>
      </c>
      <c r="C74" s="4">
        <v>146.79373692543095</v>
      </c>
      <c r="D74" s="4">
        <v>26.508785179486921</v>
      </c>
      <c r="F74" s="5">
        <v>0.89665888137942673</v>
      </c>
      <c r="G74" s="5"/>
      <c r="H74" s="5">
        <v>99.986328600179036</v>
      </c>
      <c r="I74" s="2">
        <v>0.99990000000000001</v>
      </c>
    </row>
    <row r="75" spans="1:9" x14ac:dyDescent="0.3">
      <c r="A75" s="4">
        <v>1947</v>
      </c>
      <c r="B75" s="4">
        <f t="shared" si="2"/>
        <v>1.5089180352688776</v>
      </c>
      <c r="C75" s="4">
        <v>144.88000962052317</v>
      </c>
      <c r="D75" s="4">
        <v>26.315316552411691</v>
      </c>
      <c r="F75" s="5">
        <v>0.56130312532596816</v>
      </c>
      <c r="G75" s="5"/>
      <c r="H75" s="5">
        <v>99.986328600179036</v>
      </c>
      <c r="I75" s="2">
        <v>0.99990000000000001</v>
      </c>
    </row>
    <row r="76" spans="1:9" x14ac:dyDescent="0.3">
      <c r="A76" s="4">
        <v>1946</v>
      </c>
      <c r="B76" s="4">
        <f t="shared" si="2"/>
        <v>1.006420984694544</v>
      </c>
      <c r="C76" s="4">
        <v>142.99123128329111</v>
      </c>
      <c r="D76" s="4">
        <v>26.123259914207658</v>
      </c>
      <c r="F76" s="5">
        <v>0.37437901257640133</v>
      </c>
      <c r="G76" s="5"/>
      <c r="H76" s="5">
        <v>99.986328600179036</v>
      </c>
      <c r="I76" s="2">
        <v>0.99990000000000001</v>
      </c>
    </row>
    <row r="77" spans="1:9" x14ac:dyDescent="0.3">
      <c r="A77" s="4">
        <v>1945</v>
      </c>
      <c r="B77" s="4">
        <f t="shared" si="2"/>
        <v>0.67135634209508444</v>
      </c>
      <c r="C77" s="4">
        <v>141.12707665789162</v>
      </c>
      <c r="D77" s="4">
        <v>25.932604959779869</v>
      </c>
      <c r="F77" s="5">
        <v>0.24970401683811355</v>
      </c>
      <c r="G77" s="5"/>
      <c r="H77" s="5">
        <v>100</v>
      </c>
      <c r="I77" s="2"/>
    </row>
    <row r="78" spans="1:9" x14ac:dyDescent="0.3">
      <c r="A78" s="4">
        <v>1944</v>
      </c>
      <c r="B78" s="4">
        <f t="shared" si="2"/>
        <v>0</v>
      </c>
      <c r="C78" s="4">
        <v>139.28722472879184</v>
      </c>
      <c r="D78" s="4">
        <v>25.743341459242874</v>
      </c>
      <c r="F78" s="5">
        <v>0</v>
      </c>
      <c r="G78" s="5"/>
      <c r="H78" s="5">
        <v>100</v>
      </c>
      <c r="I78" s="2"/>
    </row>
    <row r="79" spans="1:9" x14ac:dyDescent="0.3">
      <c r="A79" s="4">
        <v>1943</v>
      </c>
      <c r="B79" s="4">
        <f t="shared" si="2"/>
        <v>0</v>
      </c>
      <c r="C79" s="4">
        <v>137.47135866548888</v>
      </c>
      <c r="D79" s="4">
        <v>25.55545925737183</v>
      </c>
      <c r="F79" s="5">
        <v>0</v>
      </c>
      <c r="G79" s="5"/>
      <c r="H79" s="5">
        <v>100</v>
      </c>
      <c r="I79" s="2"/>
    </row>
    <row r="80" spans="1:9" x14ac:dyDescent="0.3">
      <c r="A80" s="4">
        <v>1942</v>
      </c>
      <c r="B80" s="4">
        <f t="shared" si="2"/>
        <v>0</v>
      </c>
      <c r="C80" s="4">
        <v>135.67916576795022</v>
      </c>
      <c r="D80" s="4">
        <v>25.368948273057594</v>
      </c>
      <c r="F80" s="5">
        <v>0</v>
      </c>
      <c r="G80" s="5"/>
      <c r="H80" s="5">
        <v>100</v>
      </c>
      <c r="I80" s="2"/>
    </row>
    <row r="81" spans="1:9" x14ac:dyDescent="0.3">
      <c r="A81" s="4">
        <v>1941</v>
      </c>
      <c r="B81" s="4">
        <f t="shared" si="2"/>
        <v>0</v>
      </c>
      <c r="C81" s="4">
        <v>133.91033741276547</v>
      </c>
      <c r="D81" s="4">
        <v>25.183798498765825</v>
      </c>
      <c r="F81" s="5">
        <v>0</v>
      </c>
      <c r="G81" s="5"/>
      <c r="H81" s="5">
        <v>100</v>
      </c>
      <c r="I81" s="2"/>
    </row>
    <row r="82" spans="1:9" x14ac:dyDescent="0.3">
      <c r="A82" s="4">
        <v>1940</v>
      </c>
      <c r="B82" s="4">
        <f t="shared" si="2"/>
        <v>0</v>
      </c>
      <c r="C82" s="4">
        <v>132.164569</v>
      </c>
      <c r="D82" s="4">
        <v>25</v>
      </c>
      <c r="F82" s="5">
        <v>0</v>
      </c>
      <c r="G82" s="5"/>
      <c r="H82" s="5">
        <v>100</v>
      </c>
      <c r="I82" s="2"/>
    </row>
    <row r="83" spans="1:9" x14ac:dyDescent="0.3">
      <c r="A83" s="4">
        <v>1939</v>
      </c>
      <c r="B83" s="4">
        <f t="shared" si="2"/>
        <v>0</v>
      </c>
      <c r="C83" s="4">
        <v>131.1941741887735</v>
      </c>
      <c r="D83" s="4">
        <v>25.408600264766964</v>
      </c>
      <c r="F83" s="5">
        <v>0</v>
      </c>
      <c r="G83" s="5"/>
      <c r="H83" s="5">
        <v>100</v>
      </c>
      <c r="I83" s="2"/>
    </row>
    <row r="84" spans="1:9" x14ac:dyDescent="0.3">
      <c r="A84" s="4">
        <v>1938</v>
      </c>
      <c r="B84" s="4">
        <f t="shared" si="2"/>
        <v>0</v>
      </c>
      <c r="C84" s="4">
        <v>130.23090432863478</v>
      </c>
      <c r="D84" s="4">
        <v>25.823878696588626</v>
      </c>
      <c r="F84" s="5">
        <v>0</v>
      </c>
      <c r="G84" s="5"/>
      <c r="H84" s="5">
        <v>100</v>
      </c>
      <c r="I84" s="2"/>
    </row>
    <row r="85" spans="1:9" x14ac:dyDescent="0.3">
      <c r="A85" s="4">
        <v>1937</v>
      </c>
      <c r="B85" s="4">
        <f t="shared" si="2"/>
        <v>0</v>
      </c>
      <c r="C85" s="4">
        <v>129.2747071058993</v>
      </c>
      <c r="D85" s="4">
        <v>26.245944443498061</v>
      </c>
      <c r="F85" s="5">
        <v>0</v>
      </c>
      <c r="G85" s="5"/>
      <c r="H85" s="5">
        <v>100</v>
      </c>
      <c r="I85" s="2"/>
    </row>
    <row r="86" spans="1:9" x14ac:dyDescent="0.3">
      <c r="A86" s="4">
        <v>1936</v>
      </c>
      <c r="B86" s="4">
        <f t="shared" si="2"/>
        <v>0</v>
      </c>
      <c r="C86" s="4">
        <v>128.32553059098643</v>
      </c>
      <c r="D86" s="4">
        <v>26.674908437444948</v>
      </c>
      <c r="F86" s="5">
        <v>0</v>
      </c>
      <c r="G86" s="5"/>
      <c r="H86" s="5">
        <v>100</v>
      </c>
      <c r="I86" s="2"/>
    </row>
    <row r="87" spans="1:9" x14ac:dyDescent="0.3">
      <c r="A87" s="4">
        <v>1935</v>
      </c>
      <c r="B87" s="4">
        <f t="shared" si="2"/>
        <v>0</v>
      </c>
      <c r="C87" s="4">
        <v>127.38332323559928</v>
      </c>
      <c r="D87" s="4">
        <v>27.11088342345192</v>
      </c>
      <c r="F87" s="5">
        <v>0</v>
      </c>
      <c r="G87" s="5"/>
      <c r="H87" s="5">
        <v>100</v>
      </c>
      <c r="I87" s="2"/>
    </row>
    <row r="88" spans="1:9" x14ac:dyDescent="0.3">
      <c r="A88" s="4">
        <v>1934</v>
      </c>
      <c r="B88" s="4">
        <f t="shared" si="2"/>
        <v>0</v>
      </c>
      <c r="C88" s="4">
        <v>126.44803386992514</v>
      </c>
      <c r="D88" s="4">
        <v>27.553983989247463</v>
      </c>
      <c r="F88" s="5">
        <v>0</v>
      </c>
      <c r="G88" s="5"/>
      <c r="H88" s="5">
        <v>100</v>
      </c>
      <c r="I88" s="2"/>
    </row>
    <row r="89" spans="1:9" x14ac:dyDescent="0.3">
      <c r="A89" s="4">
        <v>1933</v>
      </c>
      <c r="B89" s="4">
        <f t="shared" si="2"/>
        <v>0</v>
      </c>
      <c r="C89" s="4">
        <v>125.51961169985655</v>
      </c>
      <c r="D89" s="4">
        <v>28.004326595383102</v>
      </c>
      <c r="F89" s="5">
        <v>0</v>
      </c>
      <c r="G89" s="5"/>
      <c r="H89" s="5">
        <v>100</v>
      </c>
      <c r="I89" s="2"/>
    </row>
    <row r="90" spans="1:9" x14ac:dyDescent="0.3">
      <c r="A90" s="4">
        <v>1932</v>
      </c>
      <c r="B90" s="4">
        <f t="shared" si="2"/>
        <v>0</v>
      </c>
      <c r="C90" s="4">
        <v>124.59800630423273</v>
      </c>
      <c r="D90" s="4">
        <v>28.462029605842858</v>
      </c>
      <c r="F90" s="5">
        <v>0</v>
      </c>
      <c r="G90" s="5"/>
      <c r="H90" s="5">
        <v>100</v>
      </c>
      <c r="I90" s="2"/>
    </row>
    <row r="91" spans="1:9" x14ac:dyDescent="0.3">
      <c r="A91" s="4">
        <v>1931</v>
      </c>
      <c r="B91" s="4">
        <f t="shared" si="2"/>
        <v>0</v>
      </c>
      <c r="C91" s="4">
        <v>123.68316763210127</v>
      </c>
      <c r="D91" s="4">
        <v>28.927213319152951</v>
      </c>
      <c r="F91" s="5">
        <v>0</v>
      </c>
      <c r="G91" s="5"/>
      <c r="H91" s="5">
        <v>100</v>
      </c>
      <c r="I91" s="2"/>
    </row>
    <row r="92" spans="1:9" x14ac:dyDescent="0.3">
      <c r="A92" s="4">
        <v>1930</v>
      </c>
      <c r="B92" s="4">
        <f t="shared" si="2"/>
        <v>0</v>
      </c>
      <c r="C92" s="4">
        <v>122.775046</v>
      </c>
      <c r="D92" s="4">
        <v>29.4</v>
      </c>
      <c r="F92" s="5">
        <v>0</v>
      </c>
      <c r="G92" s="5"/>
      <c r="H92" s="5">
        <v>100</v>
      </c>
      <c r="I92" s="2"/>
    </row>
    <row r="93" spans="1:9" x14ac:dyDescent="0.3">
      <c r="A93" s="4">
        <v>1929</v>
      </c>
      <c r="B93" s="4">
        <f t="shared" si="2"/>
        <v>0</v>
      </c>
      <c r="C93" s="4">
        <v>120.98694330532393</v>
      </c>
      <c r="D93" s="4">
        <v>29.631614117570692</v>
      </c>
      <c r="F93" s="5">
        <v>0</v>
      </c>
      <c r="G93" s="5"/>
      <c r="H93" s="5">
        <v>100</v>
      </c>
      <c r="I93" s="2"/>
    </row>
    <row r="94" spans="1:9" x14ac:dyDescent="0.3">
      <c r="A94" s="4">
        <v>1928</v>
      </c>
      <c r="B94" s="4">
        <f t="shared" si="2"/>
        <v>0</v>
      </c>
      <c r="C94" s="4">
        <v>119.22488263914531</v>
      </c>
      <c r="D94" s="4">
        <v>29.865052898388253</v>
      </c>
      <c r="F94" s="5">
        <v>0</v>
      </c>
      <c r="G94" s="5"/>
      <c r="H94" s="5">
        <v>100</v>
      </c>
      <c r="I94" s="2"/>
    </row>
    <row r="95" spans="1:9" x14ac:dyDescent="0.3">
      <c r="A95" s="4">
        <v>1927</v>
      </c>
      <c r="B95" s="4">
        <f t="shared" si="2"/>
        <v>0</v>
      </c>
      <c r="C95" s="4">
        <v>117.48848472389228</v>
      </c>
      <c r="D95" s="4">
        <v>30.100330717206692</v>
      </c>
      <c r="F95" s="5">
        <v>0</v>
      </c>
      <c r="G95" s="5"/>
      <c r="H95" s="5">
        <v>100</v>
      </c>
      <c r="I95" s="2"/>
    </row>
    <row r="96" spans="1:9" x14ac:dyDescent="0.3">
      <c r="A96" s="4">
        <v>1926</v>
      </c>
      <c r="B96" s="4">
        <f t="shared" si="2"/>
        <v>0</v>
      </c>
      <c r="C96" s="4">
        <v>115.77737580581295</v>
      </c>
      <c r="D96" s="4">
        <v>30.337462062024777</v>
      </c>
      <c r="F96" s="5">
        <v>0</v>
      </c>
      <c r="G96" s="5"/>
      <c r="H96" s="5">
        <v>100</v>
      </c>
      <c r="I96" s="2"/>
    </row>
    <row r="97" spans="1:9" x14ac:dyDescent="0.3">
      <c r="A97" s="4">
        <v>1925</v>
      </c>
      <c r="B97" s="4">
        <f t="shared" si="2"/>
        <v>0</v>
      </c>
      <c r="C97" s="4">
        <v>114.09118757452612</v>
      </c>
      <c r="D97" s="4">
        <v>30.576461534978179</v>
      </c>
      <c r="F97" s="5">
        <v>0</v>
      </c>
      <c r="G97" s="5"/>
      <c r="H97" s="5">
        <v>100</v>
      </c>
      <c r="I97" s="2"/>
    </row>
    <row r="98" spans="1:9" x14ac:dyDescent="0.3">
      <c r="A98" s="4">
        <v>1924</v>
      </c>
      <c r="B98" s="4">
        <f t="shared" ref="B98:B125" si="3">F98*H98*100/(F$10*H$10)</f>
        <v>0</v>
      </c>
      <c r="C98" s="4">
        <v>112.42955708374379</v>
      </c>
      <c r="D98" s="4">
        <v>30.817343853238658</v>
      </c>
      <c r="F98" s="5">
        <v>0</v>
      </c>
      <c r="G98" s="5"/>
      <c r="H98" s="5">
        <v>100</v>
      </c>
      <c r="I98" s="2"/>
    </row>
    <row r="99" spans="1:9" x14ac:dyDescent="0.3">
      <c r="A99" s="4">
        <v>1923</v>
      </c>
      <c r="B99" s="4">
        <f t="shared" si="3"/>
        <v>0</v>
      </c>
      <c r="C99" s="4">
        <v>110.79212667314813</v>
      </c>
      <c r="D99" s="4">
        <v>31.060123849920302</v>
      </c>
      <c r="F99" s="5">
        <v>0</v>
      </c>
      <c r="G99" s="5"/>
      <c r="H99" s="5">
        <v>100</v>
      </c>
      <c r="I99" s="2"/>
    </row>
    <row r="100" spans="1:9" x14ac:dyDescent="0.3">
      <c r="A100" s="4">
        <v>1922</v>
      </c>
      <c r="B100" s="4">
        <f t="shared" si="3"/>
        <v>0</v>
      </c>
      <c r="C100" s="4">
        <v>109.17854389140639</v>
      </c>
      <c r="D100" s="4">
        <v>31.30481647499294</v>
      </c>
      <c r="F100" s="5">
        <v>0</v>
      </c>
      <c r="G100" s="5"/>
      <c r="H100" s="5">
        <v>100</v>
      </c>
      <c r="I100" s="2"/>
    </row>
    <row r="101" spans="1:9" x14ac:dyDescent="0.3">
      <c r="A101" s="4">
        <v>1921</v>
      </c>
      <c r="B101" s="4">
        <f t="shared" si="3"/>
        <v>0</v>
      </c>
      <c r="C101" s="4">
        <v>107.5884614203069</v>
      </c>
      <c r="D101" s="4">
        <v>31.551436796202729</v>
      </c>
      <c r="F101" s="5">
        <v>0</v>
      </c>
      <c r="G101" s="5"/>
      <c r="H101" s="5">
        <v>100</v>
      </c>
      <c r="I101" s="2"/>
    </row>
    <row r="102" spans="1:9" x14ac:dyDescent="0.3">
      <c r="A102" s="4">
        <v>1920</v>
      </c>
      <c r="B102" s="4">
        <f t="shared" si="3"/>
        <v>0</v>
      </c>
      <c r="C102" s="4">
        <v>106.021537</v>
      </c>
      <c r="D102" s="4">
        <v>31.8</v>
      </c>
      <c r="F102" s="5">
        <v>0</v>
      </c>
      <c r="G102" s="5"/>
      <c r="H102" s="5">
        <v>100</v>
      </c>
      <c r="I102" s="2"/>
    </row>
    <row r="103" spans="1:9" x14ac:dyDescent="0.3">
      <c r="A103" s="4">
        <v>1919</v>
      </c>
      <c r="B103" s="4">
        <f t="shared" si="3"/>
        <v>0</v>
      </c>
      <c r="C103" s="4">
        <v>104.55413153989278</v>
      </c>
      <c r="D103" s="4">
        <v>31.829873397289791</v>
      </c>
      <c r="F103" s="5">
        <v>0</v>
      </c>
      <c r="G103" s="5"/>
      <c r="H103" s="5">
        <v>100</v>
      </c>
      <c r="I103" s="2"/>
    </row>
    <row r="104" spans="1:9" x14ac:dyDescent="0.3">
      <c r="A104" s="4">
        <v>1918</v>
      </c>
      <c r="B104" s="4">
        <f t="shared" si="3"/>
        <v>0</v>
      </c>
      <c r="C104" s="4">
        <v>103.10703590404651</v>
      </c>
      <c r="D104" s="4">
        <v>31.859774858097385</v>
      </c>
      <c r="F104" s="5">
        <v>0</v>
      </c>
      <c r="G104" s="5"/>
      <c r="H104" s="5">
        <v>100</v>
      </c>
      <c r="I104" s="2"/>
    </row>
    <row r="105" spans="1:9" x14ac:dyDescent="0.3">
      <c r="A105" s="4">
        <v>1917</v>
      </c>
      <c r="B105" s="4">
        <f t="shared" si="3"/>
        <v>0</v>
      </c>
      <c r="C105" s="4">
        <v>101.67996899158442</v>
      </c>
      <c r="D105" s="4">
        <v>31.889704408786056</v>
      </c>
      <c r="F105" s="5">
        <v>0</v>
      </c>
      <c r="G105" s="5"/>
      <c r="H105" s="5">
        <v>100</v>
      </c>
      <c r="I105" s="2"/>
    </row>
    <row r="106" spans="1:9" x14ac:dyDescent="0.3">
      <c r="A106" s="4">
        <v>1916</v>
      </c>
      <c r="B106" s="4">
        <f t="shared" si="3"/>
        <v>0</v>
      </c>
      <c r="C106" s="4">
        <v>100.27265359224447</v>
      </c>
      <c r="D106" s="4">
        <v>31.919662075743858</v>
      </c>
      <c r="F106" s="5">
        <v>0</v>
      </c>
      <c r="G106" s="5"/>
      <c r="H106" s="5">
        <v>100</v>
      </c>
      <c r="I106" s="2"/>
    </row>
    <row r="107" spans="1:9" x14ac:dyDescent="0.3">
      <c r="A107" s="4">
        <v>1915</v>
      </c>
      <c r="B107" s="4">
        <f t="shared" si="3"/>
        <v>0</v>
      </c>
      <c r="C107" s="4">
        <v>98.884816332530846</v>
      </c>
      <c r="D107" s="4">
        <v>31.949647885383641</v>
      </c>
      <c r="F107" s="5">
        <v>0</v>
      </c>
      <c r="G107" s="5"/>
      <c r="H107" s="5">
        <v>100</v>
      </c>
      <c r="I107" s="2"/>
    </row>
    <row r="108" spans="1:9" x14ac:dyDescent="0.3">
      <c r="A108" s="4">
        <v>1914</v>
      </c>
      <c r="B108" s="4">
        <f t="shared" si="3"/>
        <v>0</v>
      </c>
      <c r="C108" s="4">
        <v>97.516187622610687</v>
      </c>
      <c r="D108" s="4">
        <v>31.979661864143058</v>
      </c>
      <c r="F108" s="5">
        <v>0</v>
      </c>
      <c r="G108" s="5"/>
      <c r="H108" s="5">
        <v>100</v>
      </c>
      <c r="I108" s="2"/>
    </row>
    <row r="109" spans="1:9" x14ac:dyDescent="0.3">
      <c r="A109" s="4">
        <v>1913</v>
      </c>
      <c r="B109" s="4">
        <f t="shared" si="3"/>
        <v>0</v>
      </c>
      <c r="C109" s="4">
        <v>96.166501603945761</v>
      </c>
      <c r="D109" s="4">
        <v>32.009704038484607</v>
      </c>
      <c r="F109" s="5">
        <v>0</v>
      </c>
      <c r="G109" s="5"/>
      <c r="H109" s="5">
        <v>100</v>
      </c>
      <c r="I109" s="2"/>
    </row>
    <row r="110" spans="1:9" x14ac:dyDescent="0.3">
      <c r="A110" s="4">
        <v>1912</v>
      </c>
      <c r="B110" s="4">
        <f t="shared" si="3"/>
        <v>0</v>
      </c>
      <c r="C110" s="4">
        <v>94.835496097648999</v>
      </c>
      <c r="D110" s="4">
        <v>32.039774434895641</v>
      </c>
      <c r="F110" s="5">
        <v>0</v>
      </c>
      <c r="G110" s="5"/>
      <c r="H110" s="5">
        <v>100</v>
      </c>
      <c r="I110" s="2"/>
    </row>
    <row r="111" spans="1:9" x14ac:dyDescent="0.3">
      <c r="A111" s="4">
        <v>1911</v>
      </c>
      <c r="B111" s="4">
        <f t="shared" si="3"/>
        <v>0</v>
      </c>
      <c r="C111" s="4">
        <v>93.522912553555756</v>
      </c>
      <c r="D111" s="4">
        <v>32.069873079888389</v>
      </c>
      <c r="F111" s="5">
        <v>0</v>
      </c>
      <c r="G111" s="5"/>
      <c r="H111" s="5">
        <v>100</v>
      </c>
      <c r="I111" s="2"/>
    </row>
    <row r="112" spans="1:9" x14ac:dyDescent="0.3">
      <c r="A112" s="4">
        <v>1910</v>
      </c>
      <c r="B112" s="4">
        <f t="shared" si="3"/>
        <v>0</v>
      </c>
      <c r="C112" s="4">
        <v>92.228496000000007</v>
      </c>
      <c r="D112" s="4">
        <v>32.1</v>
      </c>
      <c r="F112" s="5">
        <v>0</v>
      </c>
      <c r="G112" s="5"/>
      <c r="H112" s="5">
        <v>100</v>
      </c>
      <c r="I112" s="2"/>
    </row>
    <row r="113" spans="1:9" x14ac:dyDescent="0.3">
      <c r="A113" s="4">
        <v>1909</v>
      </c>
      <c r="B113" s="4">
        <f t="shared" si="3"/>
        <v>0</v>
      </c>
      <c r="C113" s="4">
        <v>90.485928148929617</v>
      </c>
      <c r="D113" s="4">
        <v>32.332288003568223</v>
      </c>
      <c r="F113" s="5">
        <v>0</v>
      </c>
      <c r="G113" s="5"/>
      <c r="H113" s="5">
        <v>100</v>
      </c>
      <c r="I113" s="2"/>
    </row>
    <row r="114" spans="1:9" x14ac:dyDescent="0.3">
      <c r="A114" s="4">
        <v>1908</v>
      </c>
      <c r="B114" s="4">
        <f t="shared" si="3"/>
        <v>0</v>
      </c>
      <c r="C114" s="4">
        <v>88.776284424861984</v>
      </c>
      <c r="D114" s="4">
        <v>32.566256932887278</v>
      </c>
      <c r="F114" s="5">
        <v>0</v>
      </c>
      <c r="G114" s="5"/>
      <c r="H114" s="5">
        <v>100</v>
      </c>
      <c r="I114" s="2"/>
    </row>
    <row r="115" spans="1:9" x14ac:dyDescent="0.3">
      <c r="A115" s="4">
        <v>1907</v>
      </c>
      <c r="B115" s="4">
        <f t="shared" si="3"/>
        <v>0</v>
      </c>
      <c r="C115" s="4">
        <v>87.098942758396419</v>
      </c>
      <c r="D115" s="4">
        <v>32.801918951785417</v>
      </c>
      <c r="F115" s="5">
        <v>0</v>
      </c>
      <c r="G115" s="5"/>
      <c r="H115" s="5">
        <v>100</v>
      </c>
      <c r="I115" s="2"/>
    </row>
    <row r="116" spans="1:9" x14ac:dyDescent="0.3">
      <c r="A116" s="4">
        <v>1906</v>
      </c>
      <c r="B116" s="4">
        <f t="shared" si="3"/>
        <v>0</v>
      </c>
      <c r="C116" s="4">
        <v>85.453292833529289</v>
      </c>
      <c r="D116" s="4">
        <v>33.039286312113049</v>
      </c>
      <c r="F116" s="5">
        <v>0</v>
      </c>
      <c r="G116" s="5"/>
      <c r="H116" s="5">
        <v>100</v>
      </c>
      <c r="I116" s="2"/>
    </row>
    <row r="117" spans="1:9" x14ac:dyDescent="0.3">
      <c r="A117" s="4">
        <v>1905</v>
      </c>
      <c r="B117" s="4">
        <f t="shared" si="3"/>
        <v>0</v>
      </c>
      <c r="C117" s="4">
        <v>83.838735865585036</v>
      </c>
      <c r="D117" s="4">
        <v>33.278371354379708</v>
      </c>
      <c r="F117" s="5">
        <v>0</v>
      </c>
      <c r="G117" s="5"/>
      <c r="H117" s="5">
        <v>100</v>
      </c>
      <c r="I117" s="2"/>
    </row>
    <row r="118" spans="1:9" x14ac:dyDescent="0.3">
      <c r="A118" s="4">
        <v>1904</v>
      </c>
      <c r="B118" s="4">
        <f t="shared" si="3"/>
        <v>0</v>
      </c>
      <c r="C118" s="4">
        <v>82.254684383342962</v>
      </c>
      <c r="D118" s="4">
        <v>33.51918650839562</v>
      </c>
      <c r="F118" s="5">
        <v>0</v>
      </c>
      <c r="G118" s="5"/>
      <c r="H118" s="5">
        <v>100</v>
      </c>
      <c r="I118" s="2"/>
    </row>
    <row r="119" spans="1:9" x14ac:dyDescent="0.3">
      <c r="A119" s="4">
        <v>1903</v>
      </c>
      <c r="B119" s="4">
        <f t="shared" si="3"/>
        <v>0</v>
      </c>
      <c r="C119" s="4">
        <v>80.700562015280482</v>
      </c>
      <c r="D119" s="4">
        <v>33.761744293917936</v>
      </c>
      <c r="F119" s="5">
        <v>0</v>
      </c>
      <c r="G119" s="5"/>
      <c r="H119" s="5">
        <v>100</v>
      </c>
      <c r="I119" s="2"/>
    </row>
    <row r="120" spans="1:9" x14ac:dyDescent="0.3">
      <c r="A120" s="4">
        <v>1902</v>
      </c>
      <c r="B120" s="4">
        <f t="shared" si="3"/>
        <v>0</v>
      </c>
      <c r="C120" s="4">
        <v>79.175803279855089</v>
      </c>
      <c r="D120" s="4">
        <v>34.006057321301583</v>
      </c>
      <c r="F120" s="5">
        <v>0</v>
      </c>
      <c r="G120" s="5"/>
      <c r="H120" s="5">
        <v>100</v>
      </c>
      <c r="I120" s="2"/>
    </row>
    <row r="121" spans="1:9" x14ac:dyDescent="0.3">
      <c r="A121" s="4">
        <v>1901</v>
      </c>
      <c r="B121" s="4">
        <f t="shared" si="3"/>
        <v>0</v>
      </c>
      <c r="C121" s="4">
        <v>77.679853379748778</v>
      </c>
      <c r="D121" s="4">
        <v>34.25213829215491</v>
      </c>
      <c r="F121" s="5">
        <v>0</v>
      </c>
      <c r="G121" s="5"/>
      <c r="H121" s="5">
        <v>100</v>
      </c>
      <c r="I121" s="2"/>
    </row>
    <row r="122" spans="1:9" x14ac:dyDescent="0.3">
      <c r="A122" s="4">
        <v>1900</v>
      </c>
      <c r="B122" s="4">
        <f t="shared" si="3"/>
        <v>0</v>
      </c>
      <c r="C122" s="3">
        <v>76.212168000000005</v>
      </c>
      <c r="D122" s="3">
        <v>34.5</v>
      </c>
      <c r="F122" s="5">
        <v>0</v>
      </c>
      <c r="G122" s="5"/>
      <c r="H122" s="5">
        <v>100</v>
      </c>
      <c r="I122" s="2"/>
    </row>
    <row r="123" spans="1:9" x14ac:dyDescent="0.3">
      <c r="B123" s="4">
        <f t="shared" si="3"/>
        <v>0</v>
      </c>
      <c r="C123" s="4">
        <v>74.768708808246345</v>
      </c>
      <c r="D123" s="3">
        <v>34.616575575720127</v>
      </c>
      <c r="F123" s="3"/>
      <c r="G123" s="3"/>
      <c r="H123" s="3"/>
      <c r="I123" s="3"/>
    </row>
    <row r="124" spans="1:9" x14ac:dyDescent="0.3">
      <c r="B124" s="4">
        <f t="shared" si="3"/>
        <v>0</v>
      </c>
      <c r="C124" s="4">
        <v>73.352588747407538</v>
      </c>
      <c r="D124" s="3">
        <v>34.73354506056647</v>
      </c>
      <c r="F124" s="3"/>
      <c r="G124" s="3"/>
      <c r="H124" s="3"/>
      <c r="I124" s="3"/>
    </row>
    <row r="125" spans="1:9" x14ac:dyDescent="0.3">
      <c r="B125" s="4">
        <f t="shared" si="3"/>
        <v>0</v>
      </c>
      <c r="C125" s="4">
        <v>71.963290014082276</v>
      </c>
      <c r="D125" s="3">
        <v>34.850909785558834</v>
      </c>
      <c r="F125" s="3"/>
      <c r="G125" s="3"/>
      <c r="H125" s="3"/>
      <c r="I125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38AB-8DDE-4B74-82D7-3EEC18CE456C}">
  <dimension ref="A1:M142"/>
  <sheetViews>
    <sheetView workbookViewId="0">
      <selection sqref="A1:M1"/>
    </sheetView>
  </sheetViews>
  <sheetFormatPr defaultRowHeight="14.4" x14ac:dyDescent="0.3"/>
  <cols>
    <col min="1" max="16384" width="8.88671875" style="4"/>
  </cols>
  <sheetData>
    <row r="1" spans="1:13" x14ac:dyDescent="0.3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4" t="s">
        <v>21</v>
      </c>
      <c r="B2" s="4" t="s">
        <v>129</v>
      </c>
    </row>
    <row r="3" spans="1:13" x14ac:dyDescent="0.3">
      <c r="A3" s="4" t="s">
        <v>52</v>
      </c>
      <c r="B3" s="4" t="s">
        <v>130</v>
      </c>
    </row>
    <row r="4" spans="1:13" x14ac:dyDescent="0.3">
      <c r="A4" s="4" t="s">
        <v>54</v>
      </c>
      <c r="B4" s="4" t="s">
        <v>131</v>
      </c>
    </row>
    <row r="5" spans="1:13" x14ac:dyDescent="0.3">
      <c r="A5" s="4" t="s">
        <v>30</v>
      </c>
      <c r="B5" s="4">
        <v>9306</v>
      </c>
    </row>
    <row r="7" spans="1:13" x14ac:dyDescent="0.3">
      <c r="A7" s="4" t="s">
        <v>31</v>
      </c>
    </row>
    <row r="8" spans="1:13" x14ac:dyDescent="0.3">
      <c r="A8" s="4" t="s">
        <v>32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40</v>
      </c>
      <c r="J8" s="4" t="s">
        <v>41</v>
      </c>
      <c r="K8" s="4" t="s">
        <v>42</v>
      </c>
      <c r="L8" s="4" t="s">
        <v>43</v>
      </c>
      <c r="M8" s="4" t="s">
        <v>44</v>
      </c>
    </row>
    <row r="9" spans="1:13" x14ac:dyDescent="0.3">
      <c r="A9" s="4">
        <v>1993</v>
      </c>
      <c r="B9" s="4">
        <f>C9*'Radio PPI''s'!C$40/'Radio PPI''s'!D$40</f>
        <v>96.744574290484152</v>
      </c>
      <c r="C9" s="4">
        <f>D9*'Radio PPI''s'!D$40/'Radio PPI''s'!E$40</f>
        <v>97.662771285475799</v>
      </c>
      <c r="D9" s="4">
        <f>E9*'Radio PPI''s'!E$40/'Radio PPI''s'!F$40</f>
        <v>98.080133555926537</v>
      </c>
      <c r="E9" s="4">
        <f>F9*'Radio PPI''s'!F$40/'Radio PPI''s'!G$40</f>
        <v>99.332220367278794</v>
      </c>
      <c r="F9" s="4">
        <f>G9*'Radio PPI''s'!G$40/'Radio PPI''s'!H$40</f>
        <v>99.248747913188652</v>
      </c>
      <c r="G9" s="4">
        <v>100</v>
      </c>
      <c r="H9" s="4">
        <v>93.5</v>
      </c>
      <c r="I9" s="4">
        <v>93.9</v>
      </c>
      <c r="J9" s="4">
        <v>94.6</v>
      </c>
      <c r="K9" s="4">
        <v>94.9</v>
      </c>
      <c r="L9" s="4">
        <v>96.4</v>
      </c>
      <c r="M9" s="4">
        <v>96.8</v>
      </c>
    </row>
    <row r="10" spans="1:13" x14ac:dyDescent="0.3">
      <c r="A10" s="4">
        <v>1994</v>
      </c>
      <c r="B10" s="4">
        <v>96.3</v>
      </c>
      <c r="C10" s="4">
        <v>96.6</v>
      </c>
      <c r="D10" s="4">
        <v>97.9</v>
      </c>
      <c r="E10" s="4">
        <v>99.3</v>
      </c>
      <c r="F10" s="4">
        <v>100.7</v>
      </c>
      <c r="G10" s="4">
        <v>101.4</v>
      </c>
      <c r="H10" s="4">
        <v>99.1</v>
      </c>
      <c r="I10" s="4">
        <v>99</v>
      </c>
      <c r="J10" s="4">
        <v>100</v>
      </c>
      <c r="K10" s="4">
        <v>102.2</v>
      </c>
      <c r="L10" s="4">
        <v>102.1</v>
      </c>
      <c r="M10" s="4">
        <v>102.7</v>
      </c>
    </row>
    <row r="11" spans="1:13" x14ac:dyDescent="0.3">
      <c r="A11" s="4">
        <v>1995</v>
      </c>
      <c r="B11" s="4">
        <v>100.8</v>
      </c>
      <c r="C11" s="4">
        <v>101.1</v>
      </c>
      <c r="D11" s="4">
        <v>101.5</v>
      </c>
      <c r="E11" s="4">
        <v>104.2</v>
      </c>
      <c r="F11" s="4">
        <v>102.6</v>
      </c>
      <c r="G11" s="4">
        <v>105.3</v>
      </c>
      <c r="H11" s="4">
        <v>101</v>
      </c>
      <c r="I11" s="4">
        <v>100.8</v>
      </c>
      <c r="J11" s="4">
        <v>102.3</v>
      </c>
      <c r="K11" s="4">
        <v>106</v>
      </c>
      <c r="L11" s="4">
        <v>106.9</v>
      </c>
      <c r="M11" s="4">
        <v>105.9</v>
      </c>
    </row>
    <row r="12" spans="1:13" x14ac:dyDescent="0.3">
      <c r="A12" s="4">
        <v>1996</v>
      </c>
      <c r="B12" s="4">
        <v>106.9</v>
      </c>
      <c r="C12" s="4">
        <v>105.8</v>
      </c>
      <c r="D12" s="4">
        <v>106.1</v>
      </c>
      <c r="E12" s="4">
        <v>107</v>
      </c>
      <c r="F12" s="4">
        <v>110</v>
      </c>
      <c r="G12" s="4">
        <v>110.1</v>
      </c>
      <c r="H12" s="4">
        <v>110</v>
      </c>
      <c r="I12" s="4">
        <v>105.9</v>
      </c>
      <c r="J12" s="4">
        <v>105.2</v>
      </c>
      <c r="K12" s="4">
        <v>110.9</v>
      </c>
      <c r="L12" s="4">
        <v>121.3</v>
      </c>
      <c r="M12" s="4">
        <v>113.5</v>
      </c>
    </row>
    <row r="13" spans="1:13" x14ac:dyDescent="0.3">
      <c r="A13" s="4">
        <v>1997</v>
      </c>
      <c r="B13" s="4">
        <v>114.1</v>
      </c>
      <c r="C13" s="4">
        <v>114.2</v>
      </c>
      <c r="D13" s="4">
        <v>114.2</v>
      </c>
      <c r="E13" s="4">
        <v>121.7</v>
      </c>
      <c r="F13" s="4">
        <v>121.5</v>
      </c>
      <c r="G13" s="4">
        <v>121.6</v>
      </c>
      <c r="H13" s="4">
        <v>120.8</v>
      </c>
      <c r="I13" s="4">
        <v>120.8</v>
      </c>
      <c r="J13" s="4">
        <v>120.8</v>
      </c>
      <c r="K13" s="4">
        <v>123.1</v>
      </c>
      <c r="L13" s="4">
        <v>123.1</v>
      </c>
      <c r="M13" s="4">
        <v>123.1</v>
      </c>
    </row>
    <row r="14" spans="1:13" x14ac:dyDescent="0.3">
      <c r="A14" s="4">
        <v>1998</v>
      </c>
      <c r="B14" s="4">
        <v>123.4</v>
      </c>
      <c r="C14" s="4">
        <v>123.3</v>
      </c>
      <c r="D14" s="4">
        <v>123.2</v>
      </c>
      <c r="E14" s="4">
        <v>122.7</v>
      </c>
      <c r="F14" s="4">
        <v>122.7</v>
      </c>
      <c r="G14" s="4">
        <v>123.6</v>
      </c>
      <c r="H14" s="4">
        <v>122.8</v>
      </c>
      <c r="I14" s="4">
        <v>122.8</v>
      </c>
      <c r="J14" s="4">
        <v>122.8</v>
      </c>
      <c r="K14" s="4">
        <v>125.9</v>
      </c>
      <c r="L14" s="4">
        <v>125.9</v>
      </c>
      <c r="M14" s="4">
        <v>126.3</v>
      </c>
    </row>
    <row r="15" spans="1:13" x14ac:dyDescent="0.3">
      <c r="A15" s="4">
        <v>1999</v>
      </c>
      <c r="B15" s="4">
        <v>127.6</v>
      </c>
      <c r="C15" s="4">
        <v>127.6</v>
      </c>
      <c r="D15" s="4">
        <v>127</v>
      </c>
      <c r="E15" s="4">
        <v>126.9</v>
      </c>
      <c r="F15" s="4">
        <v>127.4</v>
      </c>
      <c r="G15" s="4">
        <v>127.3</v>
      </c>
      <c r="H15" s="4">
        <v>125.6</v>
      </c>
      <c r="I15" s="4">
        <v>125.6</v>
      </c>
      <c r="J15" s="4">
        <v>125.6</v>
      </c>
      <c r="K15" s="4">
        <v>133.30000000000001</v>
      </c>
      <c r="L15" s="4">
        <v>132.5</v>
      </c>
      <c r="M15" s="4">
        <v>132.5</v>
      </c>
    </row>
    <row r="16" spans="1:13" x14ac:dyDescent="0.3">
      <c r="A16" s="4">
        <v>2000</v>
      </c>
      <c r="B16" s="4">
        <v>131.80000000000001</v>
      </c>
      <c r="C16" s="4">
        <v>132</v>
      </c>
      <c r="D16" s="4">
        <v>133.1</v>
      </c>
      <c r="E16" s="4">
        <v>137.1</v>
      </c>
      <c r="F16" s="4">
        <v>139.19999999999999</v>
      </c>
      <c r="G16" s="4">
        <v>140.9</v>
      </c>
      <c r="H16" s="4">
        <v>147.19999999999999</v>
      </c>
      <c r="I16" s="4">
        <v>138</v>
      </c>
      <c r="J16" s="4">
        <v>136.4</v>
      </c>
      <c r="K16" s="4">
        <v>149.9</v>
      </c>
      <c r="L16" s="4">
        <v>158.9</v>
      </c>
      <c r="M16" s="4">
        <v>159.69999999999999</v>
      </c>
    </row>
    <row r="17" spans="1:13" x14ac:dyDescent="0.3">
      <c r="A17" s="4">
        <v>2001</v>
      </c>
      <c r="B17" s="4">
        <v>154.9</v>
      </c>
      <c r="C17" s="4">
        <v>153.9</v>
      </c>
      <c r="D17" s="4">
        <v>154.1</v>
      </c>
      <c r="E17" s="4">
        <v>154.69999999999999</v>
      </c>
      <c r="F17" s="4">
        <v>153.69999999999999</v>
      </c>
      <c r="G17" s="4">
        <v>153.9</v>
      </c>
      <c r="H17" s="4">
        <v>150.19999999999999</v>
      </c>
      <c r="I17" s="4">
        <v>145.4</v>
      </c>
      <c r="J17" s="4">
        <v>144.1</v>
      </c>
      <c r="K17" s="4">
        <v>145</v>
      </c>
      <c r="L17" s="4">
        <v>144.1</v>
      </c>
      <c r="M17" s="4">
        <v>143.69999999999999</v>
      </c>
    </row>
    <row r="18" spans="1:13" x14ac:dyDescent="0.3">
      <c r="A18" s="4">
        <v>2002</v>
      </c>
      <c r="B18" s="4">
        <v>138.80000000000001</v>
      </c>
      <c r="C18" s="4">
        <v>140.1</v>
      </c>
      <c r="D18" s="4">
        <v>140.1</v>
      </c>
      <c r="E18" s="4">
        <v>149.4</v>
      </c>
      <c r="F18" s="4">
        <v>149.69999999999999</v>
      </c>
      <c r="G18" s="4">
        <v>150</v>
      </c>
      <c r="H18" s="4">
        <v>136.30000000000001</v>
      </c>
      <c r="I18" s="4">
        <v>142.6</v>
      </c>
      <c r="J18" s="4">
        <v>143.19999999999999</v>
      </c>
      <c r="K18" s="4">
        <v>164.8</v>
      </c>
      <c r="L18" s="4">
        <v>159.6</v>
      </c>
      <c r="M18" s="4">
        <v>160.80000000000001</v>
      </c>
    </row>
    <row r="19" spans="1:13" x14ac:dyDescent="0.3">
      <c r="A19" s="4">
        <v>2003</v>
      </c>
      <c r="B19" s="4">
        <v>156.80000000000001</v>
      </c>
      <c r="C19" s="4">
        <v>156.4</v>
      </c>
      <c r="D19" s="4">
        <v>157.1</v>
      </c>
      <c r="E19" s="4">
        <v>167.7</v>
      </c>
      <c r="F19" s="4">
        <v>167.7</v>
      </c>
      <c r="G19" s="4">
        <v>166.2</v>
      </c>
      <c r="H19" s="4">
        <v>152.19999999999999</v>
      </c>
      <c r="I19" s="4">
        <v>150.4</v>
      </c>
      <c r="J19" s="4">
        <v>151.6</v>
      </c>
      <c r="K19" s="4">
        <v>171</v>
      </c>
      <c r="L19" s="4">
        <v>169.6</v>
      </c>
      <c r="M19" s="4">
        <v>172.3</v>
      </c>
    </row>
    <row r="22" spans="1:13" x14ac:dyDescent="0.3">
      <c r="A22" s="4" t="s">
        <v>21</v>
      </c>
      <c r="B22" s="4" t="s">
        <v>89</v>
      </c>
    </row>
    <row r="23" spans="1:13" x14ac:dyDescent="0.3">
      <c r="A23" s="4" t="s">
        <v>24</v>
      </c>
      <c r="B23" s="4" t="s">
        <v>90</v>
      </c>
    </row>
    <row r="24" spans="1:13" x14ac:dyDescent="0.3">
      <c r="A24" s="4" t="s">
        <v>52</v>
      </c>
      <c r="B24" s="4" t="s">
        <v>91</v>
      </c>
    </row>
    <row r="25" spans="1:13" x14ac:dyDescent="0.3">
      <c r="A25" s="4" t="s">
        <v>54</v>
      </c>
      <c r="B25" s="4" t="s">
        <v>92</v>
      </c>
    </row>
    <row r="26" spans="1:13" x14ac:dyDescent="0.3">
      <c r="A26" s="4" t="s">
        <v>30</v>
      </c>
      <c r="B26" s="4">
        <v>199306</v>
      </c>
    </row>
    <row r="28" spans="1:13" x14ac:dyDescent="0.3">
      <c r="A28" s="4" t="s">
        <v>31</v>
      </c>
    </row>
    <row r="29" spans="1:13" x14ac:dyDescent="0.3">
      <c r="A29" s="4" t="s">
        <v>32</v>
      </c>
      <c r="B29" s="4" t="s">
        <v>33</v>
      </c>
      <c r="C29" s="4" t="s">
        <v>34</v>
      </c>
      <c r="D29" s="4" t="s">
        <v>35</v>
      </c>
      <c r="E29" s="4" t="s">
        <v>36</v>
      </c>
      <c r="F29" s="4" t="s">
        <v>37</v>
      </c>
      <c r="G29" s="4" t="s">
        <v>38</v>
      </c>
      <c r="H29" s="4" t="s">
        <v>39</v>
      </c>
      <c r="I29" s="4" t="s">
        <v>40</v>
      </c>
      <c r="J29" s="4" t="s">
        <v>41</v>
      </c>
      <c r="K29" s="4" t="s">
        <v>42</v>
      </c>
      <c r="L29" s="4" t="s">
        <v>43</v>
      </c>
      <c r="M29" s="4" t="s">
        <v>44</v>
      </c>
    </row>
    <row r="30" spans="1:13" x14ac:dyDescent="0.3">
      <c r="A30" s="4">
        <v>1993</v>
      </c>
      <c r="B30" s="4">
        <f>C30*'Radio PPI''s'!C$40/'Radio PPI''s'!D$40</f>
        <v>96.744574290484152</v>
      </c>
      <c r="C30" s="4">
        <f>D30*'Radio PPI''s'!D$40/'Radio PPI''s'!E$40</f>
        <v>97.662771285475799</v>
      </c>
      <c r="D30" s="4">
        <f>E30*'Radio PPI''s'!E$40/'Radio PPI''s'!F$40</f>
        <v>98.080133555926537</v>
      </c>
      <c r="E30" s="4">
        <f>F30*'Radio PPI''s'!F$40/'Radio PPI''s'!G$40</f>
        <v>99.332220367278794</v>
      </c>
      <c r="F30" s="4">
        <f>G30*'Radio PPI''s'!G$40/'Radio PPI''s'!H$40</f>
        <v>99.248747913188652</v>
      </c>
      <c r="G30" s="4">
        <v>100</v>
      </c>
      <c r="H30" s="4">
        <f>G30^0.5*I30^0.5</f>
        <v>95.026312145636794</v>
      </c>
      <c r="I30" s="4">
        <v>90.3</v>
      </c>
      <c r="J30" s="4">
        <v>89.9</v>
      </c>
      <c r="K30" s="4">
        <v>90.3</v>
      </c>
      <c r="L30" s="4">
        <v>92.3</v>
      </c>
      <c r="M30" s="4">
        <v>92.8</v>
      </c>
    </row>
    <row r="31" spans="1:13" x14ac:dyDescent="0.3">
      <c r="A31" s="4">
        <v>1994</v>
      </c>
      <c r="B31" s="4">
        <v>92.2</v>
      </c>
      <c r="C31" s="4">
        <v>92.7</v>
      </c>
      <c r="D31" s="4">
        <v>94</v>
      </c>
      <c r="E31" s="4">
        <v>95.9</v>
      </c>
      <c r="F31" s="4">
        <v>97.3</v>
      </c>
      <c r="G31" s="4">
        <v>98.3</v>
      </c>
      <c r="H31" s="4">
        <v>95.1</v>
      </c>
      <c r="I31" s="4">
        <v>95</v>
      </c>
      <c r="J31" s="4">
        <v>96.3</v>
      </c>
      <c r="K31" s="4">
        <v>99.3</v>
      </c>
      <c r="L31" s="4">
        <v>99.2</v>
      </c>
      <c r="M31" s="4">
        <v>100</v>
      </c>
    </row>
    <row r="32" spans="1:13" x14ac:dyDescent="0.3">
      <c r="A32" s="4">
        <v>1995</v>
      </c>
      <c r="B32" s="4">
        <v>97.4</v>
      </c>
      <c r="C32" s="4">
        <v>97.3</v>
      </c>
      <c r="D32" s="4">
        <v>97.8</v>
      </c>
      <c r="E32" s="4">
        <v>101.7</v>
      </c>
      <c r="F32" s="4">
        <v>99.3</v>
      </c>
      <c r="G32" s="4">
        <v>103.1</v>
      </c>
      <c r="H32" s="4">
        <v>97.1</v>
      </c>
      <c r="I32" s="4">
        <v>96.8</v>
      </c>
      <c r="J32" s="4">
        <v>98.5</v>
      </c>
      <c r="K32" s="4">
        <v>103.7</v>
      </c>
      <c r="L32" s="4">
        <v>104.9</v>
      </c>
      <c r="M32" s="4">
        <v>103.5</v>
      </c>
    </row>
    <row r="33" spans="1:13" x14ac:dyDescent="0.3">
      <c r="A33" s="4">
        <v>1996</v>
      </c>
      <c r="B33" s="4">
        <v>104.8</v>
      </c>
      <c r="C33" s="4">
        <v>103.2</v>
      </c>
      <c r="D33" s="4">
        <v>103.7</v>
      </c>
      <c r="E33" s="4">
        <v>104.7</v>
      </c>
      <c r="F33" s="4">
        <v>108.9</v>
      </c>
      <c r="G33" s="4">
        <v>109.1</v>
      </c>
      <c r="H33" s="4">
        <v>109</v>
      </c>
      <c r="I33" s="4">
        <v>103.2</v>
      </c>
      <c r="J33" s="4">
        <v>102.3</v>
      </c>
      <c r="K33" s="4">
        <v>110.3</v>
      </c>
      <c r="L33" s="4">
        <v>125</v>
      </c>
      <c r="M33" s="4">
        <v>114</v>
      </c>
    </row>
    <row r="34" spans="1:13" x14ac:dyDescent="0.3">
      <c r="A34" s="4">
        <v>1997</v>
      </c>
      <c r="B34" s="4">
        <v>115</v>
      </c>
      <c r="C34" s="4">
        <v>115</v>
      </c>
      <c r="D34" s="4">
        <v>115</v>
      </c>
      <c r="E34" s="4">
        <v>124.7</v>
      </c>
      <c r="F34" s="4">
        <v>124.7</v>
      </c>
      <c r="G34" s="4">
        <v>124.8</v>
      </c>
      <c r="H34" s="4">
        <v>123.6</v>
      </c>
      <c r="I34" s="4">
        <v>123.6</v>
      </c>
      <c r="J34" s="4">
        <v>123.6</v>
      </c>
      <c r="K34" s="4">
        <v>126.5</v>
      </c>
      <c r="L34" s="4">
        <v>126.5</v>
      </c>
      <c r="M34" s="4">
        <v>126.5</v>
      </c>
    </row>
    <row r="35" spans="1:13" x14ac:dyDescent="0.3">
      <c r="A35" s="4">
        <v>1998</v>
      </c>
      <c r="B35" s="4">
        <v>126.9</v>
      </c>
      <c r="C35" s="4">
        <v>126.9</v>
      </c>
      <c r="D35" s="4">
        <v>126.7</v>
      </c>
      <c r="E35" s="4">
        <v>126.3</v>
      </c>
      <c r="F35" s="4">
        <v>126.3</v>
      </c>
      <c r="G35" s="4">
        <v>126.3</v>
      </c>
      <c r="H35" s="4">
        <v>125.1</v>
      </c>
      <c r="I35" s="4">
        <v>125.1</v>
      </c>
      <c r="J35" s="4">
        <v>125.1</v>
      </c>
      <c r="K35" s="4">
        <v>129.5</v>
      </c>
      <c r="L35" s="4">
        <v>129.5</v>
      </c>
      <c r="M35" s="4">
        <v>130.1</v>
      </c>
    </row>
    <row r="36" spans="1:13" x14ac:dyDescent="0.3">
      <c r="A36" s="4">
        <v>1999</v>
      </c>
      <c r="B36" s="4">
        <v>130.1</v>
      </c>
      <c r="C36" s="4">
        <v>130.1</v>
      </c>
      <c r="D36" s="4">
        <v>129.30000000000001</v>
      </c>
      <c r="E36" s="4">
        <v>129.19999999999999</v>
      </c>
      <c r="F36" s="4">
        <v>129.19999999999999</v>
      </c>
      <c r="G36" s="4">
        <v>129.1</v>
      </c>
      <c r="H36" s="4">
        <v>126.7</v>
      </c>
      <c r="I36" s="4">
        <v>126.7</v>
      </c>
      <c r="J36" s="4">
        <v>126.7</v>
      </c>
      <c r="K36" s="4">
        <v>136.80000000000001</v>
      </c>
      <c r="L36" s="4">
        <v>135.69999999999999</v>
      </c>
      <c r="M36" s="4">
        <v>135.69999999999999</v>
      </c>
    </row>
    <row r="37" spans="1:13" x14ac:dyDescent="0.3">
      <c r="A37" s="4">
        <v>2000</v>
      </c>
      <c r="B37" s="4">
        <v>135.1</v>
      </c>
      <c r="C37" s="4">
        <v>135.4</v>
      </c>
      <c r="D37" s="4">
        <v>137</v>
      </c>
      <c r="E37" s="4">
        <v>141.6</v>
      </c>
      <c r="F37" s="4">
        <v>144.5</v>
      </c>
      <c r="G37" s="4">
        <v>147</v>
      </c>
      <c r="H37" s="4">
        <v>155</v>
      </c>
      <c r="I37" s="4">
        <v>142.6</v>
      </c>
      <c r="J37" s="4">
        <v>140.5</v>
      </c>
      <c r="K37" s="4">
        <v>158.4</v>
      </c>
      <c r="L37" s="4">
        <v>170.4</v>
      </c>
      <c r="M37" s="4">
        <v>171.6</v>
      </c>
    </row>
    <row r="38" spans="1:13" x14ac:dyDescent="0.3">
      <c r="A38" s="4">
        <v>2001</v>
      </c>
      <c r="B38" s="4">
        <v>165.3</v>
      </c>
      <c r="C38" s="4">
        <v>164</v>
      </c>
      <c r="D38" s="4">
        <v>164</v>
      </c>
      <c r="E38" s="4">
        <v>164.5</v>
      </c>
      <c r="F38" s="4">
        <v>163</v>
      </c>
      <c r="G38" s="4">
        <v>163.30000000000001</v>
      </c>
      <c r="H38" s="4">
        <v>158.5</v>
      </c>
      <c r="I38" s="4">
        <v>152.1</v>
      </c>
      <c r="J38" s="4">
        <v>150.19999999999999</v>
      </c>
      <c r="K38" s="4">
        <v>151.69999999999999</v>
      </c>
      <c r="L38" s="4">
        <v>151</v>
      </c>
      <c r="M38" s="4">
        <v>150.5</v>
      </c>
    </row>
    <row r="39" spans="1:13" x14ac:dyDescent="0.3">
      <c r="A39" s="4">
        <v>2002</v>
      </c>
      <c r="B39" s="4">
        <v>143.6</v>
      </c>
      <c r="C39" s="4">
        <v>144.30000000000001</v>
      </c>
      <c r="D39" s="4">
        <v>144.19999999999999</v>
      </c>
      <c r="E39" s="4">
        <v>155.9</v>
      </c>
      <c r="F39" s="4">
        <v>155.6</v>
      </c>
      <c r="G39" s="4">
        <v>156.1</v>
      </c>
      <c r="H39" s="4">
        <v>136.9</v>
      </c>
      <c r="I39" s="4">
        <v>145.5</v>
      </c>
      <c r="J39" s="4">
        <v>146.30000000000001</v>
      </c>
      <c r="K39" s="4">
        <v>176.9</v>
      </c>
      <c r="L39" s="4">
        <v>169.6</v>
      </c>
      <c r="M39" s="4">
        <v>168.4</v>
      </c>
    </row>
    <row r="40" spans="1:13" x14ac:dyDescent="0.3">
      <c r="A40" s="4">
        <v>2003</v>
      </c>
      <c r="B40" s="4">
        <v>162.9</v>
      </c>
      <c r="C40" s="4">
        <v>162.30000000000001</v>
      </c>
      <c r="D40" s="4">
        <v>163.6</v>
      </c>
      <c r="E40" s="4">
        <v>176.2</v>
      </c>
      <c r="F40" s="4">
        <v>176.3</v>
      </c>
      <c r="G40" s="4">
        <v>175.3</v>
      </c>
      <c r="H40" s="4">
        <v>155.19999999999999</v>
      </c>
      <c r="I40" s="4">
        <v>152.80000000000001</v>
      </c>
      <c r="J40" s="4">
        <v>154.5</v>
      </c>
      <c r="K40" s="4">
        <v>176.8</v>
      </c>
      <c r="L40" s="4">
        <v>174.8</v>
      </c>
      <c r="M40" s="4">
        <v>178.7</v>
      </c>
    </row>
    <row r="41" spans="1:13" x14ac:dyDescent="0.3">
      <c r="A41" s="4">
        <v>2004</v>
      </c>
      <c r="B41" s="4">
        <v>171.2</v>
      </c>
      <c r="C41" s="4">
        <v>176.6</v>
      </c>
      <c r="D41" s="4">
        <v>179.5</v>
      </c>
      <c r="E41" s="4">
        <v>179.1</v>
      </c>
      <c r="F41" s="4">
        <v>181.5</v>
      </c>
      <c r="G41" s="4">
        <v>182</v>
      </c>
      <c r="H41" s="4">
        <v>171.1</v>
      </c>
      <c r="I41" s="4">
        <v>168.1</v>
      </c>
      <c r="J41" s="4">
        <v>170.5</v>
      </c>
      <c r="K41" s="4">
        <v>184.4</v>
      </c>
      <c r="L41" s="4">
        <v>181.4</v>
      </c>
      <c r="M41" s="4">
        <v>175.2</v>
      </c>
    </row>
    <row r="42" spans="1:13" x14ac:dyDescent="0.3">
      <c r="A42" s="4">
        <v>2005</v>
      </c>
      <c r="B42" s="4">
        <v>169</v>
      </c>
      <c r="C42" s="4">
        <v>168.3</v>
      </c>
      <c r="D42" s="4">
        <v>169.7</v>
      </c>
      <c r="E42" s="4">
        <v>178.9</v>
      </c>
      <c r="F42" s="4">
        <v>182.7</v>
      </c>
      <c r="G42" s="4">
        <v>181.2</v>
      </c>
      <c r="H42" s="4">
        <v>165.3</v>
      </c>
      <c r="I42" s="4">
        <v>168</v>
      </c>
      <c r="J42" s="4">
        <v>165.3</v>
      </c>
      <c r="K42" s="4">
        <v>195.9</v>
      </c>
      <c r="L42" s="4">
        <v>196.4</v>
      </c>
      <c r="M42" s="4">
        <v>187.3</v>
      </c>
    </row>
    <row r="43" spans="1:13" x14ac:dyDescent="0.3">
      <c r="A43" s="4">
        <v>2006</v>
      </c>
      <c r="B43" s="4">
        <v>172.4</v>
      </c>
      <c r="C43" s="4">
        <v>170.5</v>
      </c>
      <c r="D43" s="4">
        <v>171</v>
      </c>
      <c r="E43" s="4">
        <v>179.2</v>
      </c>
      <c r="F43" s="4">
        <v>184</v>
      </c>
      <c r="G43" s="4">
        <v>181</v>
      </c>
      <c r="H43" s="4">
        <v>169.7</v>
      </c>
      <c r="I43" s="4">
        <v>169.7</v>
      </c>
      <c r="J43" s="4">
        <v>174.6</v>
      </c>
      <c r="K43" s="4">
        <v>185.6</v>
      </c>
      <c r="L43" s="4">
        <v>181.4</v>
      </c>
      <c r="M43" s="4">
        <v>175</v>
      </c>
    </row>
    <row r="44" spans="1:13" x14ac:dyDescent="0.3">
      <c r="A44" s="4">
        <v>2007</v>
      </c>
      <c r="B44" s="4">
        <v>172.2</v>
      </c>
      <c r="C44" s="4">
        <v>172.2</v>
      </c>
      <c r="D44" s="4">
        <v>168.6</v>
      </c>
      <c r="E44" s="4">
        <v>159</v>
      </c>
      <c r="F44" s="4">
        <v>159</v>
      </c>
      <c r="G44" s="4">
        <v>161.9</v>
      </c>
      <c r="H44" s="4">
        <v>148.6</v>
      </c>
      <c r="I44" s="4">
        <v>148.6</v>
      </c>
      <c r="J44" s="4">
        <v>152.69999999999999</v>
      </c>
      <c r="K44" s="4">
        <v>159.5</v>
      </c>
      <c r="L44" s="4">
        <v>166.3</v>
      </c>
      <c r="M44" s="4">
        <v>176.1</v>
      </c>
    </row>
    <row r="45" spans="1:13" x14ac:dyDescent="0.3">
      <c r="A45" s="4">
        <v>2008</v>
      </c>
      <c r="B45" s="4">
        <v>177.3</v>
      </c>
      <c r="C45" s="4">
        <v>176.5</v>
      </c>
      <c r="D45" s="4">
        <v>179.3</v>
      </c>
      <c r="E45" s="4">
        <v>182</v>
      </c>
      <c r="F45" s="4">
        <v>175.5</v>
      </c>
      <c r="G45" s="4">
        <v>174.2</v>
      </c>
      <c r="H45" s="4">
        <v>178.6</v>
      </c>
      <c r="I45" s="4">
        <v>186</v>
      </c>
      <c r="J45" s="4">
        <v>191</v>
      </c>
      <c r="K45" s="4">
        <v>209.5</v>
      </c>
      <c r="L45" s="4">
        <v>206.2</v>
      </c>
      <c r="M45" s="4">
        <v>205.4</v>
      </c>
    </row>
    <row r="46" spans="1:13" x14ac:dyDescent="0.3">
      <c r="A46" s="4">
        <v>2009</v>
      </c>
      <c r="B46" s="4">
        <v>207.3</v>
      </c>
      <c r="C46" s="4">
        <v>213.1</v>
      </c>
      <c r="D46" s="4">
        <v>203.5</v>
      </c>
      <c r="E46" s="4">
        <v>191.4</v>
      </c>
      <c r="F46" s="4">
        <v>200.2</v>
      </c>
      <c r="G46" s="4">
        <v>196.2</v>
      </c>
      <c r="H46" s="4">
        <v>179.9</v>
      </c>
      <c r="I46" s="4">
        <v>180.2</v>
      </c>
      <c r="J46" s="4">
        <v>186.6</v>
      </c>
      <c r="K46" s="4">
        <v>178.7</v>
      </c>
      <c r="L46" s="4">
        <v>185</v>
      </c>
      <c r="M46" s="4">
        <v>183.9</v>
      </c>
    </row>
    <row r="47" spans="1:13" x14ac:dyDescent="0.3">
      <c r="A47" s="4">
        <v>2010</v>
      </c>
      <c r="B47" s="4">
        <v>190.5</v>
      </c>
      <c r="C47" s="4">
        <v>188.6</v>
      </c>
      <c r="D47" s="4">
        <v>197.3</v>
      </c>
      <c r="E47" s="4">
        <v>203.6</v>
      </c>
      <c r="F47" s="4">
        <v>205.4</v>
      </c>
      <c r="G47" s="4">
        <v>211.6</v>
      </c>
      <c r="H47" s="4">
        <v>199.1</v>
      </c>
      <c r="I47" s="4">
        <v>203.1</v>
      </c>
      <c r="J47" s="4">
        <v>203.9</v>
      </c>
      <c r="K47" s="4">
        <v>219.8</v>
      </c>
      <c r="L47" s="4">
        <v>226.5</v>
      </c>
      <c r="M47" s="4">
        <v>223.3</v>
      </c>
    </row>
    <row r="48" spans="1:13" x14ac:dyDescent="0.3">
      <c r="A48" s="4">
        <v>2011</v>
      </c>
      <c r="B48" s="4">
        <v>209.4</v>
      </c>
      <c r="C48" s="4">
        <v>222</v>
      </c>
      <c r="D48" s="4">
        <v>219.1</v>
      </c>
      <c r="E48" s="4">
        <v>226</v>
      </c>
      <c r="F48" s="4">
        <v>226.4</v>
      </c>
      <c r="G48" s="4">
        <v>227.2</v>
      </c>
      <c r="H48" s="4">
        <v>204.4</v>
      </c>
      <c r="I48" s="4">
        <v>202.9</v>
      </c>
      <c r="J48" s="4">
        <v>203.6</v>
      </c>
      <c r="K48" s="4">
        <v>228.1</v>
      </c>
      <c r="L48" s="4">
        <v>227</v>
      </c>
      <c r="M48" s="4">
        <v>218.7</v>
      </c>
    </row>
    <row r="49" spans="1:13" x14ac:dyDescent="0.3">
      <c r="A49" s="4">
        <v>2012</v>
      </c>
      <c r="B49" s="4">
        <v>223.8</v>
      </c>
      <c r="C49" s="4">
        <v>224</v>
      </c>
      <c r="D49" s="4">
        <v>224</v>
      </c>
      <c r="E49" s="4">
        <v>224.7</v>
      </c>
      <c r="F49" s="4">
        <v>239.1</v>
      </c>
      <c r="G49" s="4">
        <v>234.2</v>
      </c>
      <c r="H49" s="4">
        <v>219</v>
      </c>
      <c r="I49" s="4">
        <v>229</v>
      </c>
      <c r="J49" s="4">
        <v>225.9</v>
      </c>
      <c r="K49" s="4">
        <v>251.6</v>
      </c>
      <c r="L49" s="4">
        <v>247.6</v>
      </c>
      <c r="M49" s="4">
        <v>248.3</v>
      </c>
    </row>
    <row r="50" spans="1:13" x14ac:dyDescent="0.3">
      <c r="A50" s="4">
        <v>2013</v>
      </c>
      <c r="B50" s="4">
        <v>241</v>
      </c>
      <c r="C50" s="4">
        <v>250.1</v>
      </c>
      <c r="D50" s="4">
        <v>243.6</v>
      </c>
      <c r="E50" s="4">
        <v>244.8</v>
      </c>
      <c r="F50" s="4">
        <v>244.4</v>
      </c>
      <c r="G50" s="4">
        <v>244.2</v>
      </c>
      <c r="H50" s="4">
        <v>208.8</v>
      </c>
      <c r="I50" s="4">
        <v>219.7</v>
      </c>
      <c r="J50" s="4">
        <v>218.7</v>
      </c>
      <c r="K50" s="4">
        <v>222.2</v>
      </c>
      <c r="L50" s="4">
        <v>221.2</v>
      </c>
      <c r="M50" s="4">
        <v>222.3</v>
      </c>
    </row>
    <row r="51" spans="1:13" x14ac:dyDescent="0.3">
      <c r="A51" s="4">
        <v>2014</v>
      </c>
      <c r="B51" s="4">
        <v>238</v>
      </c>
      <c r="C51" s="4">
        <v>234.7</v>
      </c>
      <c r="D51" s="4">
        <v>242.6</v>
      </c>
      <c r="E51" s="4">
        <v>236.2</v>
      </c>
      <c r="F51" s="4">
        <v>240.6</v>
      </c>
      <c r="G51" s="4">
        <v>230.9</v>
      </c>
      <c r="H51" s="4">
        <v>227.7</v>
      </c>
      <c r="I51" s="4">
        <v>233.4</v>
      </c>
      <c r="J51" s="4">
        <v>229.4</v>
      </c>
      <c r="K51" s="4">
        <v>243.1</v>
      </c>
      <c r="L51" s="4">
        <v>237.5</v>
      </c>
      <c r="M51" s="4">
        <v>242.1</v>
      </c>
    </row>
    <row r="52" spans="1:13" x14ac:dyDescent="0.3">
      <c r="A52" s="4">
        <v>2015</v>
      </c>
      <c r="B52" s="4">
        <v>238.2</v>
      </c>
      <c r="C52" s="4">
        <v>241.2</v>
      </c>
      <c r="D52" s="4">
        <v>234.8</v>
      </c>
      <c r="E52" s="4">
        <v>243.3</v>
      </c>
      <c r="F52" s="4">
        <v>242.7</v>
      </c>
      <c r="G52" s="4">
        <v>244</v>
      </c>
      <c r="H52" s="4">
        <v>238.5</v>
      </c>
      <c r="I52" s="4">
        <v>239.7</v>
      </c>
      <c r="J52" s="4">
        <v>240.1</v>
      </c>
      <c r="K52" s="4">
        <v>235.2</v>
      </c>
      <c r="L52" s="4">
        <v>235.3</v>
      </c>
      <c r="M52" s="4">
        <v>235.4</v>
      </c>
    </row>
    <row r="53" spans="1:13" x14ac:dyDescent="0.3">
      <c r="A53" s="4">
        <v>2016</v>
      </c>
      <c r="B53" s="4">
        <v>232</v>
      </c>
      <c r="C53" s="4">
        <v>229.9</v>
      </c>
      <c r="D53" s="4">
        <v>233</v>
      </c>
      <c r="E53" s="4">
        <v>232.3</v>
      </c>
      <c r="F53" s="4">
        <v>230.7</v>
      </c>
      <c r="G53" s="4">
        <v>232.3</v>
      </c>
      <c r="H53" s="4">
        <v>227.2</v>
      </c>
      <c r="I53" s="4">
        <v>229.7</v>
      </c>
      <c r="J53" s="4">
        <v>230.5</v>
      </c>
      <c r="K53" s="4">
        <v>241.5</v>
      </c>
      <c r="L53" s="4">
        <v>247.6</v>
      </c>
      <c r="M53" s="4">
        <v>240</v>
      </c>
    </row>
    <row r="54" spans="1:13" x14ac:dyDescent="0.3">
      <c r="A54" s="4">
        <v>2017</v>
      </c>
      <c r="B54" s="4">
        <v>246.2</v>
      </c>
      <c r="C54" s="4">
        <v>247.1</v>
      </c>
      <c r="D54" s="4">
        <v>247.9</v>
      </c>
      <c r="E54" s="4">
        <v>247.8</v>
      </c>
      <c r="F54" s="4">
        <v>241.5</v>
      </c>
      <c r="G54" s="4">
        <v>243.9</v>
      </c>
      <c r="H54" s="4">
        <v>225.7</v>
      </c>
      <c r="I54" s="4">
        <v>227.9</v>
      </c>
      <c r="J54" s="4">
        <v>229</v>
      </c>
      <c r="K54" s="4">
        <v>239.5</v>
      </c>
      <c r="L54" s="4">
        <v>236.6</v>
      </c>
      <c r="M54" s="4">
        <v>234.4</v>
      </c>
    </row>
    <row r="55" spans="1:13" x14ac:dyDescent="0.3">
      <c r="A55" s="4">
        <v>2018</v>
      </c>
      <c r="B55" s="4">
        <v>224.4</v>
      </c>
      <c r="C55" s="4">
        <v>235.3</v>
      </c>
      <c r="D55" s="4">
        <v>234.4</v>
      </c>
      <c r="E55" s="4">
        <v>234.5</v>
      </c>
      <c r="F55" s="4">
        <v>234.5</v>
      </c>
      <c r="G55" s="4">
        <v>233</v>
      </c>
      <c r="H55" s="4">
        <v>217.1</v>
      </c>
      <c r="I55" s="4">
        <v>221.3</v>
      </c>
      <c r="J55" s="4">
        <v>225.8</v>
      </c>
      <c r="K55" s="4">
        <v>214.2</v>
      </c>
      <c r="L55" s="4">
        <v>221.4</v>
      </c>
      <c r="M55" s="4">
        <v>218.7</v>
      </c>
    </row>
    <row r="56" spans="1:13" x14ac:dyDescent="0.3">
      <c r="A56" s="4">
        <v>2019</v>
      </c>
      <c r="B56" s="4">
        <v>222.2</v>
      </c>
      <c r="C56" s="4">
        <v>220.5</v>
      </c>
      <c r="D56" s="4">
        <v>228.9</v>
      </c>
      <c r="E56" s="4">
        <v>240.6</v>
      </c>
      <c r="F56" s="4">
        <v>244.3</v>
      </c>
      <c r="G56" s="4">
        <v>232.4</v>
      </c>
      <c r="H56" s="4">
        <v>211</v>
      </c>
      <c r="I56" s="4">
        <v>213.5</v>
      </c>
      <c r="J56" s="4">
        <v>216.6</v>
      </c>
      <c r="K56" s="4">
        <v>213.8</v>
      </c>
      <c r="L56" s="4">
        <v>213.8</v>
      </c>
      <c r="M56" s="4">
        <v>213.8</v>
      </c>
    </row>
    <row r="57" spans="1:13" x14ac:dyDescent="0.3">
      <c r="A57" s="4">
        <v>2020</v>
      </c>
      <c r="B57" s="4">
        <v>227</v>
      </c>
      <c r="C57" s="4">
        <v>227</v>
      </c>
      <c r="D57" s="4">
        <v>227</v>
      </c>
      <c r="E57" s="4">
        <v>235.2</v>
      </c>
      <c r="F57" s="4">
        <v>235.2</v>
      </c>
      <c r="G57" s="4">
        <v>235.2</v>
      </c>
      <c r="H57" s="4">
        <v>220.4</v>
      </c>
      <c r="I57" s="4">
        <v>220.4</v>
      </c>
      <c r="J57" s="4">
        <v>220.4</v>
      </c>
      <c r="K57" s="4">
        <v>249.5</v>
      </c>
      <c r="L57" s="4">
        <v>249.5</v>
      </c>
      <c r="M57" s="4">
        <v>249.5</v>
      </c>
    </row>
    <row r="58" spans="1:13" x14ac:dyDescent="0.3">
      <c r="A58" s="4">
        <v>2021</v>
      </c>
      <c r="B58" s="4">
        <v>261.89999999999998</v>
      </c>
      <c r="C58" s="4">
        <v>259.3</v>
      </c>
      <c r="D58" s="4">
        <v>259.3</v>
      </c>
      <c r="E58" s="4">
        <v>259.3</v>
      </c>
      <c r="F58" s="4">
        <v>232.3</v>
      </c>
      <c r="G58" s="4">
        <v>229.3</v>
      </c>
      <c r="H58" s="4">
        <v>214.29300000000001</v>
      </c>
      <c r="I58" s="4">
        <v>181.661</v>
      </c>
      <c r="J58" s="4">
        <v>190.24100000000001</v>
      </c>
      <c r="K58" s="4">
        <v>199.21</v>
      </c>
      <c r="L58" s="4">
        <v>221.11699999999999</v>
      </c>
      <c r="M58" s="4">
        <v>226.22399999999999</v>
      </c>
    </row>
    <row r="59" spans="1:13" x14ac:dyDescent="0.3">
      <c r="A59" s="4">
        <v>2022</v>
      </c>
      <c r="B59" s="4">
        <v>216.75399999999999</v>
      </c>
      <c r="C59" s="4">
        <v>215.54400000000001</v>
      </c>
      <c r="D59" s="4">
        <v>215.38499999999999</v>
      </c>
      <c r="E59" s="4">
        <v>221.96199999999999</v>
      </c>
      <c r="F59" s="4">
        <v>225.172</v>
      </c>
      <c r="G59" s="4">
        <v>209.941</v>
      </c>
      <c r="H59" s="4">
        <v>205.69300000000001</v>
      </c>
      <c r="I59" s="4">
        <v>179.142</v>
      </c>
      <c r="J59" s="4">
        <v>173.077</v>
      </c>
      <c r="K59" s="4">
        <v>180.714</v>
      </c>
      <c r="L59" s="4">
        <v>204.01499999999999</v>
      </c>
      <c r="M59" s="4">
        <v>204.93899999999999</v>
      </c>
    </row>
    <row r="61" spans="1:13" x14ac:dyDescent="0.3">
      <c r="A61" s="4" t="s">
        <v>21</v>
      </c>
      <c r="B61" s="4" t="s">
        <v>132</v>
      </c>
    </row>
    <row r="62" spans="1:13" x14ac:dyDescent="0.3">
      <c r="A62" s="4" t="s">
        <v>24</v>
      </c>
      <c r="B62" s="4" t="s">
        <v>133</v>
      </c>
    </row>
    <row r="63" spans="1:13" x14ac:dyDescent="0.3">
      <c r="A63" s="4" t="s">
        <v>52</v>
      </c>
      <c r="B63" s="4" t="s">
        <v>134</v>
      </c>
    </row>
    <row r="64" spans="1:13" x14ac:dyDescent="0.3">
      <c r="A64" s="4" t="s">
        <v>54</v>
      </c>
      <c r="B64" s="4" t="s">
        <v>135</v>
      </c>
    </row>
    <row r="65" spans="1:13" x14ac:dyDescent="0.3">
      <c r="A65" s="4" t="s">
        <v>30</v>
      </c>
      <c r="B65" s="4">
        <v>199306</v>
      </c>
    </row>
    <row r="67" spans="1:13" x14ac:dyDescent="0.3">
      <c r="A67" s="4" t="s">
        <v>31</v>
      </c>
    </row>
    <row r="68" spans="1:13" x14ac:dyDescent="0.3">
      <c r="A68" s="4" t="s">
        <v>32</v>
      </c>
      <c r="B68" s="4" t="s">
        <v>33</v>
      </c>
      <c r="C68" s="4" t="s">
        <v>34</v>
      </c>
      <c r="D68" s="4" t="s">
        <v>35</v>
      </c>
      <c r="E68" s="4" t="s">
        <v>36</v>
      </c>
      <c r="F68" s="4" t="s">
        <v>37</v>
      </c>
      <c r="G68" s="4" t="s">
        <v>38</v>
      </c>
      <c r="H68" s="4" t="s">
        <v>39</v>
      </c>
      <c r="I68" s="4" t="s">
        <v>40</v>
      </c>
      <c r="J68" s="4" t="s">
        <v>41</v>
      </c>
      <c r="K68" s="4" t="s">
        <v>42</v>
      </c>
      <c r="L68" s="4" t="s">
        <v>43</v>
      </c>
      <c r="M68" s="4" t="s">
        <v>44</v>
      </c>
    </row>
    <row r="69" spans="1:13" x14ac:dyDescent="0.3">
      <c r="A69" s="4">
        <v>1993</v>
      </c>
      <c r="B69" s="4">
        <f>C69*'Radio PPI''s'!C$40/'Radio PPI''s'!D$40</f>
        <v>96.744574290484152</v>
      </c>
      <c r="C69" s="4">
        <f>D69*'Radio PPI''s'!D$40/'Radio PPI''s'!E$40</f>
        <v>97.662771285475799</v>
      </c>
      <c r="D69" s="4">
        <f>E69*'Radio PPI''s'!E$40/'Radio PPI''s'!F$40</f>
        <v>98.080133555926537</v>
      </c>
      <c r="E69" s="4">
        <f>F69*'Radio PPI''s'!F$40/'Radio PPI''s'!G$40</f>
        <v>99.332220367278794</v>
      </c>
      <c r="F69" s="4">
        <f>G69*'Radio PPI''s'!G$40/'Radio PPI''s'!H$40</f>
        <v>99.248747913188652</v>
      </c>
      <c r="G69" s="4">
        <v>100</v>
      </c>
      <c r="H69" s="4">
        <v>101.4</v>
      </c>
      <c r="I69" s="4">
        <v>102.7</v>
      </c>
      <c r="J69" s="4">
        <v>106.1</v>
      </c>
      <c r="K69" s="4">
        <v>106.2</v>
      </c>
      <c r="L69" s="4">
        <v>106.4</v>
      </c>
      <c r="M69" s="4">
        <v>106.4</v>
      </c>
    </row>
    <row r="70" spans="1:13" x14ac:dyDescent="0.3">
      <c r="A70" s="4">
        <v>1994</v>
      </c>
      <c r="B70" s="4">
        <v>106.3</v>
      </c>
      <c r="C70" s="4">
        <v>106.3</v>
      </c>
      <c r="D70" s="4">
        <v>107.6</v>
      </c>
      <c r="E70" s="4">
        <v>107.8</v>
      </c>
      <c r="F70" s="4">
        <v>108.9</v>
      </c>
      <c r="G70" s="4">
        <v>108.9</v>
      </c>
      <c r="H70" s="4">
        <v>108.9</v>
      </c>
      <c r="I70" s="4">
        <v>108.9</v>
      </c>
      <c r="J70" s="4">
        <v>108.9</v>
      </c>
      <c r="K70" s="4">
        <v>109.3</v>
      </c>
      <c r="L70" s="4">
        <v>109.3</v>
      </c>
      <c r="M70" s="4">
        <v>109.3</v>
      </c>
    </row>
    <row r="71" spans="1:13" x14ac:dyDescent="0.3">
      <c r="A71" s="4">
        <v>1995</v>
      </c>
      <c r="B71" s="4">
        <v>109.2</v>
      </c>
      <c r="C71" s="4">
        <v>110.4</v>
      </c>
      <c r="D71" s="4">
        <v>110.4</v>
      </c>
      <c r="E71" s="4">
        <v>110.4</v>
      </c>
      <c r="F71" s="4">
        <v>110.7</v>
      </c>
      <c r="G71" s="4">
        <v>110.8</v>
      </c>
      <c r="H71" s="4">
        <v>110.6</v>
      </c>
      <c r="I71" s="4">
        <v>110.6</v>
      </c>
      <c r="J71" s="4">
        <v>111.6</v>
      </c>
      <c r="K71" s="4">
        <v>111.6</v>
      </c>
      <c r="L71" s="4">
        <v>111.8</v>
      </c>
      <c r="M71" s="4">
        <v>111.7</v>
      </c>
    </row>
    <row r="72" spans="1:13" x14ac:dyDescent="0.3">
      <c r="A72" s="4">
        <v>1996</v>
      </c>
      <c r="B72" s="4">
        <v>112.1</v>
      </c>
      <c r="C72" s="4">
        <v>112.2</v>
      </c>
      <c r="D72" s="4">
        <v>112.1</v>
      </c>
      <c r="E72" s="4">
        <v>112.6</v>
      </c>
      <c r="F72" s="4">
        <v>112.6</v>
      </c>
      <c r="G72" s="4">
        <v>112.5</v>
      </c>
      <c r="H72" s="4">
        <v>112.5</v>
      </c>
      <c r="I72" s="4">
        <v>112.5</v>
      </c>
      <c r="J72" s="4">
        <v>112.2</v>
      </c>
      <c r="K72" s="4">
        <v>112.2</v>
      </c>
      <c r="L72" s="4">
        <v>112.2</v>
      </c>
      <c r="M72" s="4">
        <v>112.2</v>
      </c>
    </row>
    <row r="73" spans="1:13" x14ac:dyDescent="0.3">
      <c r="A73" s="4">
        <v>1997</v>
      </c>
      <c r="B73" s="4">
        <v>112.1</v>
      </c>
      <c r="C73" s="4">
        <v>112.2</v>
      </c>
      <c r="D73" s="4">
        <v>112.2</v>
      </c>
      <c r="E73" s="4">
        <v>114.2</v>
      </c>
      <c r="F73" s="4">
        <v>113.7</v>
      </c>
      <c r="G73" s="4">
        <v>113.7</v>
      </c>
      <c r="H73" s="4">
        <v>113.7</v>
      </c>
      <c r="I73" s="4">
        <v>113.7</v>
      </c>
      <c r="J73" s="4">
        <v>113.7</v>
      </c>
      <c r="K73" s="4">
        <v>114.8</v>
      </c>
      <c r="L73" s="4">
        <v>114.8</v>
      </c>
      <c r="M73" s="4">
        <v>114.8</v>
      </c>
    </row>
    <row r="74" spans="1:13" x14ac:dyDescent="0.3">
      <c r="A74" s="4">
        <v>1998</v>
      </c>
      <c r="B74" s="4">
        <v>114.8</v>
      </c>
      <c r="C74" s="4">
        <v>114.5</v>
      </c>
      <c r="D74" s="4">
        <v>114.4</v>
      </c>
      <c r="E74" s="4">
        <v>113.8</v>
      </c>
      <c r="F74" s="4">
        <v>113.8</v>
      </c>
      <c r="G74" s="4">
        <v>117.1</v>
      </c>
      <c r="H74" s="4">
        <v>117.1</v>
      </c>
      <c r="I74" s="4">
        <v>117.1</v>
      </c>
      <c r="J74" s="4">
        <v>117.1</v>
      </c>
      <c r="K74" s="4">
        <v>117.1</v>
      </c>
      <c r="L74" s="4">
        <v>117.1</v>
      </c>
      <c r="M74" s="4">
        <v>117.1</v>
      </c>
    </row>
    <row r="75" spans="1:13" x14ac:dyDescent="0.3">
      <c r="A75" s="4">
        <v>1999</v>
      </c>
      <c r="B75" s="4">
        <v>121.4</v>
      </c>
      <c r="C75" s="4">
        <v>121.4</v>
      </c>
      <c r="D75" s="4">
        <v>121.4</v>
      </c>
      <c r="E75" s="4">
        <v>121.4</v>
      </c>
      <c r="F75" s="4">
        <v>122.9</v>
      </c>
      <c r="G75" s="4">
        <v>122.9</v>
      </c>
      <c r="H75" s="4">
        <v>122.9</v>
      </c>
      <c r="I75" s="4">
        <v>122.9</v>
      </c>
      <c r="J75" s="4">
        <v>123.1</v>
      </c>
      <c r="K75" s="4">
        <v>124.7</v>
      </c>
      <c r="L75" s="4">
        <v>124.7</v>
      </c>
      <c r="M75" s="4">
        <v>124.7</v>
      </c>
    </row>
    <row r="76" spans="1:13" x14ac:dyDescent="0.3">
      <c r="A76" s="4">
        <v>2000</v>
      </c>
      <c r="B76" s="4">
        <v>123.5</v>
      </c>
      <c r="C76" s="4">
        <v>123.5</v>
      </c>
      <c r="D76" s="4">
        <v>123.5</v>
      </c>
      <c r="E76" s="4">
        <v>126</v>
      </c>
      <c r="F76" s="4">
        <v>126</v>
      </c>
      <c r="G76" s="4">
        <v>126</v>
      </c>
      <c r="H76" s="4">
        <v>127.4</v>
      </c>
      <c r="I76" s="4">
        <v>127.2</v>
      </c>
      <c r="J76" s="4">
        <v>127.3</v>
      </c>
      <c r="K76" s="4">
        <v>127.8</v>
      </c>
      <c r="L76" s="4">
        <v>128.19999999999999</v>
      </c>
      <c r="M76" s="4">
        <v>128.1</v>
      </c>
    </row>
    <row r="77" spans="1:13" x14ac:dyDescent="0.3">
      <c r="A77" s="4">
        <v>2001</v>
      </c>
      <c r="B77" s="4">
        <v>127.6</v>
      </c>
      <c r="C77" s="4">
        <v>127.4</v>
      </c>
      <c r="D77" s="4">
        <v>128.4</v>
      </c>
      <c r="E77" s="4">
        <v>129.19999999999999</v>
      </c>
      <c r="F77" s="4">
        <v>129.19999999999999</v>
      </c>
      <c r="G77" s="4">
        <v>129.5</v>
      </c>
      <c r="H77" s="4">
        <v>128.9</v>
      </c>
      <c r="I77" s="4">
        <v>128.80000000000001</v>
      </c>
      <c r="J77" s="4">
        <v>128.9</v>
      </c>
      <c r="K77" s="4">
        <v>128.4</v>
      </c>
      <c r="L77" s="4">
        <v>126.7</v>
      </c>
      <c r="M77" s="4">
        <v>126.5</v>
      </c>
    </row>
    <row r="78" spans="1:13" x14ac:dyDescent="0.3">
      <c r="A78" s="4">
        <v>2002</v>
      </c>
      <c r="B78" s="4">
        <v>126.6</v>
      </c>
      <c r="C78" s="4">
        <v>129.4</v>
      </c>
      <c r="D78" s="4">
        <v>129.6</v>
      </c>
      <c r="E78" s="4">
        <v>133.19999999999999</v>
      </c>
      <c r="F78" s="4">
        <v>134.80000000000001</v>
      </c>
      <c r="G78" s="4">
        <v>134.6</v>
      </c>
      <c r="H78" s="4">
        <v>134.5</v>
      </c>
      <c r="I78" s="4">
        <v>135.30000000000001</v>
      </c>
      <c r="J78" s="4">
        <v>135.30000000000001</v>
      </c>
      <c r="K78" s="4">
        <v>134.69999999999999</v>
      </c>
      <c r="L78" s="4">
        <v>134.80000000000001</v>
      </c>
      <c r="M78" s="4">
        <v>141.6</v>
      </c>
    </row>
    <row r="79" spans="1:13" x14ac:dyDescent="0.3">
      <c r="A79" s="4">
        <v>2003</v>
      </c>
      <c r="B79" s="4">
        <v>141.6</v>
      </c>
      <c r="C79" s="4">
        <v>141.4</v>
      </c>
      <c r="D79" s="4">
        <v>140.69999999999999</v>
      </c>
      <c r="E79" s="4">
        <v>146.30000000000001</v>
      </c>
      <c r="F79" s="4">
        <v>146.1</v>
      </c>
      <c r="G79" s="4">
        <v>143.4</v>
      </c>
      <c r="H79" s="4">
        <v>144.5</v>
      </c>
      <c r="I79" s="4">
        <v>144</v>
      </c>
      <c r="J79" s="4">
        <v>144.19999999999999</v>
      </c>
      <c r="K79" s="4">
        <v>156.19999999999999</v>
      </c>
      <c r="L79" s="4">
        <v>156.30000000000001</v>
      </c>
      <c r="M79" s="4">
        <v>156.19999999999999</v>
      </c>
    </row>
    <row r="80" spans="1:13" x14ac:dyDescent="0.3">
      <c r="A80" s="4">
        <v>2004</v>
      </c>
      <c r="B80" s="4">
        <v>154.1</v>
      </c>
      <c r="C80" s="4">
        <v>154.30000000000001</v>
      </c>
      <c r="D80" s="4">
        <v>154.5</v>
      </c>
      <c r="E80" s="4">
        <v>155.30000000000001</v>
      </c>
      <c r="F80" s="4">
        <v>155.30000000000001</v>
      </c>
      <c r="G80" s="4">
        <v>156.1</v>
      </c>
      <c r="H80" s="4">
        <v>155.30000000000001</v>
      </c>
      <c r="I80" s="4">
        <v>155.5</v>
      </c>
      <c r="J80" s="4">
        <v>155.5</v>
      </c>
      <c r="K80" s="4">
        <v>159.30000000000001</v>
      </c>
      <c r="L80" s="4">
        <v>161.6</v>
      </c>
      <c r="M80" s="4">
        <v>161.6</v>
      </c>
    </row>
    <row r="81" spans="1:13" x14ac:dyDescent="0.3">
      <c r="A81" s="4">
        <v>2005</v>
      </c>
      <c r="B81" s="4">
        <v>158</v>
      </c>
      <c r="C81" s="4">
        <v>158.5</v>
      </c>
      <c r="D81" s="4">
        <v>155.9</v>
      </c>
      <c r="E81" s="4">
        <v>159.5</v>
      </c>
      <c r="F81" s="4">
        <v>159.5</v>
      </c>
      <c r="G81" s="4">
        <v>159.5</v>
      </c>
      <c r="H81" s="4">
        <v>159.4</v>
      </c>
      <c r="I81" s="4">
        <v>159.4</v>
      </c>
      <c r="J81" s="4">
        <v>159.4</v>
      </c>
      <c r="K81" s="4">
        <v>163.19999999999999</v>
      </c>
      <c r="L81" s="4">
        <v>163.19999999999999</v>
      </c>
      <c r="M81" s="4">
        <v>163.19999999999999</v>
      </c>
    </row>
    <row r="82" spans="1:13" x14ac:dyDescent="0.3">
      <c r="A82" s="4">
        <v>2006</v>
      </c>
      <c r="B82" s="4">
        <v>161.5</v>
      </c>
      <c r="C82" s="4">
        <v>160.5</v>
      </c>
      <c r="D82" s="4">
        <v>159.30000000000001</v>
      </c>
      <c r="E82" s="4">
        <v>160.4</v>
      </c>
      <c r="F82" s="4">
        <v>161.4</v>
      </c>
      <c r="G82" s="4">
        <v>160.1</v>
      </c>
      <c r="H82" s="4">
        <v>159</v>
      </c>
      <c r="I82" s="4">
        <v>159</v>
      </c>
      <c r="J82" s="4">
        <v>159</v>
      </c>
      <c r="K82" s="4">
        <v>159.80000000000001</v>
      </c>
      <c r="L82" s="4">
        <v>159.69999999999999</v>
      </c>
      <c r="M82" s="4">
        <v>159.69999999999999</v>
      </c>
    </row>
    <row r="83" spans="1:13" x14ac:dyDescent="0.3">
      <c r="A83" s="4">
        <v>2007</v>
      </c>
      <c r="B83" s="4">
        <v>160.19999999999999</v>
      </c>
      <c r="C83" s="4">
        <v>160.19999999999999</v>
      </c>
      <c r="D83" s="4">
        <v>160.19999999999999</v>
      </c>
      <c r="E83" s="4">
        <v>162.1</v>
      </c>
      <c r="F83" s="4">
        <v>160.69999999999999</v>
      </c>
      <c r="G83" s="4">
        <v>160.69999999999999</v>
      </c>
      <c r="H83" s="4">
        <v>160</v>
      </c>
      <c r="I83" s="4">
        <v>160</v>
      </c>
      <c r="J83" s="4">
        <v>160</v>
      </c>
      <c r="K83" s="4">
        <v>161.6</v>
      </c>
      <c r="L83" s="4">
        <v>161.6</v>
      </c>
      <c r="M83" s="4">
        <v>161.6</v>
      </c>
    </row>
    <row r="84" spans="1:13" x14ac:dyDescent="0.3">
      <c r="A84" s="4">
        <v>2008</v>
      </c>
      <c r="B84" s="4">
        <v>160.19999999999999</v>
      </c>
      <c r="C84" s="4">
        <v>156</v>
      </c>
      <c r="D84" s="4">
        <v>156</v>
      </c>
      <c r="E84" s="4">
        <v>156.4</v>
      </c>
      <c r="F84" s="4">
        <v>157</v>
      </c>
      <c r="G84" s="4">
        <v>157</v>
      </c>
      <c r="H84" s="4">
        <v>157</v>
      </c>
      <c r="I84" s="4">
        <v>157</v>
      </c>
      <c r="J84" s="4">
        <v>157</v>
      </c>
      <c r="K84" s="4">
        <v>157.69999999999999</v>
      </c>
      <c r="L84" s="4">
        <v>157.69999999999999</v>
      </c>
      <c r="M84" s="4">
        <v>157.69999999999999</v>
      </c>
    </row>
    <row r="85" spans="1:13" x14ac:dyDescent="0.3">
      <c r="A85" s="4">
        <v>2009</v>
      </c>
      <c r="B85" s="4">
        <v>157.69999999999999</v>
      </c>
      <c r="C85" s="4">
        <v>157.69999999999999</v>
      </c>
      <c r="D85" s="4">
        <v>157.69999999999999</v>
      </c>
      <c r="E85" s="4">
        <v>157.69999999999999</v>
      </c>
      <c r="F85" s="4">
        <v>157.69999999999999</v>
      </c>
      <c r="G85" s="4">
        <v>157.69999999999999</v>
      </c>
      <c r="H85" s="4">
        <v>157.69999999999999</v>
      </c>
      <c r="I85" s="4">
        <v>158.19999999999999</v>
      </c>
      <c r="J85" s="4">
        <v>157.9</v>
      </c>
      <c r="K85" s="4">
        <v>157.9</v>
      </c>
      <c r="L85" s="4">
        <v>157.9</v>
      </c>
      <c r="M85" s="4">
        <v>157.9</v>
      </c>
    </row>
    <row r="86" spans="1:13" x14ac:dyDescent="0.3">
      <c r="A86" s="4">
        <v>2010</v>
      </c>
      <c r="B86" s="4">
        <v>157.9</v>
      </c>
      <c r="C86" s="4">
        <v>157.9</v>
      </c>
      <c r="D86" s="4">
        <v>157.9</v>
      </c>
      <c r="E86" s="4">
        <v>157.9</v>
      </c>
      <c r="F86" s="4">
        <v>157.9</v>
      </c>
      <c r="G86" s="4">
        <v>157.9</v>
      </c>
      <c r="H86" s="4">
        <v>157.9</v>
      </c>
      <c r="I86" s="4">
        <v>157.9</v>
      </c>
      <c r="J86" s="4">
        <v>157.9</v>
      </c>
      <c r="K86" s="4">
        <v>157.9</v>
      </c>
      <c r="L86" s="4">
        <v>158</v>
      </c>
      <c r="M86" s="4">
        <v>158</v>
      </c>
    </row>
    <row r="87" spans="1:13" x14ac:dyDescent="0.3">
      <c r="A87" s="4">
        <v>2011</v>
      </c>
      <c r="B87" s="4">
        <v>158</v>
      </c>
      <c r="C87" s="4">
        <v>158</v>
      </c>
      <c r="D87" s="4">
        <v>159.6</v>
      </c>
      <c r="E87" s="4">
        <v>159.6</v>
      </c>
      <c r="F87" s="4">
        <v>159.6</v>
      </c>
      <c r="G87" s="4">
        <v>159.6</v>
      </c>
      <c r="H87" s="4">
        <v>159.6</v>
      </c>
      <c r="I87" s="4">
        <v>159.6</v>
      </c>
      <c r="J87" s="4">
        <v>159.6</v>
      </c>
      <c r="K87" s="4">
        <v>159.6</v>
      </c>
      <c r="L87" s="4">
        <v>159.6</v>
      </c>
      <c r="M87" s="4">
        <v>159.6</v>
      </c>
    </row>
    <row r="89" spans="1:13" x14ac:dyDescent="0.3">
      <c r="A89" s="4" t="s">
        <v>21</v>
      </c>
      <c r="B89" s="4" t="s">
        <v>136</v>
      </c>
    </row>
    <row r="90" spans="1:13" x14ac:dyDescent="0.3">
      <c r="A90" s="4" t="s">
        <v>21</v>
      </c>
      <c r="B90" s="4" t="s">
        <v>136</v>
      </c>
    </row>
    <row r="91" spans="1:13" x14ac:dyDescent="0.3">
      <c r="A91" s="4" t="s">
        <v>23</v>
      </c>
    </row>
    <row r="92" spans="1:13" x14ac:dyDescent="0.3">
      <c r="A92" s="4" t="s">
        <v>24</v>
      </c>
      <c r="B92" s="4" t="s">
        <v>137</v>
      </c>
    </row>
    <row r="93" spans="1:13" x14ac:dyDescent="0.3">
      <c r="A93" s="4" t="s">
        <v>26</v>
      </c>
      <c r="B93" s="4" t="s">
        <v>27</v>
      </c>
    </row>
    <row r="94" spans="1:13" x14ac:dyDescent="0.3">
      <c r="A94" s="4" t="s">
        <v>28</v>
      </c>
      <c r="B94" s="4" t="s">
        <v>138</v>
      </c>
    </row>
    <row r="95" spans="1:13" x14ac:dyDescent="0.3">
      <c r="A95" s="4" t="s">
        <v>30</v>
      </c>
      <c r="B95" s="4">
        <v>200812</v>
      </c>
    </row>
    <row r="97" spans="1:13" x14ac:dyDescent="0.3">
      <c r="A97" s="4" t="s">
        <v>31</v>
      </c>
    </row>
    <row r="98" spans="1:13" x14ac:dyDescent="0.3">
      <c r="A98" s="4" t="s">
        <v>32</v>
      </c>
      <c r="B98" s="4" t="s">
        <v>33</v>
      </c>
      <c r="C98" s="4" t="s">
        <v>34</v>
      </c>
      <c r="D98" s="4" t="s">
        <v>35</v>
      </c>
      <c r="E98" s="4" t="s">
        <v>36</v>
      </c>
      <c r="F98" s="4" t="s">
        <v>37</v>
      </c>
      <c r="G98" s="4" t="s">
        <v>38</v>
      </c>
      <c r="H98" s="4" t="s">
        <v>39</v>
      </c>
      <c r="I98" s="4" t="s">
        <v>40</v>
      </c>
      <c r="J98" s="4" t="s">
        <v>41</v>
      </c>
      <c r="K98" s="4" t="s">
        <v>42</v>
      </c>
      <c r="L98" s="4" t="s">
        <v>43</v>
      </c>
      <c r="M98" s="4" t="s">
        <v>44</v>
      </c>
    </row>
    <row r="99" spans="1:13" x14ac:dyDescent="0.3">
      <c r="A99" s="4">
        <v>2008</v>
      </c>
      <c r="M99" s="4">
        <v>100</v>
      </c>
    </row>
    <row r="100" spans="1:13" x14ac:dyDescent="0.3">
      <c r="A100" s="4">
        <v>2009</v>
      </c>
      <c r="B100" s="4">
        <v>101</v>
      </c>
      <c r="C100" s="4">
        <v>103.8</v>
      </c>
      <c r="D100" s="4">
        <v>99.1</v>
      </c>
      <c r="E100" s="4">
        <v>93.2</v>
      </c>
      <c r="F100" s="4">
        <v>97.5</v>
      </c>
      <c r="G100" s="4">
        <v>95.5</v>
      </c>
      <c r="H100" s="4">
        <v>87.6</v>
      </c>
      <c r="I100" s="4">
        <v>87.8</v>
      </c>
      <c r="J100" s="4">
        <v>90.9</v>
      </c>
      <c r="K100" s="4">
        <v>87</v>
      </c>
      <c r="L100" s="4">
        <v>90.1</v>
      </c>
      <c r="M100" s="4">
        <v>89.6</v>
      </c>
    </row>
    <row r="101" spans="1:13" x14ac:dyDescent="0.3">
      <c r="A101" s="4">
        <v>2010</v>
      </c>
      <c r="B101" s="4">
        <v>92.8</v>
      </c>
      <c r="C101" s="4">
        <v>91.8</v>
      </c>
      <c r="D101" s="4">
        <v>96.1</v>
      </c>
      <c r="E101" s="4">
        <v>99.1</v>
      </c>
      <c r="F101" s="4">
        <v>100</v>
      </c>
      <c r="G101" s="4">
        <v>103</v>
      </c>
      <c r="H101" s="4">
        <v>96.9</v>
      </c>
      <c r="I101" s="4">
        <v>98.9</v>
      </c>
      <c r="J101" s="4">
        <v>99.3</v>
      </c>
      <c r="K101" s="4">
        <v>107</v>
      </c>
      <c r="L101" s="4">
        <v>110.3</v>
      </c>
      <c r="M101" s="4">
        <v>108.7</v>
      </c>
    </row>
    <row r="102" spans="1:13" x14ac:dyDescent="0.3">
      <c r="A102" s="4">
        <v>2011</v>
      </c>
      <c r="B102" s="4">
        <v>102</v>
      </c>
      <c r="C102" s="4">
        <v>108.1</v>
      </c>
      <c r="D102" s="4">
        <v>106.7</v>
      </c>
      <c r="E102" s="4">
        <v>110.1</v>
      </c>
      <c r="F102" s="4">
        <v>110.2</v>
      </c>
      <c r="G102" s="4">
        <v>110.6</v>
      </c>
      <c r="H102" s="4">
        <v>99.5</v>
      </c>
      <c r="I102" s="4">
        <v>98.8</v>
      </c>
      <c r="J102" s="4">
        <v>99.2</v>
      </c>
      <c r="K102" s="4">
        <v>111.1</v>
      </c>
      <c r="L102" s="4">
        <v>110.5</v>
      </c>
      <c r="M102" s="4">
        <v>106.5</v>
      </c>
    </row>
    <row r="103" spans="1:13" x14ac:dyDescent="0.3">
      <c r="A103" s="4">
        <v>2012</v>
      </c>
      <c r="B103" s="4">
        <v>109</v>
      </c>
      <c r="C103" s="4">
        <v>109.1</v>
      </c>
      <c r="D103" s="4">
        <v>109.1</v>
      </c>
      <c r="E103" s="4">
        <v>109.4</v>
      </c>
      <c r="F103" s="4">
        <v>116.4</v>
      </c>
      <c r="G103" s="4">
        <v>114.1</v>
      </c>
      <c r="H103" s="4">
        <v>106.6</v>
      </c>
      <c r="I103" s="4">
        <v>111.5</v>
      </c>
      <c r="J103" s="4">
        <v>110</v>
      </c>
      <c r="K103" s="4">
        <v>122.5</v>
      </c>
      <c r="L103" s="4">
        <v>120.6</v>
      </c>
      <c r="M103" s="4">
        <v>120.9</v>
      </c>
    </row>
    <row r="104" spans="1:13" x14ac:dyDescent="0.3">
      <c r="A104" s="4">
        <v>2013</v>
      </c>
      <c r="B104" s="4">
        <v>117.4</v>
      </c>
      <c r="C104" s="4">
        <v>121.8</v>
      </c>
      <c r="D104" s="4">
        <v>118.6</v>
      </c>
      <c r="E104" s="4">
        <v>119.2</v>
      </c>
      <c r="F104" s="4">
        <v>119</v>
      </c>
      <c r="G104" s="4">
        <v>118.9</v>
      </c>
      <c r="H104" s="4">
        <v>101.7</v>
      </c>
      <c r="I104" s="4">
        <v>107</v>
      </c>
      <c r="J104" s="4">
        <v>106.5</v>
      </c>
      <c r="K104" s="4">
        <v>108.2</v>
      </c>
      <c r="L104" s="4">
        <v>107.7</v>
      </c>
      <c r="M104" s="4">
        <v>108.3</v>
      </c>
    </row>
    <row r="105" spans="1:13" x14ac:dyDescent="0.3">
      <c r="A105" s="4">
        <v>2014</v>
      </c>
      <c r="B105" s="4">
        <v>115.9</v>
      </c>
      <c r="C105" s="4">
        <v>114.3</v>
      </c>
      <c r="D105" s="4">
        <v>118.2</v>
      </c>
      <c r="E105" s="4">
        <v>115</v>
      </c>
      <c r="F105" s="4">
        <v>117.2</v>
      </c>
      <c r="G105" s="4">
        <v>112.4</v>
      </c>
      <c r="H105" s="4">
        <v>110.9</v>
      </c>
      <c r="I105" s="4">
        <v>113.7</v>
      </c>
      <c r="J105" s="4">
        <v>111.7</v>
      </c>
      <c r="K105" s="4">
        <v>118.4</v>
      </c>
      <c r="L105" s="4">
        <v>115.6</v>
      </c>
      <c r="M105" s="4">
        <v>117.9</v>
      </c>
    </row>
    <row r="106" spans="1:13" x14ac:dyDescent="0.3">
      <c r="A106" s="4">
        <v>2015</v>
      </c>
      <c r="B106" s="4">
        <v>116</v>
      </c>
      <c r="C106" s="4">
        <v>117.5</v>
      </c>
      <c r="D106" s="4">
        <v>114.3</v>
      </c>
      <c r="E106" s="4">
        <v>118.5</v>
      </c>
      <c r="F106" s="4">
        <v>118.2</v>
      </c>
      <c r="G106" s="4">
        <v>118.8</v>
      </c>
      <c r="H106" s="4">
        <v>116.1</v>
      </c>
      <c r="I106" s="4">
        <v>116.7</v>
      </c>
      <c r="J106" s="4">
        <v>116.9</v>
      </c>
      <c r="K106" s="4">
        <v>114.5</v>
      </c>
      <c r="L106" s="4">
        <v>114.6</v>
      </c>
      <c r="M106" s="4">
        <v>114.6</v>
      </c>
    </row>
    <row r="107" spans="1:13" x14ac:dyDescent="0.3">
      <c r="A107" s="4">
        <v>2016</v>
      </c>
      <c r="B107" s="4">
        <v>113</v>
      </c>
      <c r="C107" s="4">
        <v>112</v>
      </c>
      <c r="D107" s="4">
        <v>113.5</v>
      </c>
      <c r="E107" s="4">
        <v>113.1</v>
      </c>
      <c r="F107" s="4">
        <v>112.3</v>
      </c>
      <c r="G107" s="4">
        <v>113.1</v>
      </c>
      <c r="H107" s="4">
        <v>110.6</v>
      </c>
      <c r="I107" s="4">
        <v>111.9</v>
      </c>
      <c r="J107" s="4">
        <v>112.2</v>
      </c>
      <c r="K107" s="4">
        <v>117.6</v>
      </c>
      <c r="L107" s="4">
        <v>120.6</v>
      </c>
      <c r="M107" s="4">
        <v>116.8</v>
      </c>
    </row>
    <row r="108" spans="1:13" x14ac:dyDescent="0.3">
      <c r="A108" s="4">
        <v>2017</v>
      </c>
      <c r="B108" s="4">
        <v>119.9</v>
      </c>
      <c r="C108" s="4">
        <v>120.3</v>
      </c>
      <c r="D108" s="4">
        <v>120.7</v>
      </c>
      <c r="E108" s="4">
        <v>120.7</v>
      </c>
      <c r="F108" s="4">
        <v>117.6</v>
      </c>
      <c r="G108" s="4">
        <v>118.8</v>
      </c>
      <c r="H108" s="4">
        <v>109.9</v>
      </c>
      <c r="I108" s="4">
        <v>111</v>
      </c>
      <c r="J108" s="4">
        <v>111.5</v>
      </c>
      <c r="K108" s="4">
        <v>116.6</v>
      </c>
      <c r="L108" s="4">
        <v>115.2</v>
      </c>
      <c r="M108" s="4">
        <v>114.1</v>
      </c>
    </row>
    <row r="109" spans="1:13" x14ac:dyDescent="0.3">
      <c r="A109" s="4">
        <v>2018</v>
      </c>
      <c r="B109" s="4">
        <v>109.3</v>
      </c>
      <c r="C109" s="4">
        <v>114.6</v>
      </c>
      <c r="D109" s="4">
        <v>114.2</v>
      </c>
      <c r="E109" s="4">
        <v>114.2</v>
      </c>
      <c r="F109" s="4">
        <v>114.2</v>
      </c>
      <c r="G109" s="4">
        <v>113.5</v>
      </c>
      <c r="H109" s="4">
        <v>105.7</v>
      </c>
      <c r="I109" s="4">
        <v>107.7</v>
      </c>
      <c r="J109" s="4">
        <v>110</v>
      </c>
      <c r="K109" s="4">
        <v>104.3</v>
      </c>
      <c r="L109" s="4">
        <v>107.8</v>
      </c>
      <c r="M109" s="4">
        <v>106.5</v>
      </c>
    </row>
    <row r="110" spans="1:13" x14ac:dyDescent="0.3">
      <c r="A110" s="4">
        <v>2019</v>
      </c>
      <c r="B110" s="4">
        <v>108.2</v>
      </c>
      <c r="C110" s="4">
        <v>107.4</v>
      </c>
      <c r="D110" s="4">
        <v>111.4</v>
      </c>
      <c r="E110" s="4">
        <v>117.2</v>
      </c>
      <c r="F110" s="4">
        <v>119</v>
      </c>
      <c r="G110" s="4">
        <v>113.2</v>
      </c>
      <c r="H110" s="4">
        <v>102.7</v>
      </c>
      <c r="I110" s="4">
        <v>104</v>
      </c>
      <c r="J110" s="4">
        <v>105.5</v>
      </c>
      <c r="K110" s="4">
        <v>104.1</v>
      </c>
      <c r="L110" s="4">
        <v>104.1</v>
      </c>
      <c r="M110" s="4">
        <v>104.1</v>
      </c>
    </row>
    <row r="111" spans="1:13" x14ac:dyDescent="0.3">
      <c r="A111" s="4">
        <v>2020</v>
      </c>
      <c r="B111" s="4">
        <v>110.5</v>
      </c>
      <c r="C111" s="4">
        <v>110.5</v>
      </c>
      <c r="D111" s="4">
        <v>110.5</v>
      </c>
      <c r="E111" s="4">
        <v>114.5</v>
      </c>
      <c r="F111" s="4">
        <v>114.5</v>
      </c>
      <c r="G111" s="4">
        <v>114.5</v>
      </c>
      <c r="H111" s="4">
        <v>107.3</v>
      </c>
      <c r="I111" s="4">
        <v>107.3</v>
      </c>
      <c r="J111" s="4">
        <v>107.3</v>
      </c>
      <c r="K111" s="4">
        <v>121.5</v>
      </c>
      <c r="L111" s="4">
        <v>121.5</v>
      </c>
      <c r="M111" s="4">
        <v>121.5</v>
      </c>
    </row>
    <row r="112" spans="1:13" x14ac:dyDescent="0.3">
      <c r="A112" s="4">
        <v>2021</v>
      </c>
      <c r="B112" s="4">
        <v>127.5</v>
      </c>
      <c r="C112" s="4">
        <v>126.3</v>
      </c>
      <c r="D112" s="4">
        <v>126.3</v>
      </c>
      <c r="E112" s="4">
        <v>126.3</v>
      </c>
      <c r="F112" s="4">
        <v>113.1</v>
      </c>
      <c r="G112" s="4">
        <v>111.6</v>
      </c>
      <c r="H112" s="4">
        <v>104.35</v>
      </c>
      <c r="I112" s="4">
        <v>88.46</v>
      </c>
      <c r="J112" s="4">
        <v>92.638000000000005</v>
      </c>
      <c r="K112" s="4">
        <v>97.006</v>
      </c>
      <c r="L112" s="4">
        <v>107.673</v>
      </c>
      <c r="M112" s="4">
        <v>110.16</v>
      </c>
    </row>
    <row r="113" spans="1:13" x14ac:dyDescent="0.3">
      <c r="A113" s="4">
        <v>2022</v>
      </c>
      <c r="B113" s="4">
        <v>105.54900000000001</v>
      </c>
      <c r="C113" s="4">
        <v>104.959</v>
      </c>
      <c r="D113" s="4">
        <v>104.88200000000001</v>
      </c>
      <c r="E113" s="4">
        <v>108.08499999999999</v>
      </c>
      <c r="F113" s="4">
        <v>109.648</v>
      </c>
      <c r="G113" s="4">
        <v>102.23099999999999</v>
      </c>
      <c r="H113" s="4">
        <v>100.16200000000001</v>
      </c>
      <c r="I113" s="4">
        <v>87.233000000000004</v>
      </c>
      <c r="J113" s="4">
        <v>84.28</v>
      </c>
      <c r="K113" s="4">
        <v>87.998999999999995</v>
      </c>
      <c r="L113" s="4">
        <v>99.344999999999999</v>
      </c>
      <c r="M113" s="4">
        <v>99.795000000000002</v>
      </c>
    </row>
    <row r="114" spans="1:13" x14ac:dyDescent="0.3">
      <c r="A114" s="4">
        <v>2023</v>
      </c>
      <c r="B114" s="4">
        <v>96.052000000000007</v>
      </c>
      <c r="C114" s="4">
        <v>84.628</v>
      </c>
      <c r="D114" s="4">
        <v>81.17</v>
      </c>
      <c r="E114" s="4" t="s">
        <v>139</v>
      </c>
      <c r="F114" s="4" t="s">
        <v>140</v>
      </c>
      <c r="G114" s="4" t="s">
        <v>141</v>
      </c>
      <c r="H114" s="4" t="s">
        <v>142</v>
      </c>
    </row>
    <row r="115" spans="1:13" x14ac:dyDescent="0.3">
      <c r="A115" s="4" t="s">
        <v>46</v>
      </c>
    </row>
    <row r="117" spans="1:13" x14ac:dyDescent="0.3">
      <c r="A117" s="4" t="s">
        <v>21</v>
      </c>
      <c r="B117" s="4" t="s">
        <v>143</v>
      </c>
    </row>
    <row r="118" spans="1:13" x14ac:dyDescent="0.3">
      <c r="A118" s="4" t="s">
        <v>23</v>
      </c>
    </row>
    <row r="119" spans="1:13" x14ac:dyDescent="0.3">
      <c r="A119" s="4" t="s">
        <v>24</v>
      </c>
      <c r="B119" s="4" t="s">
        <v>144</v>
      </c>
    </row>
    <row r="120" spans="1:13" x14ac:dyDescent="0.3">
      <c r="A120" s="4" t="s">
        <v>26</v>
      </c>
      <c r="B120" s="4" t="s">
        <v>27</v>
      </c>
    </row>
    <row r="121" spans="1:13" x14ac:dyDescent="0.3">
      <c r="A121" s="4" t="s">
        <v>28</v>
      </c>
      <c r="B121" s="4" t="s">
        <v>145</v>
      </c>
    </row>
    <row r="122" spans="1:13" x14ac:dyDescent="0.3">
      <c r="A122" s="4" t="s">
        <v>30</v>
      </c>
      <c r="B122" s="4">
        <v>200812</v>
      </c>
    </row>
    <row r="124" spans="1:13" x14ac:dyDescent="0.3">
      <c r="A124" s="4" t="s">
        <v>31</v>
      </c>
    </row>
    <row r="125" spans="1:13" x14ac:dyDescent="0.3">
      <c r="A125" s="4" t="s">
        <v>32</v>
      </c>
      <c r="B125" s="4" t="s">
        <v>33</v>
      </c>
      <c r="C125" s="4" t="s">
        <v>34</v>
      </c>
      <c r="D125" s="4" t="s">
        <v>35</v>
      </c>
      <c r="E125" s="4" t="s">
        <v>36</v>
      </c>
      <c r="F125" s="4" t="s">
        <v>37</v>
      </c>
      <c r="G125" s="4" t="s">
        <v>38</v>
      </c>
      <c r="H125" s="4" t="s">
        <v>39</v>
      </c>
      <c r="I125" s="4" t="s">
        <v>40</v>
      </c>
      <c r="J125" s="4" t="s">
        <v>41</v>
      </c>
      <c r="K125" s="4" t="s">
        <v>42</v>
      </c>
      <c r="L125" s="4" t="s">
        <v>43</v>
      </c>
      <c r="M125" s="4" t="s">
        <v>44</v>
      </c>
    </row>
    <row r="126" spans="1:13" x14ac:dyDescent="0.3">
      <c r="A126" s="4">
        <v>2008</v>
      </c>
      <c r="M126" s="4">
        <v>100</v>
      </c>
    </row>
    <row r="127" spans="1:13" x14ac:dyDescent="0.3">
      <c r="A127" s="4">
        <v>2009</v>
      </c>
      <c r="B127" s="4">
        <v>100</v>
      </c>
      <c r="C127" s="4">
        <v>100</v>
      </c>
      <c r="D127" s="4">
        <v>100</v>
      </c>
      <c r="E127" s="4">
        <v>100</v>
      </c>
      <c r="F127" s="4">
        <v>100</v>
      </c>
      <c r="G127" s="4">
        <v>100</v>
      </c>
      <c r="H127" s="4">
        <v>100</v>
      </c>
      <c r="I127" s="4">
        <v>100.3</v>
      </c>
      <c r="J127" s="4">
        <v>100.2</v>
      </c>
      <c r="K127" s="4">
        <v>100.2</v>
      </c>
      <c r="L127" s="4">
        <v>100.2</v>
      </c>
      <c r="M127" s="4">
        <v>100.2</v>
      </c>
    </row>
    <row r="128" spans="1:13" x14ac:dyDescent="0.3">
      <c r="A128" s="4">
        <v>2010</v>
      </c>
      <c r="B128" s="4">
        <v>100.2</v>
      </c>
      <c r="C128" s="4">
        <v>100.2</v>
      </c>
      <c r="D128" s="4">
        <v>100.2</v>
      </c>
      <c r="E128" s="4">
        <v>100.2</v>
      </c>
      <c r="F128" s="4">
        <v>100.2</v>
      </c>
      <c r="G128" s="4">
        <v>100.2</v>
      </c>
      <c r="H128" s="4">
        <v>100.2</v>
      </c>
      <c r="I128" s="4">
        <v>100.2</v>
      </c>
      <c r="J128" s="4">
        <v>100.2</v>
      </c>
      <c r="K128" s="4">
        <v>100.2</v>
      </c>
      <c r="L128" s="4">
        <v>100.2</v>
      </c>
      <c r="M128" s="4">
        <v>100.2</v>
      </c>
    </row>
    <row r="129" spans="1:13" x14ac:dyDescent="0.3">
      <c r="A129" s="4">
        <v>2011</v>
      </c>
      <c r="B129" s="4">
        <v>100.2</v>
      </c>
      <c r="C129" s="4">
        <v>100.2</v>
      </c>
      <c r="D129" s="4">
        <v>101.2</v>
      </c>
      <c r="E129" s="4">
        <v>101.2</v>
      </c>
      <c r="F129" s="4">
        <v>101.2</v>
      </c>
      <c r="G129" s="4">
        <v>101.2</v>
      </c>
      <c r="H129" s="4">
        <v>101.2</v>
      </c>
      <c r="I129" s="4">
        <v>101.2</v>
      </c>
      <c r="J129" s="4">
        <v>101.2</v>
      </c>
      <c r="K129" s="4">
        <v>101.2</v>
      </c>
      <c r="L129" s="4">
        <v>101.2</v>
      </c>
      <c r="M129" s="4">
        <v>101.2</v>
      </c>
    </row>
    <row r="130" spans="1:13" x14ac:dyDescent="0.3">
      <c r="A130" s="4">
        <v>2012</v>
      </c>
      <c r="B130" s="4">
        <v>101.7</v>
      </c>
      <c r="C130" s="4">
        <v>101.7</v>
      </c>
      <c r="D130" s="4">
        <v>101.7</v>
      </c>
      <c r="E130" s="4">
        <v>101.7</v>
      </c>
      <c r="F130" s="4">
        <v>103.7</v>
      </c>
      <c r="G130" s="4">
        <v>102.6</v>
      </c>
      <c r="H130" s="4">
        <v>103.2</v>
      </c>
      <c r="I130" s="4">
        <v>95.1</v>
      </c>
      <c r="J130" s="4">
        <v>95.1</v>
      </c>
      <c r="K130" s="4">
        <v>95.1</v>
      </c>
      <c r="L130" s="4">
        <v>95.1</v>
      </c>
      <c r="M130" s="4">
        <v>95.1</v>
      </c>
    </row>
    <row r="131" spans="1:13" x14ac:dyDescent="0.3">
      <c r="A131" s="4">
        <v>2013</v>
      </c>
      <c r="B131" s="4">
        <v>95.1</v>
      </c>
      <c r="C131" s="4">
        <v>93.5</v>
      </c>
      <c r="D131" s="4">
        <v>93.5</v>
      </c>
      <c r="E131" s="4">
        <v>93.5</v>
      </c>
      <c r="F131" s="4">
        <v>97</v>
      </c>
      <c r="G131" s="4">
        <v>97</v>
      </c>
      <c r="H131" s="4">
        <v>98.6</v>
      </c>
      <c r="I131" s="4">
        <v>98.2</v>
      </c>
      <c r="J131" s="4">
        <v>98.2</v>
      </c>
      <c r="K131" s="4">
        <v>98.2</v>
      </c>
      <c r="L131" s="4">
        <v>98.3</v>
      </c>
      <c r="M131" s="4">
        <v>98.3</v>
      </c>
    </row>
    <row r="132" spans="1:13" x14ac:dyDescent="0.3">
      <c r="A132" s="4">
        <v>2014</v>
      </c>
      <c r="B132" s="4">
        <v>95.8</v>
      </c>
      <c r="C132" s="4">
        <v>95.8</v>
      </c>
      <c r="D132" s="4">
        <v>95.8</v>
      </c>
      <c r="E132" s="4">
        <v>95.8</v>
      </c>
      <c r="F132" s="4">
        <v>95.8</v>
      </c>
      <c r="G132" s="4">
        <v>95.8</v>
      </c>
      <c r="H132" s="4">
        <v>95.8</v>
      </c>
      <c r="I132" s="4">
        <v>95.8</v>
      </c>
      <c r="J132" s="4">
        <v>95.8</v>
      </c>
      <c r="K132" s="4">
        <v>95.8</v>
      </c>
      <c r="L132" s="4">
        <v>95.8</v>
      </c>
      <c r="M132" s="4">
        <v>95.8</v>
      </c>
    </row>
    <row r="133" spans="1:13" x14ac:dyDescent="0.3">
      <c r="A133" s="4">
        <v>2015</v>
      </c>
      <c r="B133" s="4">
        <v>95.8</v>
      </c>
      <c r="C133" s="4">
        <v>95.8</v>
      </c>
      <c r="D133" s="4">
        <v>95.8</v>
      </c>
      <c r="E133" s="4">
        <v>95.8</v>
      </c>
      <c r="F133" s="4">
        <v>95.8</v>
      </c>
      <c r="G133" s="4">
        <v>95.8</v>
      </c>
      <c r="H133" s="4">
        <v>95.8</v>
      </c>
      <c r="I133" s="4">
        <v>95.8</v>
      </c>
      <c r="J133" s="4">
        <v>95.8</v>
      </c>
      <c r="K133" s="4">
        <v>95.8</v>
      </c>
      <c r="L133" s="4">
        <v>95.8</v>
      </c>
      <c r="M133" s="4">
        <v>95.8</v>
      </c>
    </row>
    <row r="134" spans="1:13" x14ac:dyDescent="0.3">
      <c r="A134" s="4">
        <v>2016</v>
      </c>
      <c r="B134" s="4">
        <v>95.8</v>
      </c>
      <c r="C134" s="4">
        <v>95.8</v>
      </c>
      <c r="D134" s="4">
        <v>95.8</v>
      </c>
      <c r="E134" s="4">
        <v>95.8</v>
      </c>
      <c r="F134" s="4">
        <v>95.8</v>
      </c>
      <c r="G134" s="4">
        <v>95.8</v>
      </c>
      <c r="H134" s="4">
        <v>95.8</v>
      </c>
      <c r="I134" s="4">
        <v>95.8</v>
      </c>
      <c r="J134" s="4">
        <v>95.8</v>
      </c>
      <c r="K134" s="4">
        <v>95.8</v>
      </c>
      <c r="L134" s="4">
        <v>95.8</v>
      </c>
      <c r="M134" s="4">
        <v>95.8</v>
      </c>
    </row>
    <row r="135" spans="1:13" x14ac:dyDescent="0.3">
      <c r="A135" s="4">
        <v>2017</v>
      </c>
      <c r="B135" s="4">
        <v>95.8</v>
      </c>
      <c r="C135" s="4">
        <v>95.8</v>
      </c>
      <c r="D135" s="4">
        <v>97.6</v>
      </c>
      <c r="E135" s="4">
        <v>97.6</v>
      </c>
      <c r="F135" s="4">
        <v>97.6</v>
      </c>
      <c r="G135" s="4">
        <v>97.6</v>
      </c>
      <c r="H135" s="4">
        <v>97.6</v>
      </c>
      <c r="I135" s="4">
        <v>97.6</v>
      </c>
      <c r="J135" s="4">
        <v>97.6</v>
      </c>
      <c r="K135" s="4">
        <v>97.6</v>
      </c>
      <c r="L135" s="4">
        <v>97.6</v>
      </c>
      <c r="M135" s="4">
        <v>97.6</v>
      </c>
    </row>
    <row r="136" spans="1:13" x14ac:dyDescent="0.3">
      <c r="A136" s="4">
        <v>2018</v>
      </c>
      <c r="B136" s="4">
        <v>97.6</v>
      </c>
      <c r="C136" s="4">
        <v>97.6</v>
      </c>
      <c r="D136" s="4">
        <v>97.6</v>
      </c>
      <c r="E136" s="4">
        <v>97.6</v>
      </c>
      <c r="F136" s="4">
        <v>97.6</v>
      </c>
      <c r="G136" s="4">
        <v>97.6</v>
      </c>
      <c r="H136" s="4">
        <v>97.6</v>
      </c>
      <c r="I136" s="4">
        <v>97.6</v>
      </c>
      <c r="J136" s="4">
        <v>97.6</v>
      </c>
      <c r="K136" s="4">
        <v>97.6</v>
      </c>
      <c r="L136" s="4">
        <v>97.6</v>
      </c>
      <c r="M136" s="4">
        <v>97.6</v>
      </c>
    </row>
    <row r="137" spans="1:13" x14ac:dyDescent="0.3">
      <c r="A137" s="4">
        <v>2019</v>
      </c>
      <c r="B137" s="4">
        <v>97.6</v>
      </c>
      <c r="C137" s="4">
        <v>97.6</v>
      </c>
      <c r="D137" s="4">
        <v>97.6</v>
      </c>
      <c r="E137" s="4">
        <v>97.6</v>
      </c>
      <c r="F137" s="4">
        <v>97.6</v>
      </c>
      <c r="G137" s="4">
        <v>97.6</v>
      </c>
      <c r="H137" s="4">
        <v>97.6</v>
      </c>
      <c r="I137" s="4">
        <v>97.6</v>
      </c>
      <c r="J137" s="4">
        <v>97.6</v>
      </c>
      <c r="K137" s="4">
        <v>97.6</v>
      </c>
      <c r="L137" s="4">
        <v>97.6</v>
      </c>
      <c r="M137" s="4">
        <v>97.6</v>
      </c>
    </row>
    <row r="138" spans="1:13" x14ac:dyDescent="0.3">
      <c r="A138" s="4">
        <v>2020</v>
      </c>
      <c r="B138" s="4">
        <v>97.6</v>
      </c>
      <c r="C138" s="4">
        <v>97.6</v>
      </c>
      <c r="D138" s="4">
        <v>97.6</v>
      </c>
      <c r="E138" s="4">
        <v>97.6</v>
      </c>
      <c r="F138" s="4">
        <v>97.6</v>
      </c>
      <c r="G138" s="4">
        <v>97.6</v>
      </c>
      <c r="H138" s="4">
        <v>97.6</v>
      </c>
      <c r="I138" s="4">
        <v>97.6</v>
      </c>
      <c r="J138" s="4">
        <v>78.7</v>
      </c>
      <c r="K138" s="4">
        <v>78.7</v>
      </c>
      <c r="L138" s="4">
        <v>78.7</v>
      </c>
      <c r="M138" s="4">
        <v>78.7</v>
      </c>
    </row>
    <row r="139" spans="1:13" x14ac:dyDescent="0.3">
      <c r="A139" s="4">
        <v>2021</v>
      </c>
      <c r="B139" s="4">
        <v>78.7</v>
      </c>
      <c r="C139" s="4">
        <v>78.7</v>
      </c>
      <c r="D139" s="4">
        <v>81.599999999999994</v>
      </c>
      <c r="E139" s="4">
        <v>81.599999999999994</v>
      </c>
      <c r="F139" s="4">
        <v>81.599999999999994</v>
      </c>
      <c r="G139" s="4">
        <v>81.599999999999994</v>
      </c>
      <c r="H139" s="4">
        <v>81.55</v>
      </c>
      <c r="I139" s="4">
        <v>81.55</v>
      </c>
      <c r="J139" s="4">
        <v>81.55</v>
      </c>
      <c r="K139" s="4">
        <v>81.55</v>
      </c>
      <c r="L139" s="4">
        <v>81.55</v>
      </c>
      <c r="M139" s="4">
        <v>81.55</v>
      </c>
    </row>
    <row r="140" spans="1:13" x14ac:dyDescent="0.3">
      <c r="A140" s="4">
        <v>2022</v>
      </c>
      <c r="B140" s="4">
        <v>81.55</v>
      </c>
      <c r="C140" s="4">
        <v>81.55</v>
      </c>
      <c r="D140" s="4">
        <v>81.55</v>
      </c>
      <c r="E140" s="4">
        <v>81.55</v>
      </c>
      <c r="F140" s="4">
        <v>81.55</v>
      </c>
      <c r="G140" s="4">
        <v>81.55</v>
      </c>
      <c r="H140" s="4">
        <v>81.55</v>
      </c>
      <c r="I140" s="4">
        <v>81.55</v>
      </c>
      <c r="J140" s="4">
        <v>81.55</v>
      </c>
      <c r="K140" s="4">
        <v>81.55</v>
      </c>
      <c r="L140" s="4">
        <v>81.55</v>
      </c>
      <c r="M140" s="4">
        <v>81.55</v>
      </c>
    </row>
    <row r="141" spans="1:13" x14ac:dyDescent="0.3">
      <c r="A141" s="4">
        <v>2023</v>
      </c>
      <c r="B141" s="4">
        <v>81.55</v>
      </c>
      <c r="C141" s="4">
        <v>73.245000000000005</v>
      </c>
      <c r="D141" s="4">
        <v>73.245000000000005</v>
      </c>
      <c r="E141" s="4" t="s">
        <v>146</v>
      </c>
      <c r="F141" s="4" t="s">
        <v>146</v>
      </c>
      <c r="G141" s="4" t="s">
        <v>146</v>
      </c>
      <c r="H141" s="4" t="s">
        <v>146</v>
      </c>
    </row>
    <row r="142" spans="1:13" x14ac:dyDescent="0.3">
      <c r="A142" s="4" t="s">
        <v>46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3FAB-2F3F-4B7C-BD7B-1A8D284ADAE9}">
  <dimension ref="A1:AV12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:P123"/>
    </sheetView>
  </sheetViews>
  <sheetFormatPr defaultColWidth="9.109375" defaultRowHeight="14.4" x14ac:dyDescent="0.3"/>
  <cols>
    <col min="1" max="4" width="9.109375" style="4"/>
    <col min="5" max="5" width="13" style="4" customWidth="1"/>
    <col min="6" max="6" width="10.6640625" style="4" customWidth="1"/>
    <col min="7" max="7" width="14.33203125" style="4" customWidth="1"/>
    <col min="8" max="8" width="9.109375" style="4"/>
    <col min="9" max="9" width="9.88671875" style="4" bestFit="1" customWidth="1"/>
    <col min="10" max="10" width="10.88671875" style="4" bestFit="1" customWidth="1"/>
    <col min="11" max="11" width="10.88671875" style="4" customWidth="1"/>
    <col min="12" max="12" width="10.88671875" style="4" bestFit="1" customWidth="1"/>
    <col min="13" max="13" width="10.88671875" style="4" customWidth="1"/>
    <col min="14" max="14" width="10.88671875" style="4" bestFit="1" customWidth="1"/>
    <col min="15" max="15" width="9.88671875" style="4" bestFit="1" customWidth="1"/>
    <col min="16" max="16" width="9.109375" style="4"/>
    <col min="17" max="33" width="11.33203125" style="4" customWidth="1"/>
    <col min="49" max="16384" width="9.109375" style="4"/>
  </cols>
  <sheetData>
    <row r="1" spans="1:33" x14ac:dyDescent="0.3">
      <c r="B1" s="25" t="s">
        <v>13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25" t="s">
        <v>266</v>
      </c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14"/>
    </row>
    <row r="2" spans="1:33" x14ac:dyDescent="0.3">
      <c r="B2" s="4" t="s">
        <v>295</v>
      </c>
      <c r="C2" s="4" t="s">
        <v>296</v>
      </c>
      <c r="D2" s="4" t="s">
        <v>297</v>
      </c>
      <c r="E2" s="4" t="s">
        <v>190</v>
      </c>
      <c r="F2" s="4" t="s">
        <v>231</v>
      </c>
      <c r="G2" s="4" t="s">
        <v>191</v>
      </c>
      <c r="H2" s="4" t="s">
        <v>232</v>
      </c>
      <c r="I2" s="4" t="s">
        <v>233</v>
      </c>
      <c r="J2" s="4" t="s">
        <v>234</v>
      </c>
      <c r="K2" s="4" t="s">
        <v>235</v>
      </c>
      <c r="L2" s="7" t="s">
        <v>236</v>
      </c>
      <c r="M2" s="4" t="s">
        <v>237</v>
      </c>
      <c r="N2" s="4" t="s">
        <v>238</v>
      </c>
      <c r="O2" s="4" t="s">
        <v>239</v>
      </c>
      <c r="P2" s="4" t="s">
        <v>240</v>
      </c>
      <c r="R2" s="4" t="s">
        <v>295</v>
      </c>
      <c r="S2" s="4" t="s">
        <v>296</v>
      </c>
      <c r="T2" s="4" t="s">
        <v>297</v>
      </c>
      <c r="U2" s="4" t="s">
        <v>190</v>
      </c>
      <c r="V2" s="4" t="s">
        <v>231</v>
      </c>
      <c r="W2" s="4" t="s">
        <v>191</v>
      </c>
      <c r="X2" s="4" t="s">
        <v>232</v>
      </c>
      <c r="Y2" s="4" t="s">
        <v>233</v>
      </c>
      <c r="Z2" s="4" t="s">
        <v>234</v>
      </c>
      <c r="AA2" s="4" t="s">
        <v>235</v>
      </c>
      <c r="AB2" s="7" t="s">
        <v>236</v>
      </c>
      <c r="AC2" s="4" t="s">
        <v>237</v>
      </c>
      <c r="AD2" s="4" t="s">
        <v>238</v>
      </c>
      <c r="AE2" s="4" t="s">
        <v>239</v>
      </c>
      <c r="AF2" s="4" t="s">
        <v>240</v>
      </c>
    </row>
    <row r="3" spans="1:33" x14ac:dyDescent="0.3">
      <c r="A3" s="4">
        <v>2020</v>
      </c>
      <c r="B3" s="1">
        <v>5684911.0627930714</v>
      </c>
      <c r="C3" s="1">
        <v>7578400.6256646458</v>
      </c>
      <c r="D3" s="1">
        <v>10928065.22862787</v>
      </c>
      <c r="E3" s="1">
        <v>9371251.3689939119</v>
      </c>
      <c r="F3" s="1">
        <v>7599453.6416710606</v>
      </c>
      <c r="G3" s="1">
        <v>2700222.0627955729</v>
      </c>
      <c r="H3" s="1">
        <v>58638.164427098134</v>
      </c>
      <c r="I3" s="1">
        <v>12551498.161704481</v>
      </c>
      <c r="J3" s="1">
        <v>44327400.390479259</v>
      </c>
      <c r="K3" s="1">
        <v>41799711.472945206</v>
      </c>
      <c r="L3" s="1">
        <v>95952134.915081874</v>
      </c>
      <c r="M3" s="1">
        <v>70064058.910765246</v>
      </c>
      <c r="N3" s="1">
        <v>173653396.07761353</v>
      </c>
      <c r="O3" s="1">
        <v>13656020.118129548</v>
      </c>
      <c r="P3" s="1">
        <v>2037690.1671356575</v>
      </c>
      <c r="Q3" s="1"/>
      <c r="R3" s="1">
        <f>AVERAGE('Direct Mail and nonmail PPI''s'!B$48:M$48)*100/AVERAGE('Direct Mail and nonmail PPI''s'!B$40:M$40)</f>
        <v>103.8783675646839</v>
      </c>
      <c r="S3" s="1">
        <f>R3</f>
        <v>103.8783675646839</v>
      </c>
      <c r="T3" s="1">
        <f>AVERAGE('Signs and ad special PPI''s'!B$45:M$45)*100/AVERAGE('Signs and ad special PPI''s'!B$37:M$37)</f>
        <v>112.7699199677858</v>
      </c>
      <c r="U3" s="1">
        <f>AVERAGE('Newspapers PPI''s'!B$50:M$50)*100/AVERAGE('Newspapers PPI''s'!B$42:M$42)</f>
        <v>93.863434445995651</v>
      </c>
      <c r="V3" s="1">
        <f>AVERAGE('Periodical PPI''s'!B$50:M$50)*100/AVERAGE('Periodical PPI''s'!B$42:M$42)</f>
        <v>109.21166440133446</v>
      </c>
      <c r="W3" s="1">
        <f>AVERAGE('Directory PPI''s'!B$45:M$45)*100/AVERAGE('Directory PPI''s'!B$37:M$37)</f>
        <v>94.173533120253339</v>
      </c>
      <c r="X3" s="1">
        <f>'Movie theater PPI''s'!B2</f>
        <v>117.876</v>
      </c>
      <c r="Y3" s="1">
        <f>AVERAGE('Radio PPI''s'!B$21:M$21)*100/AVERAGE('Radio PPI''s'!B$13:M$13)</f>
        <v>93.790849673202644</v>
      </c>
      <c r="Z3" s="1">
        <f>AVERAGE('Broadcast television PPI''s'!B$21:M$21)*100/AVERAGE('Broadcast television PPI''s'!B$13:M$13)</f>
        <v>90.160809018567619</v>
      </c>
      <c r="AA3" s="1">
        <f>(AVERAGE('Cable television PPI''s'!B$111:M$111)*4+AVERAGE('Cable television PPI''s'!B$138:M$138))*100/(AVERAGE('Cable television PPI''s'!B$103:M$103)*4+AVERAGE('Cable television PPI''s'!B$130:M$130))</f>
        <v>98.681471200555151</v>
      </c>
      <c r="AB3" s="1">
        <f>AVERAGE('Nonsearch internet PPI''s'!B$20:M$20)*100/AVERAGE('Nonsearch internet PPI''s'!B$12:M$12)</f>
        <v>91.411308652526117</v>
      </c>
      <c r="AC3" s="1">
        <f>AC4*AVERAGE('Search internet, PPI''s'!B21:K21)/AVERAGE('Search internet, PPI''s'!B20:K20)</f>
        <v>42.573208661952684</v>
      </c>
      <c r="AD3" s="1">
        <f>AVERAGE('Advertising Agency PPI''s'!B$35:M$35)*100/AVERAGE('Advertising Agency PPI''s'!B$27:M$27)</f>
        <v>106.21320706424369</v>
      </c>
      <c r="AE3" s="1">
        <f>'NAICS 71 sponsor PPI''s'!B2</f>
        <v>124.071</v>
      </c>
      <c r="AF3" s="1">
        <f>'NAICS 81 sponsor PPI''s'!D3</f>
        <v>122.172</v>
      </c>
      <c r="AG3" s="1"/>
    </row>
    <row r="4" spans="1:33" x14ac:dyDescent="0.3">
      <c r="A4" s="4">
        <v>2019</v>
      </c>
      <c r="B4" s="1">
        <v>5893818.0374342529</v>
      </c>
      <c r="C4" s="1">
        <v>7720142.3259996492</v>
      </c>
      <c r="D4" s="1">
        <v>12237360.909739567</v>
      </c>
      <c r="E4" s="1">
        <v>10679614.122496927</v>
      </c>
      <c r="F4" s="1">
        <v>8440161.2280626688</v>
      </c>
      <c r="G4" s="1">
        <v>2831282.9658208061</v>
      </c>
      <c r="H4" s="1">
        <v>215444.72550662511</v>
      </c>
      <c r="I4" s="1">
        <v>13074073.562782779</v>
      </c>
      <c r="J4" s="1">
        <v>43450943.296488427</v>
      </c>
      <c r="K4" s="1">
        <v>42932811.89006827</v>
      </c>
      <c r="L4" s="1">
        <v>84081748.669519171</v>
      </c>
      <c r="M4" s="1">
        <v>65797877.714201704</v>
      </c>
      <c r="N4" s="1">
        <v>162920897.54789227</v>
      </c>
      <c r="O4" s="1">
        <v>19350637.907550555</v>
      </c>
      <c r="P4" s="1">
        <v>2887415.5318261976</v>
      </c>
      <c r="Q4" s="1"/>
      <c r="R4" s="1">
        <f>AVERAGE('Direct Mail and nonmail PPI''s'!B$47:M$47)*100/AVERAGE('Direct Mail and nonmail PPI''s'!B$40:M$40)</f>
        <v>101.80848226193652</v>
      </c>
      <c r="S4" s="1">
        <f t="shared" ref="S4:S67" si="0">R4</f>
        <v>101.80848226193652</v>
      </c>
      <c r="T4" s="1">
        <f>AVERAGE('Signs and ad special PPI''s'!B$44:M$44)*100/AVERAGE('Signs and ad special PPI''s'!B$37:M$37)</f>
        <v>110.83706649217297</v>
      </c>
      <c r="U4" s="1">
        <f>AVERAGE('Newspapers PPI''s'!B$49:M$49)*100/AVERAGE('Newspapers PPI''s'!B$42:M$42)</f>
        <v>95.79049794813217</v>
      </c>
      <c r="V4" s="1">
        <f>AVERAGE('Periodical PPI''s'!B$49:M$49)*100/AVERAGE('Periodical PPI''s'!B$42:M$42)</f>
        <v>110.3711025989538</v>
      </c>
      <c r="W4" s="1">
        <f>AVERAGE('Directory PPI''s'!B$44:M$44)*100/AVERAGE('Directory PPI''s'!B$37:M$37)</f>
        <v>94.123684133360683</v>
      </c>
      <c r="X4" s="1">
        <f>'Movie theater PPI''s'!B3</f>
        <v>116.29900000000001</v>
      </c>
      <c r="Y4" s="1">
        <f>AVERAGE('Radio PPI''s'!B$20:M$20)*100/AVERAGE('Radio PPI''s'!B$13:M$13)</f>
        <v>104.16457181163064</v>
      </c>
      <c r="Z4" s="1">
        <f>AVERAGE('Broadcast television PPI''s'!B$20:M$20)*100/AVERAGE('Broadcast television PPI''s'!B$13:M$13)</f>
        <v>92.929376657824918</v>
      </c>
      <c r="AA4" s="1">
        <f>(AVERAGE('Cable television PPI''s'!B$110:M$110)*4+AVERAGE('Cable television PPI''s'!B$137:M$137))*100/(AVERAGE('Cable television PPI''s'!B$103:M$103)*4+AVERAGE('Cable television PPI''s'!B$130:M$130))</f>
        <v>96.17113719337415</v>
      </c>
      <c r="AB4" s="1">
        <f>AVERAGE('Nonsearch internet PPI''s'!B$19:M$19)*100/AVERAGE('Nonsearch internet PPI''s'!B$12:M$12)</f>
        <v>87.152255639097746</v>
      </c>
      <c r="AC4" s="1">
        <f>AVERAGE('Search internet, PPI''s'!B$20:M$20)*100/AVERAGE('Search internet, PPI''s'!B$13:M$13)</f>
        <v>47.818763685362981</v>
      </c>
      <c r="AD4" s="1">
        <f>AVERAGE('Advertising Agency PPI''s'!B$34:M$34)*100/AVERAGE('Advertising Agency PPI''s'!B$27:M$27)</f>
        <v>108.17123112362425</v>
      </c>
      <c r="AE4" s="1">
        <f>'NAICS 71 sponsor PPI''s'!B3</f>
        <v>119.28400000000001</v>
      </c>
      <c r="AF4" s="1">
        <f>'NAICS 81 sponsor PPI''s'!D4</f>
        <v>117.64400000000001</v>
      </c>
      <c r="AG4" s="1"/>
    </row>
    <row r="5" spans="1:33" x14ac:dyDescent="0.3">
      <c r="A5" s="4">
        <v>2018</v>
      </c>
      <c r="B5" s="1">
        <v>5709523.6661272347</v>
      </c>
      <c r="C5" s="1">
        <v>7607969.8875600388</v>
      </c>
      <c r="D5" s="1">
        <v>11722666.500317227</v>
      </c>
      <c r="E5" s="1">
        <v>11724837.345337458</v>
      </c>
      <c r="F5" s="1">
        <v>9363630.264025487</v>
      </c>
      <c r="G5" s="1">
        <v>3117289.7027964313</v>
      </c>
      <c r="H5" s="1">
        <v>217974.26357876044</v>
      </c>
      <c r="I5" s="1">
        <v>12805822.227119181</v>
      </c>
      <c r="J5" s="1">
        <v>42422065.444144994</v>
      </c>
      <c r="K5" s="1">
        <v>45619724.978833377</v>
      </c>
      <c r="L5" s="1">
        <v>71503556.369574621</v>
      </c>
      <c r="M5" s="1">
        <v>57911921.528047584</v>
      </c>
      <c r="N5" s="1">
        <v>153356543.795506</v>
      </c>
      <c r="O5" s="1">
        <v>18650355.94352572</v>
      </c>
      <c r="P5" s="1">
        <v>2782922.5931828632</v>
      </c>
      <c r="Q5" s="1"/>
      <c r="R5" s="1">
        <f>AVERAGE('Direct Mail and nonmail PPI''s'!B$46:M$46)*100/AVERAGE('Direct Mail and nonmail PPI''s'!B$40:M$40)</f>
        <v>99.461189650573459</v>
      </c>
      <c r="S5" s="1">
        <f t="shared" si="0"/>
        <v>99.461189650573459</v>
      </c>
      <c r="T5" s="1">
        <f>AVERAGE('Signs and ad special PPI''s'!B$43:M$43)*100/AVERAGE('Signs and ad special PPI''s'!B$37:M$37)</f>
        <v>109.02501635878595</v>
      </c>
      <c r="U5" s="1">
        <f>AVERAGE('Newspapers PPI''s'!B$48:M$48)*100/AVERAGE('Newspapers PPI''s'!B$42:M$42)</f>
        <v>97.977746752972024</v>
      </c>
      <c r="V5" s="1">
        <f>AVERAGE('Periodical PPI''s'!B$48:M$48)*100/AVERAGE('Periodical PPI''s'!B$42:M$42)</f>
        <v>111.58408501173855</v>
      </c>
      <c r="W5" s="1">
        <f>AVERAGE('Directory PPI''s'!B$43:M$43)*100/AVERAGE('Directory PPI''s'!B$37:M$37)</f>
        <v>93.974137172682759</v>
      </c>
      <c r="X5" s="1">
        <f>'Movie theater PPI''s'!B4</f>
        <v>114.154</v>
      </c>
      <c r="Y5" s="1">
        <f>AVERAGE('Radio PPI''s'!B$19:M$19)*100/AVERAGE('Radio PPI''s'!B$13:M$13)</f>
        <v>98.391151332327809</v>
      </c>
      <c r="Z5" s="1">
        <f>AVERAGE('Broadcast television PPI''s'!B$19:M$19)*100/AVERAGE('Broadcast television PPI''s'!B$13:M$13)</f>
        <v>96.278183023872685</v>
      </c>
      <c r="AA5" s="1">
        <f>(AVERAGE('Cable television PPI''s'!B$109:M$109)*4+AVERAGE('Cable television PPI''s'!B$136:M$136))*100/(AVERAGE('Cable television PPI''s'!B$103:M$103)*4+AVERAGE('Cable television PPI''s'!B$130:M$130))</f>
        <v>97.444407567208756</v>
      </c>
      <c r="AB5" s="1">
        <f>AVERAGE('Nonsearch internet PPI''s'!B$18:M$18)*100/AVERAGE('Nonsearch internet PPI''s'!B$12:M$12)</f>
        <v>85.827067669172934</v>
      </c>
      <c r="AC5" s="1">
        <f>AVERAGE('Search internet, PPI''s'!B$19:M$19)*100/AVERAGE('Search internet, PPI''s'!B$13:M$13)</f>
        <v>51.987535792487783</v>
      </c>
      <c r="AD5" s="1">
        <f>AVERAGE('Advertising Agency PPI''s'!B$33:M$33)*100/AVERAGE('Advertising Agency PPI''s'!B$27:M$27)</f>
        <v>107.28820066547225</v>
      </c>
      <c r="AE5" s="1">
        <f>'NAICS 71 sponsor PPI''s'!B4</f>
        <v>116.837</v>
      </c>
      <c r="AF5" s="1">
        <f>'NAICS 81 sponsor PPI''s'!D5</f>
        <v>114.127</v>
      </c>
      <c r="AG5" s="1"/>
    </row>
    <row r="6" spans="1:33" x14ac:dyDescent="0.3">
      <c r="A6" s="4">
        <v>2017</v>
      </c>
      <c r="B6" s="1">
        <v>5761750.4097875301</v>
      </c>
      <c r="C6" s="1">
        <v>7741801.6244993517</v>
      </c>
      <c r="D6" s="1">
        <v>11457799.409754107</v>
      </c>
      <c r="E6" s="1">
        <v>12641699.821513362</v>
      </c>
      <c r="F6" s="1">
        <v>11113789.031026589</v>
      </c>
      <c r="G6" s="1">
        <v>3042572.7393895225</v>
      </c>
      <c r="H6" s="1">
        <v>197985.95293031842</v>
      </c>
      <c r="I6" s="1">
        <v>12490339.279307138</v>
      </c>
      <c r="J6" s="1">
        <v>37863157.187981702</v>
      </c>
      <c r="K6" s="1">
        <v>46336145.5272635</v>
      </c>
      <c r="L6" s="1">
        <v>59613182.238892928</v>
      </c>
      <c r="M6" s="1">
        <v>51119483.450238004</v>
      </c>
      <c r="N6" s="1">
        <v>140941249.78838041</v>
      </c>
      <c r="O6" s="1">
        <v>17802612.491547283</v>
      </c>
      <c r="P6" s="1">
        <v>2656426.1116745519</v>
      </c>
      <c r="Q6" s="1"/>
      <c r="R6" s="1">
        <f>AVERAGE('Direct Mail and nonmail PPI''s'!B$45:M$45)*100/AVERAGE('Direct Mail and nonmail PPI''s'!B$40:M$40)</f>
        <v>99.637236596425694</v>
      </c>
      <c r="S6" s="1">
        <f t="shared" si="0"/>
        <v>99.637236596425694</v>
      </c>
      <c r="T6" s="1">
        <f>AVERAGE('Signs and ad special PPI''s'!B$42:M$42)*100/AVERAGE('Signs and ad special PPI''s'!B$37:M$37)</f>
        <v>105.87406251572959</v>
      </c>
      <c r="U6" s="1">
        <f>AVERAGE('Newspapers PPI''s'!B$47:M$47)*100/AVERAGE('Newspapers PPI''s'!B$42:M$42)</f>
        <v>100.84613106570207</v>
      </c>
      <c r="V6" s="1">
        <f>AVERAGE('Periodical PPI''s'!B$47:M$47)*100/AVERAGE('Periodical PPI''s'!B$42:M$42)</f>
        <v>110.39375592075454</v>
      </c>
      <c r="W6" s="1">
        <f>AVERAGE('Directory PPI''s'!B$42:M$42)*100/AVERAGE('Directory PPI''s'!B$37:M$37)</f>
        <v>95.182242031492805</v>
      </c>
      <c r="X6" s="1">
        <f>'Movie theater PPI''s'!B5</f>
        <v>111.83</v>
      </c>
      <c r="Y6" s="1">
        <f>AVERAGE('Radio PPI''s'!B$18:M$18)*100/AVERAGE('Radio PPI''s'!B$13:M$13)</f>
        <v>97.050444109267644</v>
      </c>
      <c r="Z6" s="1">
        <f>AVERAGE('Broadcast television PPI''s'!B$18:M$18)*100/AVERAGE('Broadcast television PPI''s'!B$13:M$13)</f>
        <v>95.117705570291747</v>
      </c>
      <c r="AA6" s="1">
        <f>(AVERAGE('Cable television PPI''s'!B$108:M$108)*4+AVERAGE('Cable television PPI''s'!B$135:M$135))*100/(AVERAGE('Cable television PPI''s'!B$103:M$103)*4+AVERAGE('Cable television PPI''s'!B$130:M$130))</f>
        <v>101.87369882026368</v>
      </c>
      <c r="AB6" s="1">
        <f>AVERAGE('Nonsearch internet PPI''s'!B$17:M$17)*100/AVERAGE('Nonsearch internet PPI''s'!B$12:M$12)</f>
        <v>86.81390977443607</v>
      </c>
      <c r="AC6" s="1">
        <f>AVERAGE('Search internet, PPI''s'!B$18:M$18)*100/AVERAGE('Search internet, PPI''s'!B$13:M$13)</f>
        <v>66.321374431531055</v>
      </c>
      <c r="AD6" s="1">
        <f>AVERAGE('Advertising Agency PPI''s'!B$32:M$32)*100/AVERAGE('Advertising Agency PPI''s'!B$27:M$27)</f>
        <v>106.95546455080625</v>
      </c>
      <c r="AE6" s="1">
        <f>'NAICS 71 sponsor PPI''s'!B5</f>
        <v>115.077</v>
      </c>
      <c r="AF6" s="1">
        <f>'NAICS 81 sponsor PPI''s'!D6</f>
        <v>111.446</v>
      </c>
      <c r="AG6" s="1"/>
    </row>
    <row r="7" spans="1:33" x14ac:dyDescent="0.3">
      <c r="A7" s="4">
        <v>2016</v>
      </c>
      <c r="B7" s="1">
        <v>6186999.2579655191</v>
      </c>
      <c r="C7" s="1">
        <v>8498687.5297202561</v>
      </c>
      <c r="D7" s="1">
        <v>11577586.575647429</v>
      </c>
      <c r="E7" s="1">
        <v>13336565.114770126</v>
      </c>
      <c r="F7" s="1">
        <v>11863121.599301558</v>
      </c>
      <c r="G7" s="1">
        <v>3945324.0438760673</v>
      </c>
      <c r="H7" s="1">
        <v>200538.61657710024</v>
      </c>
      <c r="I7" s="1">
        <v>13304794.530869929</v>
      </c>
      <c r="J7" s="1">
        <v>40304865.239702426</v>
      </c>
      <c r="K7" s="1">
        <v>45752571.405898087</v>
      </c>
      <c r="L7" s="1">
        <v>49453868.753183238</v>
      </c>
      <c r="M7" s="1">
        <v>45594889.181053244</v>
      </c>
      <c r="N7" s="1">
        <v>135350246.11806536</v>
      </c>
      <c r="O7" s="1">
        <v>17186071.799199324</v>
      </c>
      <c r="P7" s="1">
        <v>2564428.6705775973</v>
      </c>
      <c r="Q7" s="1"/>
      <c r="R7" s="1">
        <f>AVERAGE('Direct Mail and nonmail PPI''s'!B$44:M$44)*100/AVERAGE('Direct Mail and nonmail PPI''s'!B$40:M$40)</f>
        <v>99.797279274473198</v>
      </c>
      <c r="S7" s="1">
        <f t="shared" si="0"/>
        <v>99.797279274473198</v>
      </c>
      <c r="T7" s="1">
        <f>AVERAGE('Signs and ad special PPI''s'!B$41:M$41)*100/AVERAGE('Signs and ad special PPI''s'!B$37:M$37)</f>
        <v>102.92444757638296</v>
      </c>
      <c r="U7" s="1">
        <f>AVERAGE('Newspapers PPI''s'!B$46:M$46)*100/AVERAGE('Newspapers PPI''s'!B$42:M$42)</f>
        <v>102.79646317214537</v>
      </c>
      <c r="V7" s="1">
        <f>AVERAGE('Periodical PPI''s'!B$46:M$46)*100/AVERAGE('Periodical PPI''s'!B$42:M$42)</f>
        <v>107.89571234400098</v>
      </c>
      <c r="W7" s="1">
        <f>AVERAGE('Directory PPI''s'!B$41:M$41)*100/AVERAGE('Directory PPI''s'!B$37:M$37)</f>
        <v>100.95006304430699</v>
      </c>
      <c r="X7" s="1">
        <f>'Movie theater PPI''s'!B6</f>
        <v>109.02800000000001</v>
      </c>
      <c r="Y7" s="1">
        <f>AVERAGE('Radio PPI''s'!B$17:M$17)*100/AVERAGE('Radio PPI''s'!B$13:M$13)</f>
        <v>101.34908664320432</v>
      </c>
      <c r="Z7" s="1">
        <f>AVERAGE('Broadcast television PPI''s'!B$17:M$17)*100/AVERAGE('Broadcast television PPI''s'!B$13:M$13)</f>
        <v>99.005305039787771</v>
      </c>
      <c r="AA7" s="1">
        <f>(AVERAGE('Cable television PPI''s'!B$107:M$107)*4+AVERAGE('Cable television PPI''s'!B$134:M$134))*100/(AVERAGE('Cable television PPI''s'!B$103:M$103)*4+AVERAGE('Cable television PPI''s'!B$130:M$130))</f>
        <v>99.815949069185024</v>
      </c>
      <c r="AB7" s="1">
        <f>AVERAGE('Nonsearch internet PPI''s'!B$16:M$16)*100/AVERAGE('Nonsearch internet PPI''s'!B$12:M$12)</f>
        <v>85.836466165413526</v>
      </c>
      <c r="AC7" s="1">
        <f>AVERAGE('Search internet, PPI''s'!B$17:M$17)*100/AVERAGE('Search internet, PPI''s'!B$13:M$13)</f>
        <v>77.28650833754422</v>
      </c>
      <c r="AD7" s="1">
        <f>AVERAGE('Advertising Agency PPI''s'!B$31:M$31)*100/AVERAGE('Advertising Agency PPI''s'!B$27:M$27)</f>
        <v>106.05323777834656</v>
      </c>
      <c r="AE7" s="1">
        <f>'NAICS 71 sponsor PPI''s'!B6</f>
        <v>113.105</v>
      </c>
      <c r="AF7" s="1">
        <f>'NAICS 81 sponsor PPI''s'!D7</f>
        <v>108.85299999999999</v>
      </c>
      <c r="AG7" s="1"/>
    </row>
    <row r="8" spans="1:33" x14ac:dyDescent="0.3">
      <c r="A8" s="4">
        <v>2015</v>
      </c>
      <c r="B8" s="1">
        <v>6145232.8639428494</v>
      </c>
      <c r="C8" s="1">
        <v>8731168.6542060748</v>
      </c>
      <c r="D8" s="1">
        <v>11718971.050115816</v>
      </c>
      <c r="E8" s="1">
        <v>14955460.16222436</v>
      </c>
      <c r="F8" s="1">
        <v>12868643.078036036</v>
      </c>
      <c r="G8" s="1">
        <v>4426574.031761975</v>
      </c>
      <c r="H8" s="1">
        <v>187828.98127893612</v>
      </c>
      <c r="I8" s="1">
        <v>13459213.399273628</v>
      </c>
      <c r="J8" s="1">
        <v>36275613.883257948</v>
      </c>
      <c r="K8" s="1">
        <v>43448426.539455347</v>
      </c>
      <c r="L8" s="1">
        <v>40094137.864977285</v>
      </c>
      <c r="M8" s="1">
        <v>39143288.745649755</v>
      </c>
      <c r="N8" s="1">
        <v>127011362.54588673</v>
      </c>
      <c r="O8" s="1">
        <v>16492463.520307871</v>
      </c>
      <c r="P8" s="1">
        <v>2460931.549343524</v>
      </c>
      <c r="Q8" s="1"/>
      <c r="R8" s="1">
        <f>AVERAGE('Direct Mail and nonmail PPI''s'!B$43:M$43)*100/AVERAGE('Direct Mail and nonmail PPI''s'!B$40:M$40)</f>
        <v>99.578554281141649</v>
      </c>
      <c r="S8" s="1">
        <f t="shared" si="0"/>
        <v>99.578554281141649</v>
      </c>
      <c r="T8" s="1">
        <f>AVERAGE('Signs and ad special PPI''s'!B$40:M$40)*100/AVERAGE('Signs and ad special PPI''s'!B$37:M$37)</f>
        <v>102.81371117934265</v>
      </c>
      <c r="U8" s="1">
        <f>AVERAGE('Newspapers PPI''s'!B$45:M$45)*100/AVERAGE('Newspapers PPI''s'!B$42:M$42)</f>
        <v>102.70127342725388</v>
      </c>
      <c r="V8" s="1">
        <f>AVERAGE('Periodical PPI''s'!B$45:M$45)*100/AVERAGE('Periodical PPI''s'!B$42:M$42)</f>
        <v>106.6806705383253</v>
      </c>
      <c r="W8" s="1">
        <f>AVERAGE('Directory PPI''s'!B$40:M$40)*100/AVERAGE('Directory PPI''s'!B$37:M$37)</f>
        <v>102.00862094243909</v>
      </c>
      <c r="X8" s="1">
        <f>'Movie theater PPI''s'!B7</f>
        <v>105.26600000000001</v>
      </c>
      <c r="Y8" s="1">
        <f>AVERAGE('Radio PPI''s'!B$16:M$16)*100/AVERAGE('Radio PPI''s'!B$13:M$13)</f>
        <v>95.190212837271687</v>
      </c>
      <c r="Z8" s="1">
        <f>AVERAGE('Broadcast television PPI''s'!B$16:M$16)*100/AVERAGE('Broadcast television PPI''s'!B$13:M$13)</f>
        <v>92.581233421750653</v>
      </c>
      <c r="AA8" s="1">
        <f>(AVERAGE('Cable television PPI''s'!B$106:M$106)*4+AVERAGE('Cable television PPI''s'!B$133:M$133))*100/(AVERAGE('Cable television PPI''s'!B$103:M$103)*4+AVERAGE('Cable television PPI''s'!B$130:M$130))</f>
        <v>101.6262860935944</v>
      </c>
      <c r="AB8" s="1">
        <f>AVERAGE('Nonsearch internet PPI''s'!B$15:M$15)*100/AVERAGE('Nonsearch internet PPI''s'!B$12:M$12)</f>
        <v>93.646616541353382</v>
      </c>
      <c r="AC8" s="1">
        <f>AVERAGE('Search internet, PPI''s'!B$16:M$16)*100/AVERAGE('Search internet, PPI''s'!B$13:M$13)</f>
        <v>82.112177867609887</v>
      </c>
      <c r="AD8" s="1">
        <f>AVERAGE('Advertising Agency PPI''s'!B$30:M$30)*100/AVERAGE('Advertising Agency PPI''s'!B$27:M$27)</f>
        <v>105.00383926286158</v>
      </c>
      <c r="AE8" s="1">
        <f>'NAICS 71 sponsor PPI''s'!B7</f>
        <v>110.051</v>
      </c>
      <c r="AF8" s="1">
        <f>'NAICS 81 sponsor PPI''s'!D8</f>
        <v>106.708</v>
      </c>
      <c r="AG8" s="1"/>
    </row>
    <row r="9" spans="1:33" x14ac:dyDescent="0.3">
      <c r="A9" s="4">
        <v>2014</v>
      </c>
      <c r="B9" s="1">
        <v>6469532.8198213922</v>
      </c>
      <c r="C9" s="1">
        <v>8614600.7379725073</v>
      </c>
      <c r="D9" s="1">
        <v>11404321.268040992</v>
      </c>
      <c r="E9" s="1">
        <v>16518442.545720607</v>
      </c>
      <c r="F9" s="1">
        <v>11954365.897430005</v>
      </c>
      <c r="G9" s="1">
        <v>4918260.6499779904</v>
      </c>
      <c r="H9" s="1">
        <v>178330.09016869825</v>
      </c>
      <c r="I9" s="1">
        <v>13579213.679528262</v>
      </c>
      <c r="J9" s="1">
        <v>38607508.446100898</v>
      </c>
      <c r="K9" s="1">
        <v>41847570.198437206</v>
      </c>
      <c r="L9" s="1">
        <v>28778338.589190785</v>
      </c>
      <c r="M9" s="1">
        <v>28778338.589190785</v>
      </c>
      <c r="N9" s="1">
        <v>123315711.30378325</v>
      </c>
      <c r="O9" s="1">
        <v>15875922.827959912</v>
      </c>
      <c r="P9" s="1">
        <v>2368934.1082465695</v>
      </c>
      <c r="Q9" s="1"/>
      <c r="R9" s="1">
        <f>AVERAGE('Direct Mail and nonmail PPI''s'!B$42:M$42)*100/AVERAGE('Direct Mail and nonmail PPI''s'!B$40:M$40)</f>
        <v>99.775940250733512</v>
      </c>
      <c r="S9" s="1">
        <f t="shared" si="0"/>
        <v>99.775940250733512</v>
      </c>
      <c r="T9" s="1">
        <f>AVERAGE('Signs and ad special PPI''s'!B$39:M$39)*100/AVERAGE('Signs and ad special PPI''s'!B$37:M$37)</f>
        <v>102.57713796748378</v>
      </c>
      <c r="U9" s="1">
        <f>AVERAGE('Newspapers PPI''s'!B$44:M$44)*100/AVERAGE('Newspapers PPI''s'!B$42:M$42)</f>
        <v>102.37762829462282</v>
      </c>
      <c r="V9" s="1">
        <f>AVERAGE('Periodical PPI''s'!B$44:M$44)*100/AVERAGE('Periodical PPI''s'!B$42:M$42)</f>
        <v>105.23085794307836</v>
      </c>
      <c r="W9" s="1">
        <f>AVERAGE('Directory PPI''s'!B$39:M$39)*100/AVERAGE('Directory PPI''s'!B$37:M$37)</f>
        <v>101.97929800897286</v>
      </c>
      <c r="X9" s="1">
        <f>'Movie theater PPI''s'!B8</f>
        <v>102.96299999999999</v>
      </c>
      <c r="Y9" s="1">
        <f>AVERAGE('Radio PPI''s'!B$15:M$15)*100/AVERAGE('Radio PPI''s'!B$13:M$13)</f>
        <v>101.7680576504106</v>
      </c>
      <c r="Z9" s="1">
        <f>AVERAGE('Broadcast television PPI''s'!B$15:M$15)*100/AVERAGE('Broadcast television PPI''s'!B$13:M$13)</f>
        <v>95.50729442970821</v>
      </c>
      <c r="AA9" s="1">
        <f>(AVERAGE('Cable television PPI''s'!B$105:M$105)*4+AVERAGE('Cable television PPI''s'!B$132:M$132))*100/(AVERAGE('Cable television PPI''s'!B$103:M$103)*4+AVERAGE('Cable television PPI''s'!B$130:M$130))</f>
        <v>100.69094529764959</v>
      </c>
      <c r="AB9" s="1">
        <f>AVERAGE('Nonsearch internet PPI''s'!B$14:M$14)*100/AVERAGE('Nonsearch internet PPI''s'!B$12:M$12)</f>
        <v>83.261278195488714</v>
      </c>
      <c r="AC9" s="1">
        <f>AVERAGE('Search internet, PPI''s'!B$15:M$15)*100/AVERAGE('Search internet, PPI''s'!B$13:M$13)</f>
        <v>95.586996799730528</v>
      </c>
      <c r="AD9" s="1">
        <f>AVERAGE('Advertising Agency PPI''s'!B$29:M$29)*100/AVERAGE('Advertising Agency PPI''s'!B$27:M$27)</f>
        <v>103.68569234706938</v>
      </c>
      <c r="AE9" s="1">
        <f>'NAICS 71 sponsor PPI''s'!B8</f>
        <v>104.503</v>
      </c>
      <c r="AF9" s="1">
        <f>'NAICS 81 sponsor PPI''s'!D9</f>
        <v>104.292</v>
      </c>
      <c r="AG9" s="1"/>
    </row>
    <row r="10" spans="1:33" x14ac:dyDescent="0.3">
      <c r="A10" s="4">
        <v>2013</v>
      </c>
      <c r="B10" s="1">
        <v>6611038.4123038538</v>
      </c>
      <c r="C10" s="1">
        <v>8483122.379754765</v>
      </c>
      <c r="D10" s="1">
        <v>10757347.268075556</v>
      </c>
      <c r="E10" s="1">
        <v>17611666.159371756</v>
      </c>
      <c r="F10" s="1">
        <v>13050991.544491116</v>
      </c>
      <c r="G10" s="1">
        <v>4973289.9921273561</v>
      </c>
      <c r="H10" s="1">
        <v>172007.15832784632</v>
      </c>
      <c r="I10" s="1">
        <v>14308649.691440098</v>
      </c>
      <c r="J10" s="1">
        <v>34983388.299769491</v>
      </c>
      <c r="K10" s="1">
        <v>38966688.999095678</v>
      </c>
      <c r="L10" s="1">
        <v>25610045.657574635</v>
      </c>
      <c r="M10" s="1">
        <v>26826575.26293036</v>
      </c>
      <c r="N10" s="1">
        <v>118339524.35939583</v>
      </c>
      <c r="O10" s="1">
        <v>15259382.135611953</v>
      </c>
      <c r="P10" s="1">
        <v>2276936.6671496155</v>
      </c>
      <c r="Q10" s="1"/>
      <c r="R10" s="1">
        <f>AVERAGE('Direct Mail and nonmail PPI''s'!B$41:M$41)*100/AVERAGE('Direct Mail and nonmail PPI''s'!B$40:M$40)</f>
        <v>100.0266737796746</v>
      </c>
      <c r="S10" s="1">
        <f t="shared" si="0"/>
        <v>100.0266737796746</v>
      </c>
      <c r="T10" s="1">
        <f>AVERAGE('Signs and ad special PPI''s'!B$38:M$38)*100/AVERAGE('Signs and ad special PPI''s'!B$37:M$37)</f>
        <v>101.36910454522577</v>
      </c>
      <c r="U10" s="1">
        <f>AVERAGE('Newspapers PPI''s'!B$43:M$43)*100/AVERAGE('Newspapers PPI''s'!B$42:M$42)</f>
        <v>100.18191817912594</v>
      </c>
      <c r="V10" s="1">
        <f>AVERAGE('Periodical PPI''s'!B$43:M$43)*100/AVERAGE('Periodical PPI''s'!B$42:M$42)</f>
        <v>102.6463198649038</v>
      </c>
      <c r="W10" s="1">
        <f>AVERAGE('Directory PPI''s'!B$38:M$38)*100/AVERAGE('Directory PPI''s'!B$37:M$37)</f>
        <v>102.01448552913234</v>
      </c>
      <c r="X10" s="1">
        <f>'Movie theater PPI''s'!B9</f>
        <v>101.155</v>
      </c>
      <c r="Y10" s="1">
        <f>AVERAGE('Radio PPI''s'!B$14:M$14)*100/AVERAGE('Radio PPI''s'!B$13:M$13)</f>
        <v>103.10876487347078</v>
      </c>
      <c r="Z10" s="1">
        <f>AVERAGE('Broadcast television PPI''s'!B$14:M$14)*100/AVERAGE('Broadcast television PPI''s'!B$13:M$13)</f>
        <v>96.485411140583537</v>
      </c>
      <c r="AA10" s="1">
        <f>(AVERAGE('Cable television PPI''s'!B$104:M$104)*4+AVERAGE('Cable television PPI''s'!B$131:M$131))*100/(AVERAGE('Cable television PPI''s'!B$103:M$103)*4+AVERAGE('Cable television PPI''s'!B$130:M$130))</f>
        <v>99.215520622755918</v>
      </c>
      <c r="AB10" s="1">
        <f>AVERAGE('Nonsearch internet PPI''s'!B$13:M$13)*100/AVERAGE('Nonsearch internet PPI''s'!B$12:M$12)</f>
        <v>84.332706766917283</v>
      </c>
      <c r="AC10" s="1">
        <f>AVERAGE('Search internet, PPI''s'!B$14:M$14)*100/AVERAGE('Search internet, PPI''s'!B$13:M$13)</f>
        <v>100.2694963786424</v>
      </c>
      <c r="AD10" s="1">
        <f>AVERAGE('Advertising Agency PPI''s'!B$28:M$28)*100/AVERAGE('Advertising Agency PPI''s'!B$27:M$27)</f>
        <v>101.52930637317635</v>
      </c>
      <c r="AE10" s="1">
        <f>'NAICS 71 sponsor PPI''s'!B9</f>
        <v>102.179</v>
      </c>
      <c r="AF10" s="1">
        <f>'NAICS 81 sponsor PPI''s'!D10</f>
        <v>102.05500000000001</v>
      </c>
      <c r="AG10" s="1"/>
    </row>
    <row r="11" spans="1:33" x14ac:dyDescent="0.3">
      <c r="A11" s="4">
        <v>2012</v>
      </c>
      <c r="B11" s="1">
        <v>6846225.936492526</v>
      </c>
      <c r="C11" s="1">
        <v>8425641.1710813008</v>
      </c>
      <c r="D11" s="1">
        <v>9832000</v>
      </c>
      <c r="E11" s="1">
        <v>19618000</v>
      </c>
      <c r="F11" s="1">
        <v>13753999.999999998</v>
      </c>
      <c r="G11" s="1">
        <v>6877000</v>
      </c>
      <c r="H11" s="1">
        <v>163000</v>
      </c>
      <c r="I11" s="1">
        <v>14966753.670392441</v>
      </c>
      <c r="J11" s="1">
        <v>34001579.075283796</v>
      </c>
      <c r="K11" s="1">
        <v>38934648.855988666</v>
      </c>
      <c r="L11" s="1">
        <v>23059468.800000001</v>
      </c>
      <c r="M11" s="1">
        <v>23356531.199999999</v>
      </c>
      <c r="N11" s="1">
        <v>115374132.89242618</v>
      </c>
      <c r="O11" s="1">
        <v>14565773.8567205</v>
      </c>
      <c r="P11" s="1">
        <v>2173439.5459155417</v>
      </c>
      <c r="Q11" s="1"/>
      <c r="R11" s="1">
        <f>AVERAGE('Direct Mail and nonmail PPI''s'!B$40:M$40)*100/AVERAGE('Direct Mail and nonmail PPI''s'!B$40:M$40)</f>
        <v>100</v>
      </c>
      <c r="S11" s="1">
        <f t="shared" si="0"/>
        <v>100</v>
      </c>
      <c r="T11" s="1">
        <f>AVERAGE('Signs and ad special PPI''s'!B$37:M$37)*100/AVERAGE('Signs and ad special PPI''s'!B$37:M$37)</f>
        <v>100.00000000000001</v>
      </c>
      <c r="U11" s="1">
        <f>AVERAGE('Newspapers PPI''s'!B$42:M$42)*100/AVERAGE('Newspapers PPI''s'!B$42:M$42)</f>
        <v>100</v>
      </c>
      <c r="V11" s="1">
        <f>AVERAGE('Periodical PPI''s'!B$42:M$42)*100/AVERAGE('Periodical PPI''s'!B$42:M$42)</f>
        <v>99.999999999999986</v>
      </c>
      <c r="W11" s="1">
        <f>AVERAGE('Directory PPI''s'!B$37:M$37)*100/AVERAGE('Directory PPI''s'!B$37:M$37)</f>
        <v>100</v>
      </c>
      <c r="X11" s="1">
        <f>'Movie theater PPI''s'!B10</f>
        <v>100</v>
      </c>
      <c r="Y11" s="1">
        <f>AVERAGE('Radio PPI''s'!B$13:M$13)*100/AVERAGE('Radio PPI''s'!B$13:M$13)</f>
        <v>100</v>
      </c>
      <c r="Z11" s="1">
        <f>AVERAGE('Broadcast television PPI''s'!B$13:M$13)*100/AVERAGE('Broadcast television PPI''s'!B$13:M$13)</f>
        <v>100</v>
      </c>
      <c r="AA11" s="1">
        <f>(AVERAGE('Cable television PPI''s'!B$103:M$103)*4+AVERAGE('Cable television PPI''s'!B$130:M$130))*100/(AVERAGE('Cable television PPI''s'!B$103:M$103)*4+AVERAGE('Cable television PPI''s'!B$130:M$130))</f>
        <v>100</v>
      </c>
      <c r="AB11" s="1">
        <f>AVERAGE('Nonsearch internet PPI''s'!B$12:M$12)*100/AVERAGE('Nonsearch internet PPI''s'!B$12:M$12)</f>
        <v>100.00000000000001</v>
      </c>
      <c r="AC11" s="1">
        <f>AVERAGE('Search internet, PPI''s'!B$13:M$13)*100/AVERAGE('Search internet, PPI''s'!B$13:M$13)</f>
        <v>100</v>
      </c>
      <c r="AD11" s="1">
        <f>AVERAGE('Advertising Agency PPI''s'!B$27:M$27)*100/AVERAGE('Advertising Agency PPI''s'!B$27:M$27)</f>
        <v>100</v>
      </c>
      <c r="AE11" s="1">
        <f>'NAICS 71 sponsor PPI''s'!B10</f>
        <v>100</v>
      </c>
      <c r="AF11" s="1">
        <f>'NAICS 81 sponsor PPI''s'!D11</f>
        <v>100</v>
      </c>
      <c r="AG11" s="1"/>
    </row>
    <row r="12" spans="1:33" x14ac:dyDescent="0.3">
      <c r="A12" s="4">
        <v>2011</v>
      </c>
      <c r="B12" s="1">
        <v>7322932.7174752373</v>
      </c>
      <c r="C12" s="1">
        <v>8857905.4199267831</v>
      </c>
      <c r="D12" s="1">
        <v>9645903.5403261557</v>
      </c>
      <c r="E12" s="1">
        <v>20802874.985868488</v>
      </c>
      <c r="F12" s="1">
        <v>14703709.301692823</v>
      </c>
      <c r="G12" s="1">
        <v>9311768.9250149038</v>
      </c>
      <c r="H12" s="1">
        <v>145753.64530282567</v>
      </c>
      <c r="I12" s="1">
        <v>14808589.286096726</v>
      </c>
      <c r="J12" s="1">
        <v>30636826.22306281</v>
      </c>
      <c r="K12" s="1">
        <v>36079982.435061745</v>
      </c>
      <c r="L12" s="1">
        <v>19123965.972748715</v>
      </c>
      <c r="M12" s="1">
        <v>18670433.182881158</v>
      </c>
      <c r="N12" s="1">
        <v>99333389.323603034</v>
      </c>
      <c r="O12" s="1">
        <v>13949233.164372547</v>
      </c>
      <c r="P12" s="1">
        <v>2081442.1048185881</v>
      </c>
      <c r="Q12" s="1"/>
      <c r="R12" s="1">
        <f>AVERAGE('Direct Mail and nonmail PPI''s'!B$39:M$39)*100/AVERAGE('Direct Mail and nonmail PPI''s'!B$40:M$40)</f>
        <v>100.49079754601225</v>
      </c>
      <c r="S12" s="1">
        <f t="shared" si="0"/>
        <v>100.49079754601225</v>
      </c>
      <c r="T12" s="1">
        <f>AVERAGE('Signs and ad special PPI''s'!B$36:M$36)*100/AVERAGE('Signs and ad special PPI''s'!B$37:M$37)</f>
        <v>99.033573262193599</v>
      </c>
      <c r="U12" s="1">
        <f>AVERAGE('Newspapers PPI''s'!B$41:M$41)*100/AVERAGE('Newspapers PPI''s'!B$42:M$42)</f>
        <v>100.15018826416213</v>
      </c>
      <c r="V12" s="1">
        <f>AVERAGE('Periodical PPI''s'!B$41:M$41)*100/AVERAGE('Periodical PPI''s'!B$42:M$42)</f>
        <v>98.329832365418653</v>
      </c>
      <c r="W12" s="1">
        <f>AVERAGE('Directory PPI''s'!B$36:M$36)*100/AVERAGE('Directory PPI''s'!B$37:M$37)</f>
        <v>97.765592469870683</v>
      </c>
      <c r="X12" s="1">
        <f>'Movie theater PPI''s'!B11</f>
        <v>98.116</v>
      </c>
      <c r="Y12" s="1">
        <f>AVERAGE('Radio PPI''s'!B$12:M$12)*100/AVERAGE('Radio PPI''s'!B$13:M$13)</f>
        <v>101.93564605329313</v>
      </c>
      <c r="Z12" s="1">
        <f>AVERAGE('Broadcast television PPI''s'!B$12:M$12)*100/AVERAGE('Broadcast television PPI''s'!B$13:M$13)</f>
        <v>92.108753315649849</v>
      </c>
      <c r="AA12" s="1">
        <f>(AVERAGE('Cable television PPI''s'!B$102:M$102)*4+AVERAGE('Cable television PPI''s'!B$129:M$129))*100/(AVERAGE('Cable television PPI''s'!B$103:M$103)*4+AVERAGE('Cable television PPI''s'!B$130:M$130))</f>
        <v>95.127176175964763</v>
      </c>
      <c r="AB12" s="1">
        <f>AVERAGE('Nonsearch internet PPI''s'!B$11:M$11)*100/AVERAGE('Nonsearch internet PPI''s'!B$12:M$12)</f>
        <v>106.84210526315789</v>
      </c>
      <c r="AC12" s="1">
        <f>AVERAGE('Search internet, PPI''s'!B$12:M$12)*100/AVERAGE('Search internet, PPI''s'!B$13:M$13)</f>
        <v>102.10544045814385</v>
      </c>
      <c r="AD12" s="1">
        <f>AVERAGE('Advertising Agency PPI''s'!B$26:M$26)*100/AVERAGE('Advertising Agency PPI''s'!B$27:M$27)</f>
        <v>98.585871512669584</v>
      </c>
      <c r="AE12" s="1">
        <f>'NAICS 71 sponsor PPI''s'!B11</f>
        <v>97.162999999999997</v>
      </c>
      <c r="AF12" s="1">
        <f>'NAICS 81 sponsor PPI''s'!D12</f>
        <v>98.221999999999994</v>
      </c>
      <c r="AG12" s="1"/>
    </row>
    <row r="13" spans="1:33" x14ac:dyDescent="0.3">
      <c r="A13" s="4">
        <v>2010</v>
      </c>
      <c r="B13" s="1">
        <v>7712282.6176343486</v>
      </c>
      <c r="C13" s="1">
        <v>9167776.6205131784</v>
      </c>
      <c r="D13" s="1">
        <v>9275656.7083783168</v>
      </c>
      <c r="E13" s="1">
        <v>22175656.92929969</v>
      </c>
      <c r="F13" s="1">
        <v>15268232.776412118</v>
      </c>
      <c r="G13" s="1">
        <v>9541988.9959200658</v>
      </c>
      <c r="H13" s="1">
        <v>153148.47994769565</v>
      </c>
      <c r="I13" s="1">
        <v>14785568.904593734</v>
      </c>
      <c r="J13" s="1">
        <v>29340267.851701915</v>
      </c>
      <c r="K13" s="1">
        <v>32289683.121330142</v>
      </c>
      <c r="L13" s="1">
        <v>15419394.004054496</v>
      </c>
      <c r="M13" s="1">
        <v>13767690.821173565</v>
      </c>
      <c r="N13" s="1">
        <v>100980803.67292935</v>
      </c>
      <c r="O13" s="1">
        <v>13255624.885481091</v>
      </c>
      <c r="P13" s="1">
        <v>1977944.9835845146</v>
      </c>
      <c r="Q13" s="1"/>
      <c r="R13" s="1">
        <f>AVERAGE('Direct Mail and nonmail PPI''s'!B$38:M$38)*100/AVERAGE('Direct Mail and nonmail PPI''s'!B$40:M$40)</f>
        <v>100.06401707121897</v>
      </c>
      <c r="S13" s="1">
        <f t="shared" si="0"/>
        <v>100.06401707121897</v>
      </c>
      <c r="T13" s="1">
        <f>AVERAGE('Signs and ad special PPI''s'!B$35:M$35)*100/AVERAGE('Signs and ad special PPI''s'!B$37:M$37)</f>
        <v>98.364121407358965</v>
      </c>
      <c r="U13" s="1">
        <f>AVERAGE('Newspapers PPI''s'!B$40:M$40)*100/AVERAGE('Newspapers PPI''s'!B$42:M$42)</f>
        <v>100.52883191606378</v>
      </c>
      <c r="V13" s="1">
        <f>AVERAGE('Periodical PPI''s'!B$40:M$40)*100/AVERAGE('Periodical PPI''s'!B$42:M$42)</f>
        <v>96.013015363070949</v>
      </c>
      <c r="W13" s="1">
        <f>AVERAGE('Directory PPI''s'!B$35:M$35)*100/AVERAGE('Directory PPI''s'!B$37:M$37)</f>
        <v>96.123508195759911</v>
      </c>
      <c r="X13" s="1">
        <f>'Movie theater PPI''s'!B12</f>
        <v>97.103999999999999</v>
      </c>
      <c r="Y13" s="1">
        <f>AVERAGE('Radio PPI''s'!B$11:M$11)*100/AVERAGE('Radio PPI''s'!B$13:M$13)</f>
        <v>103.15904139433552</v>
      </c>
      <c r="Z13" s="1">
        <f>AVERAGE('Broadcast television PPI''s'!B$11:M$11)*100/AVERAGE('Broadcast television PPI''s'!B$13:M$13)</f>
        <v>92.407161803713535</v>
      </c>
      <c r="AA13" s="1">
        <f>(AVERAGE('Cable television PPI''s'!B$101:M$101)*4+AVERAGE('Cable television PPI''s'!B$128:M$128))*100/(AVERAGE('Cable television PPI''s'!B$103:M$103)*4+AVERAGE('Cable television PPI''s'!B$130:M$130))</f>
        <v>90.788401774130278</v>
      </c>
      <c r="AB13" s="1">
        <f>AVERAGE('Nonsearch internet PPI''s'!B$10:M$10)*100/AVERAGE('Nonsearch internet PPI''s'!B$12:M$12)</f>
        <v>114.50187969924811</v>
      </c>
      <c r="AC13" s="1">
        <f>AVERAGE('Search internet, PPI''s'!B$11:M$11)*100/AVERAGE('Search internet, PPI''s'!B$13:M$13)</f>
        <v>101.95384874515749</v>
      </c>
      <c r="AD13" s="1">
        <f>AVERAGE('Advertising Agency PPI''s'!B$25:M$25)*100/AVERAGE('Advertising Agency PPI''s'!B$27:M$27)</f>
        <v>97.77962631174816</v>
      </c>
      <c r="AE13" s="1">
        <f>'NAICS 71 sponsor PPI''s'!B12</f>
        <v>96.772999999999996</v>
      </c>
      <c r="AF13" s="1">
        <f>'NAICS 81 sponsor PPI''s'!D13</f>
        <v>95.468999999999994</v>
      </c>
      <c r="AG13" s="1"/>
    </row>
    <row r="14" spans="1:33" x14ac:dyDescent="0.3">
      <c r="A14" s="4">
        <v>2009</v>
      </c>
      <c r="B14" s="1">
        <v>7817420.4910219219</v>
      </c>
      <c r="C14" s="1">
        <v>9131013.0241931994</v>
      </c>
      <c r="D14" s="1">
        <v>10749469.423196977</v>
      </c>
      <c r="E14" s="1">
        <v>23367377.007902354</v>
      </c>
      <c r="F14" s="1">
        <v>15835258.654230999</v>
      </c>
      <c r="G14" s="1">
        <v>13097894.372370752</v>
      </c>
      <c r="H14" s="1">
        <v>143348.92076645937</v>
      </c>
      <c r="I14" s="1">
        <v>13857669.763090262</v>
      </c>
      <c r="J14" s="1">
        <v>25603732.367580567</v>
      </c>
      <c r="K14" s="1">
        <v>29228724.009133708</v>
      </c>
      <c r="L14" s="1">
        <v>12518837.417858584</v>
      </c>
      <c r="M14" s="1">
        <v>11358791.749346316</v>
      </c>
      <c r="N14" s="1">
        <v>99280231.613135964</v>
      </c>
      <c r="O14" s="1">
        <v>12716151.779676629</v>
      </c>
      <c r="P14" s="1">
        <v>1897447.2226246798</v>
      </c>
      <c r="Q14" s="1"/>
      <c r="R14" s="1">
        <f>AVERAGE('Direct Mail and nonmail PPI''s'!B$37:M$37)*100/AVERAGE('Direct Mail and nonmail PPI''s'!B$40:M$40)</f>
        <v>99.775940250733512</v>
      </c>
      <c r="S14" s="1">
        <f t="shared" si="0"/>
        <v>99.775940250733512</v>
      </c>
      <c r="T14" s="1">
        <f>AVERAGE('Signs and ad special PPI''s'!B$34:M$34)*100/AVERAGE('Signs and ad special PPI''s'!B$37:M$37)</f>
        <v>97.946343182161385</v>
      </c>
      <c r="U14" s="1">
        <f>AVERAGE('Newspapers PPI''s'!B$39:M$39)*100/AVERAGE('Newspapers PPI''s'!B$42:M$42)</f>
        <v>100.24326268138933</v>
      </c>
      <c r="V14" s="1">
        <f>AVERAGE('Periodical PPI''s'!B$39:M$39)*100/AVERAGE('Periodical PPI''s'!B$42:M$42)</f>
        <v>95.557889534165326</v>
      </c>
      <c r="W14" s="1">
        <f>AVERAGE('Directory PPI''s'!B$34:M$34)*100/AVERAGE('Directory PPI''s'!B$37:M$37)</f>
        <v>94.669090695833219</v>
      </c>
      <c r="X14" s="1">
        <f>'Movie theater PPI''s'!B13</f>
        <v>95.661000000000001</v>
      </c>
      <c r="Y14" s="1">
        <f>Y13*AVERAGE('Radio PPI''s'!B56:M56)/AVERAGE('Radio PPI''s'!B57:M57)</f>
        <v>102.10178125831231</v>
      </c>
      <c r="Z14" s="1">
        <f>AVERAGE('Broadcast television PPI''s'!B$10:M$10)*100/AVERAGE('Broadcast television PPI''s'!B$13:M$13)</f>
        <v>87.383952254641883</v>
      </c>
      <c r="AA14" s="1">
        <f>(AVERAGE('Cable television PPI''s'!B$100:M$100)*4+AVERAGE('Cable television PPI''s'!B$127:M$127))*100/(AVERAGE('Cable television PPI''s'!B$103:M$103)*4+AVERAGE('Cable television PPI''s'!B$130:M$130))</f>
        <v>85.892948737289913</v>
      </c>
      <c r="AB14" s="1" t="s">
        <v>5</v>
      </c>
      <c r="AC14" s="1" t="s">
        <v>5</v>
      </c>
      <c r="AD14" s="1">
        <f>AVERAGE('Advertising Agency PPI''s'!B$24:M$24)*100/AVERAGE('Advertising Agency PPI''s'!B$27:M$27)</f>
        <v>97.850012797542888</v>
      </c>
      <c r="AE14" s="1">
        <f>'NAICS 71 sponsor PPI''s'!B13</f>
        <v>95.222999999999999</v>
      </c>
      <c r="AF14" s="1">
        <f>'NAICS 81 sponsor PPI''s'!D14</f>
        <v>93.436000000000007</v>
      </c>
      <c r="AG14" s="1"/>
    </row>
    <row r="15" spans="1:33" x14ac:dyDescent="0.3">
      <c r="A15" s="4">
        <v>2008</v>
      </c>
      <c r="B15" s="1">
        <v>9686346.2352210693</v>
      </c>
      <c r="C15" s="1">
        <v>11115464.504298158</v>
      </c>
      <c r="D15" s="1">
        <v>12202052.647923863</v>
      </c>
      <c r="E15" s="1">
        <v>31692658.948665693</v>
      </c>
      <c r="F15" s="1">
        <v>21351702.85153478</v>
      </c>
      <c r="G15" s="1">
        <v>14542047.213480763</v>
      </c>
      <c r="H15" s="1">
        <v>130960.07390276117</v>
      </c>
      <c r="I15" s="1">
        <v>15796760.916392853</v>
      </c>
      <c r="J15" s="1">
        <v>30287803.638142593</v>
      </c>
      <c r="K15" s="1">
        <v>29565264.951009482</v>
      </c>
      <c r="L15" s="1">
        <v>12712016.063875161</v>
      </c>
      <c r="M15" s="1">
        <v>10518331.187886305</v>
      </c>
      <c r="N15" s="1">
        <v>112852564.2776417</v>
      </c>
      <c r="O15" s="1">
        <v>12793219.366220124</v>
      </c>
      <c r="P15" s="1">
        <v>1908946.9027617991</v>
      </c>
      <c r="Q15" s="1"/>
      <c r="R15" s="1">
        <f>AVERAGE('Direct Mail and nonmail PPI''s'!B$36:M$36)*100/AVERAGE('Direct Mail and nonmail PPI''s'!B$40:M$40)</f>
        <v>100.69351827153906</v>
      </c>
      <c r="S15" s="1">
        <f t="shared" si="0"/>
        <v>100.69351827153906</v>
      </c>
      <c r="T15" s="1">
        <f>AVERAGE('Signs and ad special PPI''s'!B$33:M$33)*100/AVERAGE('Signs and ad special PPI''s'!B$37:M$37)</f>
        <v>97.644334826596889</v>
      </c>
      <c r="U15" s="1">
        <f>AVERAGE('Newspapers PPI''s'!B$38:M$38)*100/AVERAGE('Newspapers PPI''s'!B$42:M$42)</f>
        <v>100</v>
      </c>
      <c r="V15" s="1">
        <f>AVERAGE('Periodical PPI''s'!B$38:M$38)*100/AVERAGE('Periodical PPI''s'!B$42:M$42)</f>
        <v>94.155442975410864</v>
      </c>
      <c r="W15" s="1">
        <f>AVERAGE('Directory PPI''s'!B$33:M$33)*100/AVERAGE('Directory PPI''s'!B$37:M$37)</f>
        <v>93.041667888455564</v>
      </c>
      <c r="X15" s="1">
        <f>'Movie theater PPI''s'!B14</f>
        <v>94.192999999999998</v>
      </c>
      <c r="Y15" s="1">
        <f>Y$14*AVERAGE('Radio PPI''s'!B$55:M$55)/AVERAGE('Radio PPI''s'!B$56:M$56)</f>
        <v>107.63739218884439</v>
      </c>
      <c r="Z15" s="1">
        <f>AVERAGE('Broadcast television PPI''s'!B$9:M$9)*100/AVERAGE('Broadcast television PPI''s'!B$13:M$13)</f>
        <v>101.4680389453107</v>
      </c>
      <c r="AA15" s="1">
        <f>AA$14*(AVERAGE('Cable television PPI''s'!B$45:M$45)*4+AVERAGE('Cable television PPI''s'!B$84:M$84))/(AVERAGE('Cable television PPI''s'!B$46:M$46)*4+AVERAGE('Cable television PPI''s'!B$85:M$85))</f>
        <v>83.845615978231649</v>
      </c>
      <c r="AB15" s="1" t="s">
        <v>5</v>
      </c>
      <c r="AC15" s="1" t="s">
        <v>5</v>
      </c>
      <c r="AD15" s="1">
        <f>AVERAGE('Advertising Agency PPI''s'!B$23:M$23)*100/AVERAGE('Advertising Agency PPI''s'!B$27:M$27)</f>
        <v>98.630662912720737</v>
      </c>
      <c r="AE15" s="1">
        <f>'NAICS 71 sponsor PPI''s'!B14</f>
        <v>93.558000000000007</v>
      </c>
      <c r="AF15" s="1">
        <f>'NAICS 81 sponsor PPI''s'!D15</f>
        <v>92.465000000000003</v>
      </c>
      <c r="AG15" s="1"/>
    </row>
    <row r="16" spans="1:33" x14ac:dyDescent="0.3">
      <c r="A16" s="4">
        <v>2007</v>
      </c>
      <c r="B16" s="1">
        <v>11298400.82494349</v>
      </c>
      <c r="C16" s="1">
        <v>12735993.965912495</v>
      </c>
      <c r="D16" s="1">
        <v>10119066.93832887</v>
      </c>
      <c r="E16" s="1">
        <v>37529647.521738395</v>
      </c>
      <c r="F16" s="1">
        <v>22418495.36641106</v>
      </c>
      <c r="G16" s="1">
        <v>15084595.52101857</v>
      </c>
      <c r="H16" s="1">
        <v>124695.37609598524</v>
      </c>
      <c r="I16" s="1">
        <v>16697675.034609534</v>
      </c>
      <c r="J16" s="1">
        <v>31016842.982514095</v>
      </c>
      <c r="K16" s="1">
        <v>27307661.13012721</v>
      </c>
      <c r="L16" s="1">
        <v>11627503.322607612</v>
      </c>
      <c r="M16" s="1">
        <v>8125588.4013281455</v>
      </c>
      <c r="N16" s="1">
        <v>115492591.97429527</v>
      </c>
      <c r="O16" s="1">
        <v>11483070.394980714</v>
      </c>
      <c r="P16" s="1">
        <v>1713452.3404307715</v>
      </c>
      <c r="Q16" s="1"/>
      <c r="R16" s="1">
        <f>AVERAGE('Direct Mail and nonmail PPI''s'!B$35:M$35)*100/AVERAGE('Direct Mail and nonmail PPI''s'!B$40:M$40)</f>
        <v>100.44278474259802</v>
      </c>
      <c r="S16" s="1">
        <f t="shared" si="0"/>
        <v>100.44278474259802</v>
      </c>
      <c r="T16" s="1">
        <f>AVERAGE('Signs and ad special PPI''s'!B$32:M$32)*100/AVERAGE('Signs and ad special PPI''s'!B$37:M$37)</f>
        <v>95.812150802838886</v>
      </c>
      <c r="U16" s="1">
        <f>AVERAGE('Newspapers PPI''s'!B$37:M$37)*100/AVERAGE('Newspapers PPI''s'!B$42:M$42)</f>
        <v>98.16812624275498</v>
      </c>
      <c r="V16" s="1">
        <f>AVERAGE('Periodical PPI''s'!B$37:M$37)*100/AVERAGE('Periodical PPI''s'!B$42:M$42)</f>
        <v>90.58239630956794</v>
      </c>
      <c r="W16" s="1">
        <f>AVERAGE('Directory PPI''s'!B$32:M$32)*100/AVERAGE('Directory PPI''s'!B$37:M$37)</f>
        <v>91.757323402633219</v>
      </c>
      <c r="X16" s="1">
        <f>'Movie theater PPI''s'!B15</f>
        <v>92.113</v>
      </c>
      <c r="Y16" s="1">
        <f>Y$14*AVERAGE('Radio PPI''s'!B$54:M$54)/AVERAGE('Radio PPI''s'!B$56:M$56)</f>
        <v>108.67618489891083</v>
      </c>
      <c r="Z16" s="1">
        <f>Z$15*(AVERAGE('Broadcast television PPI''s'!B$39:M$39)+AVERAGE('Broadcast television PPI''s'!B$59:M$59))/(AVERAGE('Broadcast television PPI''s'!B$40:M$40)+AVERAGE('Broadcast television PPI''s'!B$60:M$60))</f>
        <v>101.40705320178239</v>
      </c>
      <c r="AA16" s="1">
        <f>AA$14*(AVERAGE('Cable television PPI''s'!B$44:M$44)*4+AVERAGE('Cable television PPI''s'!B$83:M$83))/(AVERAGE('Cable television PPI''s'!B$46:M$46)*4+AVERAGE('Cable television PPI''s'!B$85:M$85))</f>
        <v>74.999593302300752</v>
      </c>
      <c r="AB16" s="1" t="s">
        <v>5</v>
      </c>
      <c r="AC16" s="1" t="s">
        <v>5</v>
      </c>
      <c r="AD16" s="1">
        <f>AVERAGE('Advertising Agency PPI''s'!B$22:M$22)*100/AVERAGE('Advertising Agency PPI''s'!B$27:M$27)</f>
        <v>97.722037368825212</v>
      </c>
      <c r="AE16" s="1">
        <f>'NAICS 71 sponsor PPI''s'!B15</f>
        <v>89.742999999999995</v>
      </c>
      <c r="AF16" s="1">
        <f>'NAICS 81 sponsor PPI''s'!D16</f>
        <v>91.046000000000006</v>
      </c>
      <c r="AG16" s="1"/>
    </row>
    <row r="17" spans="1:33" x14ac:dyDescent="0.3">
      <c r="A17" s="4">
        <v>2006</v>
      </c>
      <c r="B17" s="1">
        <v>10745001.308472143</v>
      </c>
      <c r="C17" s="1">
        <v>12766137.957457008</v>
      </c>
      <c r="D17" s="1">
        <v>11235809.592260921</v>
      </c>
      <c r="E17" s="1">
        <v>39852240.267577633</v>
      </c>
      <c r="F17" s="1">
        <v>21738214.259834439</v>
      </c>
      <c r="G17" s="1">
        <v>15210049.174350454</v>
      </c>
      <c r="H17" s="1">
        <v>124863.36936140817</v>
      </c>
      <c r="I17" s="1">
        <v>16108151.230650464</v>
      </c>
      <c r="J17" s="1">
        <v>31473980.173246253</v>
      </c>
      <c r="K17" s="1">
        <v>25785462.384608079</v>
      </c>
      <c r="L17" s="1">
        <v>9421900.6269735023</v>
      </c>
      <c r="M17" s="1">
        <v>6298617.4446924822</v>
      </c>
      <c r="N17" s="1">
        <v>104408224.61953467</v>
      </c>
      <c r="O17" s="1">
        <v>10280277.882704308</v>
      </c>
      <c r="P17" s="1">
        <v>1533977.0281385595</v>
      </c>
      <c r="Q17" s="1"/>
      <c r="R17" s="1">
        <f>AVERAGE('Direct Mail and nonmail PPI''s'!B$34:M$34)*100/AVERAGE('Direct Mail and nonmail PPI''s'!B$40:M$40)</f>
        <v>100.58148839690584</v>
      </c>
      <c r="S17" s="1">
        <f t="shared" si="0"/>
        <v>100.58148839690584</v>
      </c>
      <c r="T17" s="1">
        <f>AVERAGE('Signs and ad special PPI''s'!B$31:M$31)*100/AVERAGE('Signs and ad special PPI''s'!B$37:M$37)</f>
        <v>93.82896260129867</v>
      </c>
      <c r="U17" s="1">
        <f>AVERAGE('Newspapers PPI''s'!B$36:M$36)*100/AVERAGE('Newspapers PPI''s'!B$42:M$42)</f>
        <v>95.172822270169604</v>
      </c>
      <c r="V17" s="1">
        <f>AVERAGE('Periodical PPI''s'!B$36:M$36)*100/AVERAGE('Periodical PPI''s'!B$42:M$42)</f>
        <v>86.027019234729579</v>
      </c>
      <c r="W17" s="1">
        <f>AVERAGE('Directory PPI''s'!B$31:M$31)*100/AVERAGE('Directory PPI''s'!B$37:M$37)</f>
        <v>89.566900272703279</v>
      </c>
      <c r="X17" s="1">
        <f>'Movie theater PPI''s'!B16</f>
        <v>88.638000000000005</v>
      </c>
      <c r="Y17" s="1">
        <f>Y$14*AVERAGE('Radio PPI''s'!B$53:M$53)/AVERAGE('Radio PPI''s'!B$56:M$56)</f>
        <v>110.90150972669768</v>
      </c>
      <c r="Z17" s="1">
        <f>Z$15*(AVERAGE('Broadcast television PPI''s'!B$38:M$38)+AVERAGE('Broadcast television PPI''s'!B$58:M$58))/(AVERAGE('Broadcast television PPI''s'!B$40:M$40)+AVERAGE('Broadcast television PPI''s'!B$60:M$60))</f>
        <v>103.51327247237232</v>
      </c>
      <c r="AA17" s="1">
        <f>AA$14*(AVERAGE('Cable television PPI''s'!B$43:M$43)*4+AVERAGE('Cable television PPI''s'!B$82:M$82))/(AVERAGE('Cable television PPI''s'!B$46:M$46)*4+AVERAGE('Cable television PPI''s'!B$85:M$85))</f>
        <v>80.161189590326444</v>
      </c>
      <c r="AB17" s="1" t="s">
        <v>5</v>
      </c>
      <c r="AC17" s="1" t="s">
        <v>5</v>
      </c>
      <c r="AD17" s="1">
        <f>AVERAGE('Advertising Agency PPI''s'!B$21:M$21)*100/AVERAGE('Advertising Agency PPI''s'!B$27:M$27)</f>
        <v>96.922190939339657</v>
      </c>
      <c r="AE17" s="1">
        <f>'NAICS 71 sponsor PPI''s'!B16</f>
        <v>86.153000000000006</v>
      </c>
      <c r="AF17" s="1">
        <f>'NAICS 81 sponsor PPI''s'!D17</f>
        <v>88.465999999999994</v>
      </c>
      <c r="AG17" s="1"/>
    </row>
    <row r="18" spans="1:33" x14ac:dyDescent="0.3">
      <c r="A18" s="4">
        <v>2005</v>
      </c>
      <c r="B18" s="1">
        <v>10034254.220245091</v>
      </c>
      <c r="C18" s="1">
        <v>12549871.851552615</v>
      </c>
      <c r="D18" s="1">
        <v>9863600.8806902878</v>
      </c>
      <c r="E18" s="1">
        <v>39095053.234899513</v>
      </c>
      <c r="F18" s="1">
        <v>21281482.764207739</v>
      </c>
      <c r="G18" s="1">
        <v>15011156.741147989</v>
      </c>
      <c r="H18" s="1">
        <v>123256.67803004148</v>
      </c>
      <c r="I18" s="1">
        <v>15116971.073368357</v>
      </c>
      <c r="J18" s="1">
        <v>31033083.550731193</v>
      </c>
      <c r="K18" s="1">
        <v>24401303.462260004</v>
      </c>
      <c r="L18" s="1">
        <v>6890392.4766011816</v>
      </c>
      <c r="M18" s="1">
        <v>4788238.8396720067</v>
      </c>
      <c r="N18" s="1">
        <v>94114185.954735622</v>
      </c>
      <c r="O18" s="1">
        <v>9303418.8983749412</v>
      </c>
      <c r="P18" s="1">
        <v>1388214.505102769</v>
      </c>
      <c r="Q18" s="1"/>
      <c r="R18" s="1">
        <f>AVERAGE('Direct Mail and nonmail PPI''s'!B$33:M$33)*100/AVERAGE('Direct Mail and nonmail PPI''s'!B$40:M$40)</f>
        <v>98.740997599359829</v>
      </c>
      <c r="S18" s="1">
        <f t="shared" si="0"/>
        <v>98.740997599359829</v>
      </c>
      <c r="T18" s="1">
        <f>AVERAGE('Signs and ad special PPI''s'!B$30:M$30)*100/AVERAGE('Signs and ad special PPI''s'!B$37:M$37)</f>
        <v>91.860874817536626</v>
      </c>
      <c r="U18" s="1">
        <f>AVERAGE('Newspapers PPI''s'!B$35:M$35)*100/AVERAGE('Newspapers PPI''s'!B$42:M$42)</f>
        <v>91.79675931801836</v>
      </c>
      <c r="V18" s="1">
        <f>AVERAGE('Periodical PPI''s'!B$35:M$35)*100/AVERAGE('Periodical PPI''s'!B$42:M$42)</f>
        <v>83.634004695415783</v>
      </c>
      <c r="W18" s="1">
        <f>AVERAGE('Directory PPI''s'!B$30:M$30)*100/AVERAGE('Directory PPI''s'!B$37:M$37)</f>
        <v>87.819253438113947</v>
      </c>
      <c r="X18" s="1">
        <f>'Movie theater PPI''s'!B17</f>
        <v>85.635000000000005</v>
      </c>
      <c r="Y18" s="1">
        <f>Y$14*AVERAGE('Radio PPI''s'!B$52:M$52)/AVERAGE('Radio PPI''s'!B$56:M$56)</f>
        <v>111.56633706114022</v>
      </c>
      <c r="Z18" s="1">
        <f>Z$15*(AVERAGE('Broadcast television PPI''s'!B$37:M$37)+AVERAGE('Broadcast television PPI''s'!B$57:M$57))/(AVERAGE('Broadcast television PPI''s'!B$40:M$40)+AVERAGE('Broadcast television PPI''s'!B$60:M$60))</f>
        <v>102.86742007885159</v>
      </c>
      <c r="AA18" s="1">
        <f>AA$14*(AVERAGE('Cable television PPI''s'!B$42:M$42)*4+AVERAGE('Cable television PPI''s'!B$81:M$81))/(AVERAGE('Cable television PPI''s'!B$46:M$46)*4+AVERAGE('Cable television PPI''s'!B$85:M$85))</f>
        <v>80.585335131731355</v>
      </c>
      <c r="AB18" s="1" t="s">
        <v>5</v>
      </c>
      <c r="AC18" s="1" t="s">
        <v>5</v>
      </c>
      <c r="AD18" s="1">
        <f>AVERAGE('Advertising Agency PPI''s'!B$20:M$20)*100/AVERAGE('Advertising Agency PPI''s'!B$27:M$27)</f>
        <v>94.38827745072949</v>
      </c>
      <c r="AE18" s="1">
        <f>'NAICS 71 sponsor PPI''s'!B17</f>
        <v>82.528999999999996</v>
      </c>
      <c r="AF18" s="1">
        <f>'NAICS 81 sponsor PPI''s'!D18</f>
        <v>85.304000000000002</v>
      </c>
      <c r="AG18" s="1"/>
    </row>
    <row r="19" spans="1:33" x14ac:dyDescent="0.3">
      <c r="A19" s="4">
        <v>2004</v>
      </c>
      <c r="B19" s="1">
        <v>8810649.1538407113</v>
      </c>
      <c r="C19" s="1">
        <v>11586857.611983275</v>
      </c>
      <c r="D19" s="1">
        <v>9277764.5479266457</v>
      </c>
      <c r="E19" s="1">
        <v>37307426.371947117</v>
      </c>
      <c r="F19" s="1">
        <v>20387592.722585198</v>
      </c>
      <c r="G19" s="1">
        <v>14746547.066096801</v>
      </c>
      <c r="H19" s="1">
        <v>132319.08700176058</v>
      </c>
      <c r="I19" s="1">
        <v>14619094.869285755</v>
      </c>
      <c r="J19" s="1">
        <v>31266871.487366986</v>
      </c>
      <c r="K19" s="1">
        <v>22681086.226486664</v>
      </c>
      <c r="L19" s="1">
        <v>5470796.1675585005</v>
      </c>
      <c r="M19" s="1">
        <v>3497722.1399144512</v>
      </c>
      <c r="N19" s="1">
        <v>87472549.014942765</v>
      </c>
      <c r="O19" s="1">
        <v>8543084.3878557757</v>
      </c>
      <c r="P19" s="1">
        <v>1274760.7944010734</v>
      </c>
      <c r="Q19" s="1"/>
      <c r="R19" s="1">
        <f>AVERAGE('Direct Mail and nonmail PPI''s'!B$32:M$32)*100/AVERAGE('Direct Mail and nonmail PPI''s'!B$40:M$40)</f>
        <v>97.113897039210457</v>
      </c>
      <c r="S19" s="1">
        <f t="shared" si="0"/>
        <v>97.113897039210457</v>
      </c>
      <c r="T19" s="1">
        <f>AVERAGE('Signs and ad special PPI''s'!B$29:M$29)*100/AVERAGE('Signs and ad special PPI''s'!B$37:M$37)</f>
        <v>88.599184577439971</v>
      </c>
      <c r="U19" s="1">
        <f>AVERAGE('Newspapers PPI''s'!B$34:M$34)*100/AVERAGE('Newspapers PPI''s'!B$42:M$42)</f>
        <v>87.955324279730945</v>
      </c>
      <c r="V19" s="1">
        <f>AVERAGE('Periodical PPI''s'!B$34:M$34)*100/AVERAGE('Periodical PPI''s'!B$42:M$42)</f>
        <v>80.260719139997519</v>
      </c>
      <c r="W19" s="1">
        <f>AVERAGE('Directory PPI''s'!B$29:M$29)*100/AVERAGE('Directory PPI''s'!B$37:M$37)</f>
        <v>86.080403483564496</v>
      </c>
      <c r="X19" s="1">
        <f>'Movie theater PPI''s'!B18</f>
        <v>82.944999999999993</v>
      </c>
      <c r="Y19" s="1">
        <f>Y$14*AVERAGE('Radio PPI''s'!B$51:M$51)/AVERAGE('Radio PPI''s'!B$56:M$56)</f>
        <v>107.35114708651491</v>
      </c>
      <c r="Z19" s="1">
        <f>Z$15*(AVERAGE('Broadcast television PPI''s'!B$36:M$36)+AVERAGE('Broadcast television PPI''s'!B$56:M$56))/(AVERAGE('Broadcast television PPI''s'!B$40:M$40)+AVERAGE('Broadcast television PPI''s'!B$60:M$60))</f>
        <v>105.56601351929496</v>
      </c>
      <c r="AA19" s="1">
        <f>AA$14*(AVERAGE('Cable television PPI''s'!B$41:M$41)*4+AVERAGE('Cable television PPI''s'!B$80:M$80))/(AVERAGE('Cable television PPI''s'!B$46:M$46)*4+AVERAGE('Cable television PPI''s'!B$85:M$85))</f>
        <v>80.045302830379754</v>
      </c>
      <c r="AB19" s="1" t="s">
        <v>5</v>
      </c>
      <c r="AC19" s="1" t="s">
        <v>5</v>
      </c>
      <c r="AD19" s="1">
        <f>AVERAGE('Advertising Agency PPI''s'!B$19:M$19)*100/AVERAGE('Advertising Agency PPI''s'!B$27:M$27)</f>
        <v>93.1533145636038</v>
      </c>
      <c r="AE19" s="1">
        <f>'NAICS 71 sponsor PPI''s'!B18</f>
        <v>78.009</v>
      </c>
      <c r="AF19" s="1">
        <f>'NAICS 81 sponsor PPI''s'!D19</f>
        <v>82.543999999999997</v>
      </c>
      <c r="AG19" s="1"/>
    </row>
    <row r="20" spans="1:33" x14ac:dyDescent="0.3">
      <c r="A20" s="4">
        <v>2003</v>
      </c>
      <c r="B20" s="1">
        <v>7671407.5878736153</v>
      </c>
      <c r="C20" s="1">
        <v>10596769.98261366</v>
      </c>
      <c r="D20" s="1">
        <v>9020754.5014303755</v>
      </c>
      <c r="E20" s="1">
        <v>34900805.342030272</v>
      </c>
      <c r="F20" s="1">
        <v>19276120.012437679</v>
      </c>
      <c r="G20" s="1">
        <v>14610011.608930614</v>
      </c>
      <c r="H20" s="1">
        <v>138463.10854289643</v>
      </c>
      <c r="I20" s="1">
        <v>14024398.857594728</v>
      </c>
      <c r="J20" s="1">
        <v>29651718.15373987</v>
      </c>
      <c r="K20" s="1">
        <v>20586717.641468242</v>
      </c>
      <c r="L20" s="1">
        <v>4400906.8807854028</v>
      </c>
      <c r="M20" s="1">
        <v>2369719.0896536782</v>
      </c>
      <c r="N20" s="1">
        <v>79033645.285938725</v>
      </c>
      <c r="O20" s="1">
        <v>7881074.1585385371</v>
      </c>
      <c r="P20" s="1">
        <v>1175978.5926209162</v>
      </c>
      <c r="Q20" s="1"/>
      <c r="R20" s="1">
        <f>AVERAGE('Direct Mail and nonmail PPI''s'!B$31:M$31)*100/AVERAGE('Direct Mail and nonmail PPI''s'!B$40:M$40)</f>
        <v>96.40437449986662</v>
      </c>
      <c r="S20" s="1">
        <f t="shared" si="0"/>
        <v>96.40437449986662</v>
      </c>
      <c r="T20" s="1">
        <f>AVERAGE('Signs and ad special PPI''s'!B$28:M$28)*100/AVERAGE('Signs and ad special PPI''s'!B$37:M$37)</f>
        <v>87.985100921125522</v>
      </c>
      <c r="U20" s="1">
        <f>AVERAGE('Newspapers PPI''s'!B$33:M$33)*100/AVERAGE('Newspapers PPI''s'!B$42:M$42)</f>
        <v>84.549646740280053</v>
      </c>
      <c r="V20" s="1">
        <f>AVERAGE('Periodical PPI''s'!B$33:M$33)*100/AVERAGE('Periodical PPI''s'!B$42:M$42)</f>
        <v>77.781210099262722</v>
      </c>
      <c r="W20" s="1">
        <f>AVERAGE('Directory PPI''s'!B$28:M$28)*100/AVERAGE('Directory PPI''s'!B$37:M$37)</f>
        <v>83.444271764947359</v>
      </c>
      <c r="X20" s="1">
        <f>'Movie theater PPI''s'!B19</f>
        <v>80.394999999999996</v>
      </c>
      <c r="Y20" s="1">
        <f>Y$14*AVERAGE('Radio PPI''s'!B$50:M$50)/AVERAGE('Radio PPI''s'!B$56:M$56)</f>
        <v>101.81553615598287</v>
      </c>
      <c r="Z20" s="1">
        <f>Z$15*(AVERAGE('Broadcast television PPI''s'!B$35:M$35)+AVERAGE('Broadcast television PPI''s'!B$55:M$55))/(AVERAGE('Broadcast television PPI''s'!B$40:M$40)+AVERAGE('Broadcast television PPI''s'!B$60:M$60))</f>
        <v>100.22230486207552</v>
      </c>
      <c r="AA20" s="1">
        <f>AA$14*(AVERAGE('Cable television PPI''s'!B$40:M$40)*4+AVERAGE('Cable television PPI''s'!B$79:M$79))/(AVERAGE('Cable television PPI''s'!B$46:M$46)*4+AVERAGE('Cable television PPI''s'!B$85:M$85))</f>
        <v>75.701094489178075</v>
      </c>
      <c r="AB20" s="1" t="s">
        <v>5</v>
      </c>
      <c r="AC20" s="1" t="s">
        <v>5</v>
      </c>
      <c r="AD20" s="1">
        <f>AVERAGE('Advertising Agency PPI''s'!B$18:M$18)*100/AVERAGE('Advertising Agency PPI''s'!B$27:M$27)</f>
        <v>92.852572306117253</v>
      </c>
      <c r="AE20" s="1">
        <f>'NAICS 71 sponsor PPI''s'!B19</f>
        <v>74.385999999999996</v>
      </c>
      <c r="AF20" s="1">
        <f>'NAICS 81 sponsor PPI''s'!D20</f>
        <v>79.677000000000007</v>
      </c>
      <c r="AG20" s="1"/>
    </row>
    <row r="21" spans="1:33" x14ac:dyDescent="0.3">
      <c r="A21" s="4">
        <v>2002</v>
      </c>
      <c r="B21" s="1">
        <v>7311311.3849316677</v>
      </c>
      <c r="C21" s="1">
        <v>10597486.525556717</v>
      </c>
      <c r="D21" s="1">
        <v>9126288.1596937906</v>
      </c>
      <c r="E21" s="1">
        <v>33318655.252405625</v>
      </c>
      <c r="F21" s="1">
        <v>18675065.696382359</v>
      </c>
      <c r="G21" s="1">
        <v>14459203.741040446</v>
      </c>
      <c r="H21" s="1">
        <v>140967.7957237348</v>
      </c>
      <c r="I21" s="1">
        <v>13834681.502125409</v>
      </c>
      <c r="J21" s="1">
        <v>30013048.237460289</v>
      </c>
      <c r="K21" s="1">
        <v>18760205.596884768</v>
      </c>
      <c r="L21" s="1">
        <v>4757598.7303972552</v>
      </c>
      <c r="M21" s="1">
        <v>839576.24654069217</v>
      </c>
      <c r="N21" s="1">
        <v>74869973.017984703</v>
      </c>
      <c r="O21" s="1">
        <v>7420973.7839345923</v>
      </c>
      <c r="P21" s="1">
        <v>1107324.4751609382</v>
      </c>
      <c r="Q21" s="1"/>
      <c r="R21" s="1">
        <f>AVERAGE('Direct Mail and nonmail PPI''s'!B$30:M$30)*100/AVERAGE('Direct Mail and nonmail PPI''s'!B$40:M$40)</f>
        <v>96.991197652707399</v>
      </c>
      <c r="S21" s="1">
        <f t="shared" si="0"/>
        <v>96.991197652707399</v>
      </c>
      <c r="T21" s="1">
        <f>AVERAGE('Signs and ad special PPI''s'!B$27:M$27)*100/AVERAGE('Signs and ad special PPI''s'!B$37:M$37)</f>
        <v>88.277042331504518</v>
      </c>
      <c r="U21" s="1">
        <f>AVERAGE('Newspapers PPI''s'!B$32:M$32)*100/AVERAGE('Newspapers PPI''s'!B$42:M$42)</f>
        <v>81.118585268858141</v>
      </c>
      <c r="V21" s="1">
        <f>AVERAGE('Periodical PPI''s'!B$32:M$32)*100/AVERAGE('Periodical PPI''s'!B$42:M$42)</f>
        <v>75.132830841467921</v>
      </c>
      <c r="W21" s="1">
        <f>AVERAGE('Directory PPI''s'!B$27:M$27)*100/AVERAGE('Directory PPI''s'!B$37:M$37)</f>
        <v>79.15139430548632</v>
      </c>
      <c r="X21" s="1">
        <f>'Movie theater PPI''s'!B20</f>
        <v>76.421000000000006</v>
      </c>
      <c r="Y21" s="1">
        <f>Y$14*AVERAGE('Radio PPI''s'!B$49:M$49)/AVERAGE('Radio PPI''s'!B$56:M$56)</f>
        <v>97.078641398079697</v>
      </c>
      <c r="Z21" s="1">
        <f>Z$15*(AVERAGE('Broadcast television PPI''s'!B$34:M$34)+AVERAGE('Broadcast television PPI''s'!B$54:M$54))/(AVERAGE('Broadcast television PPI''s'!B$40:M$40)+AVERAGE('Broadcast television PPI''s'!B$60:M$60))</f>
        <v>98.465750900079627</v>
      </c>
      <c r="AA21" s="1">
        <f>AA$20*AVERAGE('Cable television PPI''s'!B$18:M$18)/AVERAGE('Cable television PPI''s'!B$19:M$19)</f>
        <v>69.31393664573838</v>
      </c>
      <c r="AB21" s="1" t="s">
        <v>5</v>
      </c>
      <c r="AC21" s="1" t="s">
        <v>5</v>
      </c>
      <c r="AD21" s="1">
        <f>AVERAGE('Advertising Agency PPI''s'!B$17:M$17)*100/AVERAGE('Advertising Agency PPI''s'!B$27:M$27)</f>
        <v>91.297670847197352</v>
      </c>
      <c r="AE21" s="1">
        <f>'NAICS 71 sponsor PPI''s'!B20</f>
        <v>73.131</v>
      </c>
      <c r="AF21" s="1">
        <f>'NAICS 81 sponsor PPI''s'!D21</f>
        <v>78.025000000000006</v>
      </c>
      <c r="AG21" s="1"/>
    </row>
    <row r="22" spans="1:33" x14ac:dyDescent="0.3">
      <c r="A22" s="4">
        <v>2001</v>
      </c>
      <c r="B22" s="1">
        <v>7403307.5799994171</v>
      </c>
      <c r="C22" s="1">
        <v>11517951.938063161</v>
      </c>
      <c r="D22" s="1">
        <v>8962691.8854292743</v>
      </c>
      <c r="E22" s="1">
        <v>33472019.884763304</v>
      </c>
      <c r="F22" s="1">
        <v>19444938.228468686</v>
      </c>
      <c r="G22" s="1">
        <v>14266078.487820974</v>
      </c>
      <c r="H22" s="1">
        <v>132095.79941060196</v>
      </c>
      <c r="I22" s="1">
        <v>12850479.972460652</v>
      </c>
      <c r="J22" s="1">
        <v>27104571.045335799</v>
      </c>
      <c r="K22" s="1">
        <v>17356569.279708527</v>
      </c>
      <c r="L22" s="1">
        <v>6374632.8256480638</v>
      </c>
      <c r="M22" s="1">
        <v>265609.70106866932</v>
      </c>
      <c r="N22" s="1">
        <v>79412523.306634545</v>
      </c>
      <c r="O22" s="1">
        <v>7236982.6983824959</v>
      </c>
      <c r="P22" s="1">
        <v>1079870.1493305017</v>
      </c>
      <c r="Q22" s="1"/>
      <c r="R22" s="1">
        <f>AVERAGE('Direct Mail and nonmail PPI''s'!B$29:M$29)*100/AVERAGE('Direct Mail and nonmail PPI''s'!B$40:M$40)</f>
        <v>98.292878100826883</v>
      </c>
      <c r="S22" s="1">
        <f t="shared" si="0"/>
        <v>98.292878100826883</v>
      </c>
      <c r="T22" s="1">
        <f>AVERAGE('Signs and ad special PPI''s'!B$26:M$26)*100/AVERAGE('Signs and ad special PPI''s'!B$37:M$37)</f>
        <v>87.562289223335185</v>
      </c>
      <c r="U22" s="1">
        <f>AVERAGE('Newspapers PPI''s'!B$31:M$31)*100/AVERAGE('Newspapers PPI''s'!B$42:M$42)</f>
        <v>77.740406989042611</v>
      </c>
      <c r="V22" s="1">
        <f>AVERAGE('Periodical PPI''s'!B$31:M$31)*100/AVERAGE('Periodical PPI''s'!B$42:M$42)</f>
        <v>71.075826846245732</v>
      </c>
      <c r="W22" s="1">
        <f>AVERAGE('Directory PPI''s'!B$26:M$26)*100/AVERAGE('Directory PPI''s'!B$37:M$37)</f>
        <v>75.993314371169717</v>
      </c>
      <c r="X22" s="1">
        <f>'Movie theater PPI''s'!B21</f>
        <v>74.075999999999993</v>
      </c>
      <c r="Y22" s="1">
        <f>Y$14*AVERAGE('Radio PPI''s'!B$48:M$48)/AVERAGE('Radio PPI''s'!B$56:M$56)</f>
        <v>97.175595384352576</v>
      </c>
      <c r="Z22" s="1">
        <f>Z$15*(AVERAGE('Broadcast television PPI''s'!B$33:M$33)+AVERAGE('Broadcast television PPI''s'!B$53:M$53))/(AVERAGE('Broadcast television PPI''s'!B$40:M$40)+AVERAGE('Broadcast television PPI''s'!B$60:M$60))</f>
        <v>97.062362487974028</v>
      </c>
      <c r="AA22" s="1">
        <f>AA$20*AVERAGE('Cable television PPI''s'!B$17:M$17)/AVERAGE('Cable television PPI''s'!B$19:M$19)</f>
        <v>70.18455779432459</v>
      </c>
      <c r="AB22" s="1" t="s">
        <v>5</v>
      </c>
      <c r="AC22" s="1" t="s">
        <v>5</v>
      </c>
      <c r="AD22" s="1">
        <f>AVERAGE('Advertising Agency PPI''s'!B$16:M$16)*100/AVERAGE('Advertising Agency PPI''s'!B$27:M$27)</f>
        <v>89.211671359099071</v>
      </c>
      <c r="AE22" s="1">
        <f>'NAICS 71 sponsor PPI''s'!B21</f>
        <v>70.950999999999993</v>
      </c>
      <c r="AF22" s="1">
        <f>'NAICS 81 sponsor PPI''s'!D22</f>
        <v>76.504999999999995</v>
      </c>
      <c r="AG22" s="1"/>
    </row>
    <row r="23" spans="1:33" x14ac:dyDescent="0.3">
      <c r="A23" s="4">
        <v>2000</v>
      </c>
      <c r="B23" s="1">
        <v>7132257.6959356517</v>
      </c>
      <c r="C23" s="1">
        <v>11887473.283729635</v>
      </c>
      <c r="D23" s="1">
        <v>8944216.4888626691</v>
      </c>
      <c r="E23" s="1">
        <v>36769737.225853287</v>
      </c>
      <c r="F23" s="1">
        <v>21592019.80480703</v>
      </c>
      <c r="G23" s="1">
        <v>13884026.35645202</v>
      </c>
      <c r="H23" s="1">
        <v>126484.70240461398</v>
      </c>
      <c r="I23" s="1">
        <v>13847981.522796554</v>
      </c>
      <c r="J23" s="1">
        <v>29805402.379974313</v>
      </c>
      <c r="K23" s="1">
        <v>16731492.835314391</v>
      </c>
      <c r="L23" s="1">
        <v>7458957.42226185</v>
      </c>
      <c r="M23" s="1">
        <v>75343.004265271215</v>
      </c>
      <c r="N23" s="1">
        <v>82893686.164825067</v>
      </c>
      <c r="O23" s="1">
        <v>6786784.8844936322</v>
      </c>
      <c r="P23" s="1">
        <v>1012693.6476344164</v>
      </c>
      <c r="Q23" s="1"/>
      <c r="R23" s="1">
        <f>AVERAGE('Direct Mail and nonmail PPI''s'!B$28:M$28)*100/AVERAGE('Direct Mail and nonmail PPI''s'!B$40:M$40)</f>
        <v>96.863163510269374</v>
      </c>
      <c r="S23" s="1">
        <f t="shared" si="0"/>
        <v>96.863163510269374</v>
      </c>
      <c r="T23" s="1">
        <f>AVERAGE('Signs and ad special PPI''s'!B$25:M$25)*100/AVERAGE('Signs and ad special PPI''s'!B$37:M$37)</f>
        <v>85.01031861881512</v>
      </c>
      <c r="U23" s="1">
        <f>AVERAGE('Newspapers PPI''s'!B$30:M$30)*100/AVERAGE('Newspapers PPI''s'!B$42:M$42)</f>
        <v>73.983585057325371</v>
      </c>
      <c r="V23" s="1">
        <f>AVERAGE('Periodical PPI''s'!B$30:M$30)*100/AVERAGE('Periodical PPI''s'!B$42:M$42)</f>
        <v>65.447506075209049</v>
      </c>
      <c r="W23" s="1">
        <f>AVERAGE('Directory PPI''s'!B$25:M$25)*100/AVERAGE('Directory PPI''s'!B$37:M$37)</f>
        <v>73.269213852153769</v>
      </c>
      <c r="X23" s="1">
        <f>'Movie theater PPI''s'!B22</f>
        <v>71.444999999999993</v>
      </c>
      <c r="Y23" s="1">
        <f>Y$14*AVERAGE('Radio PPI''s'!B$47:M$47)/AVERAGE('Radio PPI''s'!B$56:M$56)</f>
        <v>96.339944359810204</v>
      </c>
      <c r="Z23" s="1">
        <f>Z22*(AA23/'Broadcast television PPI''s'!P22)/(AA22/'Broadcast television PPI''s'!P21)</f>
        <v>95.096609505210253</v>
      </c>
      <c r="AA23" s="1">
        <f>AA$20*AVERAGE('Cable television PPI''s'!B$16:M$16)/AVERAGE('Cable television PPI''s'!B$19:M$19)</f>
        <v>66.534195579400347</v>
      </c>
      <c r="AB23" s="1" t="s">
        <v>5</v>
      </c>
      <c r="AC23" s="1" t="s">
        <v>5</v>
      </c>
      <c r="AD23" s="1">
        <f>AVERAGE('Advertising Agency PPI''s'!B$15:M$15)*100/AVERAGE('Advertising Agency PPI''s'!B$27:M$27)</f>
        <v>84.636549782441776</v>
      </c>
      <c r="AE23" s="1">
        <f>'NAICS 71 sponsor PPI''s'!B22</f>
        <v>67.247</v>
      </c>
      <c r="AF23" s="1">
        <f>'NAICS 81 sponsor PPI''s'!D23</f>
        <v>73.659000000000006</v>
      </c>
      <c r="AG23" s="1"/>
    </row>
    <row r="24" spans="1:33" x14ac:dyDescent="0.3">
      <c r="A24" s="4">
        <v>1999</v>
      </c>
      <c r="B24" s="1">
        <v>6807794.9534009369</v>
      </c>
      <c r="C24" s="1">
        <v>12134687.969669929</v>
      </c>
      <c r="D24" s="1">
        <v>8584484.6011046469</v>
      </c>
      <c r="E24" s="1">
        <v>34970913.631549679</v>
      </c>
      <c r="F24" s="1">
        <v>19602781.565587424</v>
      </c>
      <c r="G24" s="1">
        <v>13279460.346373672</v>
      </c>
      <c r="H24" s="1">
        <v>116746.07069003275</v>
      </c>
      <c r="I24" s="1">
        <v>12182818.934769155</v>
      </c>
      <c r="J24" s="1">
        <v>27058931.696526602</v>
      </c>
      <c r="K24" s="1">
        <v>14400814.594384179</v>
      </c>
      <c r="L24" s="1">
        <v>4292825.9907669192</v>
      </c>
      <c r="M24" s="1">
        <v>10758.962382874484</v>
      </c>
      <c r="N24" s="1">
        <v>75530225.451444685</v>
      </c>
      <c r="O24" s="1">
        <v>5801220.2414268032</v>
      </c>
      <c r="P24" s="1">
        <v>865632.10518782295</v>
      </c>
      <c r="Q24" s="1"/>
      <c r="R24" s="1">
        <f>AVERAGE('Direct Mail and nonmail PPI''s'!B$27:M$27)*100/AVERAGE('Direct Mail and nonmail PPI''s'!B$40:M$40)</f>
        <v>95.076020272072554</v>
      </c>
      <c r="S24" s="1">
        <f t="shared" si="0"/>
        <v>95.076020272072554</v>
      </c>
      <c r="T24" s="1">
        <f>AVERAGE('Signs and ad special PPI''s'!B$24:M$24)*100/AVERAGE('Signs and ad special PPI''s'!B$37:M$37)</f>
        <v>84.013691045452262</v>
      </c>
      <c r="U24" s="1">
        <f>AVERAGE('Newspapers PPI''s'!B$29:M$29)*100/AVERAGE('Newspapers PPI''s'!B$42:M$42)</f>
        <v>70.914244616491089</v>
      </c>
      <c r="V24" s="1">
        <f>V$23*AVERAGE('Periodical PPI''s'!B$29:M$29)/AVERAGE('Periodical PPI''s'!B$30:M$30)</f>
        <v>62.961818855801297</v>
      </c>
      <c r="W24" s="1">
        <f>AVERAGE('Directory PPI''s'!B$24:M$24)*100/AVERAGE('Directory PPI''s'!B$37:M$37)</f>
        <v>70.715186347242195</v>
      </c>
      <c r="X24" s="1">
        <f>'Movie theater PPI''s'!B23</f>
        <v>97.176000000000002</v>
      </c>
      <c r="Y24" s="1">
        <f>Y$14*AVERAGE('Radio PPI''s'!B$46:M$46)/AVERAGE('Radio PPI''s'!B$56:M$56)</f>
        <v>92.512570330276361</v>
      </c>
      <c r="Z24" s="1">
        <f>Z23*(AA24/'Broadcast television PPI''s'!P23)/(AA23/'Broadcast television PPI''s'!P22)</f>
        <v>87.974863920413014</v>
      </c>
      <c r="AA24" s="1">
        <f>AA$20*AVERAGE('Cable television PPI''s'!B$15:M$15)/AVERAGE('Cable television PPI''s'!B$19:M$19)</f>
        <v>60.080667513871127</v>
      </c>
      <c r="AB24" s="1" t="s">
        <v>5</v>
      </c>
      <c r="AC24" s="1" t="s">
        <v>5</v>
      </c>
      <c r="AD24" s="1">
        <f>AVERAGE('Advertising Agency PPI''s'!B$14:M$14)*100/AVERAGE('Advertising Agency PPI''s'!B$27:M$27)</f>
        <v>82.499360122856416</v>
      </c>
      <c r="AE24" s="1">
        <f>'NAICS 71 sponsor PPI''s'!B23</f>
        <v>64.153000000000006</v>
      </c>
      <c r="AF24" s="1">
        <f>'NAICS 81 sponsor PPI''s'!D24</f>
        <v>71.304000000000002</v>
      </c>
      <c r="AG24" s="1"/>
    </row>
    <row r="25" spans="1:33" x14ac:dyDescent="0.3">
      <c r="A25" s="4">
        <v>1998</v>
      </c>
      <c r="B25" s="1">
        <v>6541894.8414926864</v>
      </c>
      <c r="C25" s="1">
        <v>12450821.881713424</v>
      </c>
      <c r="D25" s="1">
        <v>7496089.9189360915</v>
      </c>
      <c r="E25" s="1">
        <v>33184933.380842526</v>
      </c>
      <c r="F25" s="1">
        <v>18428905.14862445</v>
      </c>
      <c r="G25" s="1">
        <v>12584629.272290574</v>
      </c>
      <c r="H25" s="1">
        <v>106140.8035740031</v>
      </c>
      <c r="I25" s="1">
        <v>10832423.502625529</v>
      </c>
      <c r="J25" s="1">
        <v>25282267.843354955</v>
      </c>
      <c r="K25" s="1">
        <v>12134908.765233515</v>
      </c>
      <c r="L25" s="1">
        <v>1786998.2272460125</v>
      </c>
      <c r="M25" s="1">
        <v>1117.5723747629847</v>
      </c>
      <c r="N25" s="1">
        <v>69367459.62658447</v>
      </c>
      <c r="O25" s="1">
        <v>5017075.4750275183</v>
      </c>
      <c r="P25" s="1">
        <v>748625.53473165957</v>
      </c>
      <c r="Q25" s="1"/>
      <c r="R25" s="1">
        <f>AVERAGE('Direct Mail and nonmail PPI''s'!B$26:M$26)*100/AVERAGE('Direct Mail and nonmail PPI''s'!B$40:M$40)</f>
        <v>94.947986129634586</v>
      </c>
      <c r="S25" s="1">
        <f t="shared" si="0"/>
        <v>94.947986129634586</v>
      </c>
      <c r="T25" s="1">
        <f>AVERAGE('Signs and ad special PPI''s'!B$23:M$23)*100/AVERAGE('Signs and ad special PPI''s'!B$37:M$37)</f>
        <v>82.372778980218484</v>
      </c>
      <c r="U25" s="1">
        <f>AVERAGE('Newspapers PPI''s'!B$28:M$28)*100/AVERAGE('Newspapers PPI''s'!B$42:M$42)</f>
        <v>68.371620764056331</v>
      </c>
      <c r="V25" s="1">
        <f>V$23*AVERAGE('Periodical PPI''s'!B$28:M$28)/AVERAGE('Periodical PPI''s'!B$30:M$30)</f>
        <v>60.622348531652875</v>
      </c>
      <c r="W25" s="1">
        <f>AVERAGE('Directory PPI''s'!B$23:M$23)*100/AVERAGE('Directory PPI''s'!B$37:M$37)</f>
        <v>67.897252441134214</v>
      </c>
      <c r="X25" s="1">
        <f>'Movie theater PPI''s'!B24</f>
        <v>63.244999999999997</v>
      </c>
      <c r="Y25" s="1">
        <f>Y$14*AVERAGE('Radio PPI''s'!B$45:M$45)/AVERAGE('Radio PPI''s'!B$56:M$56)</f>
        <v>85.831978990426563</v>
      </c>
      <c r="Z25" s="1">
        <f>Z24*(AA25/'Broadcast television PPI''s'!P24)/(AA24/'Broadcast television PPI''s'!P23)</f>
        <v>86.995212941545418</v>
      </c>
      <c r="AA25" s="1">
        <f>AA$20*AVERAGE('Cable television PPI''s'!B$14:M$14)/AVERAGE('Cable television PPI''s'!B$19:M$19)</f>
        <v>57.99195758340646</v>
      </c>
      <c r="AB25" s="1" t="s">
        <v>5</v>
      </c>
      <c r="AC25" s="1" t="s">
        <v>5</v>
      </c>
      <c r="AD25" s="1">
        <f>AVERAGE('Advertising Agency PPI''s'!B$13:M$13)*100/AVERAGE('Advertising Agency PPI''s'!B$27:M$27)</f>
        <v>80.854875863834152</v>
      </c>
      <c r="AE25" s="1">
        <f>'NAICS 71 sponsor PPI''s'!B24</f>
        <v>60.975000000000001</v>
      </c>
      <c r="AF25" s="1">
        <f>'NAICS 81 sponsor PPI''s'!D25</f>
        <v>69.539000000000001</v>
      </c>
      <c r="AG25" s="1"/>
    </row>
    <row r="26" spans="1:33" x14ac:dyDescent="0.3">
      <c r="A26" s="4">
        <v>1997</v>
      </c>
      <c r="B26" s="1">
        <v>6065819.8143033581</v>
      </c>
      <c r="C26" s="1">
        <v>12309128.734868912</v>
      </c>
      <c r="D26" s="1">
        <v>7280506.3727654517</v>
      </c>
      <c r="E26" s="1">
        <v>31224434.755383532</v>
      </c>
      <c r="F26" s="1">
        <v>17414914.000812154</v>
      </c>
      <c r="G26" s="1">
        <v>11989509.606119702</v>
      </c>
      <c r="H26" s="1">
        <v>97063.164962221505</v>
      </c>
      <c r="I26" s="1">
        <v>9844513.956268739</v>
      </c>
      <c r="J26" s="1">
        <v>23318016.668766342</v>
      </c>
      <c r="K26" s="1">
        <v>10115373.855542162</v>
      </c>
      <c r="L26" s="1">
        <v>844566.4691250344</v>
      </c>
      <c r="M26" s="1">
        <v>131.98413332161812</v>
      </c>
      <c r="N26" s="1">
        <v>65107692.450632513</v>
      </c>
      <c r="O26" s="1">
        <v>4830594.4613584979</v>
      </c>
      <c r="P26" s="1">
        <v>720799.67297810351</v>
      </c>
      <c r="Q26" s="1"/>
      <c r="R26" s="1">
        <f>AVERAGE('Direct Mail and nonmail PPI''s'!B$25:M$25)*100/AVERAGE('Direct Mail and nonmail PPI''s'!B$40:M$40)</f>
        <v>94.147772739397155</v>
      </c>
      <c r="S26" s="1">
        <f t="shared" si="0"/>
        <v>94.147772739397155</v>
      </c>
      <c r="T26" s="1">
        <f>AVERAGE('Signs and ad special PPI''s'!B$22:M$22)*100/AVERAGE('Signs and ad special PPI''s'!B$37:M$37)</f>
        <v>81.139578194996744</v>
      </c>
      <c r="U26" s="1">
        <f>AVERAGE('Newspapers PPI''s'!B$27:M$27)*100/AVERAGE('Newspapers PPI''s'!B$42:M$42)</f>
        <v>65.63015611118162</v>
      </c>
      <c r="V26" s="1">
        <f>V$23*AVERAGE('Periodical PPI''s'!B$27:M$27)/AVERAGE('Periodical PPI''s'!B$30:M$30)</f>
        <v>57.069895794719727</v>
      </c>
      <c r="W26" s="1">
        <f>AVERAGE('Directory PPI''s'!B$22:M$22)*100/AVERAGE('Directory PPI''s'!B$37:M$37)</f>
        <v>65.093980001759377</v>
      </c>
      <c r="X26" s="1">
        <f>'Movie theater PPI''s'!B25</f>
        <v>61.923000000000002</v>
      </c>
      <c r="Y26" s="1">
        <f>Y$14*AVERAGE('Radio PPI''s'!B$44:M$44)/AVERAGE('Radio PPI''s'!B$56:M$56)</f>
        <v>84.511558034519837</v>
      </c>
      <c r="Z26" s="1">
        <f>Z25*(AA26/'Broadcast television PPI''s'!P25)/(AA25/'Broadcast television PPI''s'!P24)</f>
        <v>86.340878195546807</v>
      </c>
      <c r="AA26" s="1">
        <f>AA$20*AVERAGE('Cable television PPI''s'!B$13:M$13)/AVERAGE('Cable television PPI''s'!B$19:M$19)</f>
        <v>56.180440933433331</v>
      </c>
      <c r="AB26" s="1" t="s">
        <v>5</v>
      </c>
      <c r="AC26" s="1" t="s">
        <v>5</v>
      </c>
      <c r="AD26" s="1">
        <f>AVERAGE('Advertising Agency PPI''s'!B$12:M$12)*100/AVERAGE('Advertising Agency PPI''s'!B$27:M$27)</f>
        <v>79.671103148195584</v>
      </c>
      <c r="AE26" s="1">
        <f>'NAICS 71 sponsor PPI''s'!B25</f>
        <v>59.853000000000002</v>
      </c>
      <c r="AF26" s="1">
        <f>'NAICS 81 sponsor PPI''s'!D26</f>
        <v>67.617000000000004</v>
      </c>
      <c r="AG26" s="1"/>
    </row>
    <row r="27" spans="1:33" x14ac:dyDescent="0.3">
      <c r="A27" s="4">
        <v>1996</v>
      </c>
      <c r="B27" s="1">
        <v>5905822.0746388854</v>
      </c>
      <c r="C27" s="1">
        <v>12089503.916385585</v>
      </c>
      <c r="D27" s="1">
        <v>6665512.2913051993</v>
      </c>
      <c r="E27" s="1">
        <v>28765312.202062134</v>
      </c>
      <c r="F27" s="1">
        <v>16027255.043075761</v>
      </c>
      <c r="G27" s="1">
        <v>11387042.783576349</v>
      </c>
      <c r="H27" s="1">
        <v>89586.59853277677</v>
      </c>
      <c r="I27" s="1">
        <v>9001472.8864354137</v>
      </c>
      <c r="J27" s="1">
        <v>22657541.945124052</v>
      </c>
      <c r="K27" s="1">
        <v>8527154.5644652899</v>
      </c>
      <c r="L27" s="1">
        <v>248650.14010924127</v>
      </c>
      <c r="M27" s="1">
        <v>9.7132755228423484</v>
      </c>
      <c r="N27" s="1">
        <v>58474664.406291917</v>
      </c>
      <c r="O27" s="1">
        <v>3848565.6111209439</v>
      </c>
      <c r="P27" s="1">
        <v>574265.72570337704</v>
      </c>
      <c r="Q27" s="1"/>
      <c r="R27" s="1">
        <f>AVERAGE('Direct Mail and nonmail PPI''s'!B$24:M$24)*100/AVERAGE('Direct Mail and nonmail PPI''s'!B$40:M$40)</f>
        <v>94.521205654841282</v>
      </c>
      <c r="S27" s="1">
        <f t="shared" si="0"/>
        <v>94.521205654841282</v>
      </c>
      <c r="T27" s="1">
        <f>AVERAGE('Signs and ad special PPI''s'!B$21:M$21)*100/AVERAGE('Signs and ad special PPI''s'!B$37:M$37)</f>
        <v>79.775507122363749</v>
      </c>
      <c r="U27" s="1">
        <f>AVERAGE('Newspapers PPI''s'!B$26:M$26)*100/AVERAGE('Newspapers PPI''s'!B$42:M$42)</f>
        <v>62.899268096628155</v>
      </c>
      <c r="V27" s="1">
        <f>V$23*AVERAGE('Periodical PPI''s'!B$26:M$26)/AVERAGE('Periodical PPI''s'!B$30:M$30)</f>
        <v>54.942542938341781</v>
      </c>
      <c r="W27" s="1">
        <f>AVERAGE('Directory PPI''s'!B$21:M$21)*100/AVERAGE('Directory PPI''s'!B$37:M$37)</f>
        <v>62.906489165176083</v>
      </c>
      <c r="X27" s="1">
        <f>'Movie theater PPI''s'!B26</f>
        <v>60.247999999999998</v>
      </c>
      <c r="Y27" s="1">
        <f>Y$14*AVERAGE('Radio PPI''s'!B$43:M$43)/AVERAGE('Radio PPI''s'!B$56:M$56)</f>
        <v>79.973188105651602</v>
      </c>
      <c r="Z27" s="1">
        <f>Z$26*'Radio PPI''s'!B$86/'Radio PPI''s'!B$87</f>
        <v>80.381271356959274</v>
      </c>
      <c r="AA27" s="1">
        <f>AA$20*AVERAGE('Cable television PPI''s'!B$12:M$12)/AVERAGE('Cable television PPI''s'!B$19:M$19)</f>
        <v>51.24952384525222</v>
      </c>
      <c r="AB27" s="1" t="s">
        <v>5</v>
      </c>
      <c r="AC27" s="1" t="s">
        <v>5</v>
      </c>
      <c r="AD27" s="1">
        <f>AVERAGE('Advertising Agency PPI''s'!B$11:M$11)*100/AVERAGE('Advertising Agency PPI''s'!B$27:M$27)</f>
        <v>78.103404146403889</v>
      </c>
      <c r="AE27" s="1">
        <f>AE$26*'NAICS 71 sponsor PPI''s'!B$38/'NAICS 71 sponsor PPI''s'!B$39</f>
        <v>58.252725548446072</v>
      </c>
      <c r="AF27" s="1">
        <f>AF$26*'NAICS 81 sponsor PPI''s'!D$39/'NAICS 81 sponsor PPI''s'!D$40</f>
        <v>66.179751798561171</v>
      </c>
      <c r="AG27" s="1"/>
    </row>
    <row r="28" spans="1:33" x14ac:dyDescent="0.3">
      <c r="A28" s="4">
        <v>1995</v>
      </c>
      <c r="B28" s="1">
        <v>5854124.7011273969</v>
      </c>
      <c r="C28" s="1">
        <v>12088421.049698811</v>
      </c>
      <c r="D28" s="1">
        <v>6169846.1093492927</v>
      </c>
      <c r="E28" s="1">
        <v>27267173.946075547</v>
      </c>
      <c r="F28" s="1">
        <v>15173818.157097202</v>
      </c>
      <c r="G28" s="1">
        <v>10743641.80410061</v>
      </c>
      <c r="H28" s="1">
        <v>82433.184286922988</v>
      </c>
      <c r="I28" s="1">
        <v>8220117.748541113</v>
      </c>
      <c r="J28" s="1">
        <v>21512974.82579441</v>
      </c>
      <c r="K28" s="1">
        <v>7176809.9984378321</v>
      </c>
      <c r="L28" s="1">
        <v>0</v>
      </c>
      <c r="M28" s="1">
        <v>0</v>
      </c>
      <c r="N28" s="1">
        <v>51680923.219716653</v>
      </c>
      <c r="O28" s="1">
        <v>3550931.0382491243</v>
      </c>
      <c r="P28" s="1">
        <v>529854.02761753683</v>
      </c>
      <c r="Q28" s="1"/>
      <c r="R28" s="1">
        <f>AVERAGE('Direct Mail and nonmail PPI''s'!B$23:M$23)*100/AVERAGE('Direct Mail and nonmail PPI''s'!B$40:M$40)</f>
        <v>92.542011202987467</v>
      </c>
      <c r="S28" s="1">
        <f t="shared" si="0"/>
        <v>92.542011202987467</v>
      </c>
      <c r="T28" s="1">
        <f>AVERAGE('Signs and ad special PPI''s'!B$20:M$20)*100/AVERAGE('Signs and ad special PPI''s'!B$37:M$37)</f>
        <v>78.275532289726684</v>
      </c>
      <c r="U28" s="1">
        <f>AVERAGE('Newspapers PPI''s'!B$25:M$25)*100/AVERAGE('Newspapers PPI''s'!B$42:M$42)</f>
        <v>58.660151457460735</v>
      </c>
      <c r="V28" s="1">
        <f>V$23*AVERAGE('Periodical PPI''s'!B$25:M$25)/AVERAGE('Periodical PPI''s'!B$30:M$30)</f>
        <v>53.787223526504377</v>
      </c>
      <c r="W28" s="1">
        <f>AVERAGE('Directory PPI''s'!B$20:M$20)*100/AVERAGE('Directory PPI''s'!B$37:M$37)</f>
        <v>60.7864410755652</v>
      </c>
      <c r="X28" s="1">
        <f>'Movie theater PPI''s'!B27</f>
        <v>57.433</v>
      </c>
      <c r="Y28" s="1">
        <f>Y$14*AVERAGE('Radio PPI''s'!B$42:M$42)/AVERAGE('Radio PPI''s'!B$56:M$56)</f>
        <v>72.974033668048108</v>
      </c>
      <c r="Z28" s="1">
        <f>Z$26*'Radio PPI''s'!B$85/'Radio PPI''s'!B$87</f>
        <v>73.623279517546194</v>
      </c>
      <c r="AA28" s="1">
        <f>AA$20*AVERAGE('Cable television PPI''s'!B$11:M$11)/AVERAGE('Cable television PPI''s'!B$19:M$19)</f>
        <v>48.348754726868549</v>
      </c>
      <c r="AB28" s="1" t="s">
        <v>5</v>
      </c>
      <c r="AC28" s="1" t="s">
        <v>5</v>
      </c>
      <c r="AD28" s="1">
        <f>AD27*AVERAGE('Advertising Agency PPI''s'!G10:M10)/AVERAGE('Advertising Agency PPI''s'!G11:M11)</f>
        <v>77.018938927540773</v>
      </c>
      <c r="AE28" s="1">
        <f>AE$26*'NAICS 71 sponsor PPI''s'!B$37/'NAICS 71 sponsor PPI''s'!B$39</f>
        <v>55.489858546617917</v>
      </c>
      <c r="AF28" s="1">
        <f>AF$26*'NAICS 81 sponsor PPI''s'!D$38/'NAICS 81 sponsor PPI''s'!D$40</f>
        <v>64.13812230215828</v>
      </c>
      <c r="AG28" s="1"/>
    </row>
    <row r="29" spans="1:33" x14ac:dyDescent="0.3">
      <c r="A29" s="4">
        <v>1994</v>
      </c>
      <c r="B29" s="1">
        <v>5494537.5554863345</v>
      </c>
      <c r="C29" s="1">
        <v>11444782.451833813</v>
      </c>
      <c r="D29" s="1">
        <v>5679304.0369164171</v>
      </c>
      <c r="E29" s="1">
        <v>25769035.690088961</v>
      </c>
      <c r="F29" s="1">
        <v>14097497.863613911</v>
      </c>
      <c r="G29" s="1">
        <v>10312258.765659289</v>
      </c>
      <c r="H29" s="1">
        <v>77967.80865912103</v>
      </c>
      <c r="I29" s="1">
        <v>7560265.2038600417</v>
      </c>
      <c r="J29" s="1">
        <v>19838791.669918854</v>
      </c>
      <c r="K29" s="1">
        <v>5967368.7065268103</v>
      </c>
      <c r="L29" s="1">
        <v>0</v>
      </c>
      <c r="M29" s="1">
        <v>0</v>
      </c>
      <c r="N29" s="1">
        <v>46249801.242600881</v>
      </c>
      <c r="O29" s="1">
        <v>3258108.7039525188</v>
      </c>
      <c r="P29" s="1">
        <v>486160.39022154635</v>
      </c>
      <c r="Q29" s="1"/>
      <c r="R29" s="1">
        <f>AVERAGE('Direct Mail and nonmail PPI''s'!B$22:M$22)*100/AVERAGE('Direct Mail and nonmail PPI''s'!B$40:M$40)</f>
        <v>89.527874099759927</v>
      </c>
      <c r="S29" s="1">
        <f t="shared" si="0"/>
        <v>89.527874099759927</v>
      </c>
      <c r="T29" s="1">
        <f>AVERAGE('Signs and ad special PPI''s'!B$19:M$19)*100/AVERAGE('Signs and ad special PPI''s'!B$37:M$37)</f>
        <v>76.111139074847756</v>
      </c>
      <c r="U29" s="1">
        <f>AVERAGE('Newspapers PPI''s'!B$24:M$24)*100/AVERAGE('Newspapers PPI''s'!B$42:M$42)</f>
        <v>55.136015568811608</v>
      </c>
      <c r="V29" s="1">
        <f>V$23*AVERAGE('Periodical PPI''s'!B$24:M$24)/AVERAGE('Periodical PPI''s'!B$30:M$30)</f>
        <v>52.133531035050865</v>
      </c>
      <c r="W29" s="1">
        <f>AVERAGE('Directory PPI''s'!B$19:M$19)*100/AVERAGE('Directory PPI''s'!B$37:M$37)</f>
        <v>59.012403600856238</v>
      </c>
      <c r="X29" s="1">
        <f>'Movie theater PPI''s'!B28</f>
        <v>55.475999999999999</v>
      </c>
      <c r="Y29" s="1">
        <f>Y$14*AVERAGE('Radio PPI''s'!B$41:M$41)/AVERAGE('Radio PPI''s'!B$56:M$56)</f>
        <v>68.874265105652384</v>
      </c>
      <c r="Z29" s="1">
        <f>Z$26*'Radio PPI''s'!B$84/'Radio PPI''s'!B$87</f>
        <v>69.346372401407081</v>
      </c>
      <c r="AA29" s="1">
        <f>AA$20*AVERAGE('Cable television PPI''s'!B$10:M$10)/AVERAGE('Cable television PPI''s'!B$19:M$19)</f>
        <v>46.744157004586327</v>
      </c>
      <c r="AB29" s="1" t="s">
        <v>5</v>
      </c>
      <c r="AC29" s="1" t="s">
        <v>5</v>
      </c>
      <c r="AD29" s="1">
        <f>AD$28*'Advertising Agency PPI''s'!B$49/'Advertising Agency PPI''s'!B$50</f>
        <v>72.464355283503238</v>
      </c>
      <c r="AE29" s="1">
        <f>AE$26*'NAICS 71 sponsor PPI''s'!B$36/'NAICS 71 sponsor PPI''s'!B$39</f>
        <v>53.581839008226687</v>
      </c>
      <c r="AF29" s="1">
        <f>AF$26*'NAICS 81 sponsor PPI''s'!D$37/'NAICS 81 sponsor PPI''s'!D$40</f>
        <v>61.816413669064758</v>
      </c>
      <c r="AG29" s="1"/>
    </row>
    <row r="30" spans="1:33" x14ac:dyDescent="0.3">
      <c r="A30" s="4">
        <v>1993</v>
      </c>
      <c r="B30" s="1">
        <v>5261030.4681311287</v>
      </c>
      <c r="C30" s="1">
        <v>11053642.649641946</v>
      </c>
      <c r="D30" s="1">
        <v>5214239.6829685681</v>
      </c>
      <c r="E30" s="1">
        <v>24076736.298555955</v>
      </c>
      <c r="F30" s="1">
        <v>13285119.961102333</v>
      </c>
      <c r="G30" s="1">
        <v>9988983.8852701746</v>
      </c>
      <c r="H30" s="1">
        <v>74266.247283443081</v>
      </c>
      <c r="I30" s="1">
        <v>6918170.7304947497</v>
      </c>
      <c r="J30" s="1">
        <v>18073287.828950886</v>
      </c>
      <c r="K30" s="1">
        <v>4928545.5557069927</v>
      </c>
      <c r="L30" s="1">
        <v>0</v>
      </c>
      <c r="M30" s="1">
        <v>0</v>
      </c>
      <c r="N30" s="1">
        <v>44729764.890345335</v>
      </c>
      <c r="O30" s="1">
        <v>3045646.2950543826</v>
      </c>
      <c r="P30" s="1">
        <v>454457.70102274156</v>
      </c>
      <c r="Q30" s="1"/>
      <c r="R30" s="1">
        <f>AVERAGE('Direct Mail and nonmail PPI''s'!B$21:M$21)*100/AVERAGE('Direct Mail and nonmail PPI''s'!B$40:M$40)</f>
        <v>88.188850360096012</v>
      </c>
      <c r="S30" s="1">
        <f t="shared" si="0"/>
        <v>88.188850360096012</v>
      </c>
      <c r="T30" s="1">
        <f>AVERAGE('Signs and ad special PPI''s'!B$18:M$18)*100/AVERAGE('Signs and ad special PPI''s'!B$37:M$37)</f>
        <v>74.168218654049454</v>
      </c>
      <c r="U30" s="1">
        <f>AVERAGE('Newspapers PPI''s'!B$23:M$23)*100/AVERAGE('Newspapers PPI''s'!B$42:M$42)</f>
        <v>52.914921521343658</v>
      </c>
      <c r="V30" s="1">
        <f>V$23*AVERAGE('Periodical PPI''s'!B$23:M$23)/AVERAGE('Periodical PPI''s'!B$30:M$30)</f>
        <v>51.344783557807155</v>
      </c>
      <c r="W30" s="1">
        <f>AVERAGE('Directory PPI''s'!B$18:M$18)*100/AVERAGE('Directory PPI''s'!B$37:M$37)</f>
        <v>56.713485617101128</v>
      </c>
      <c r="X30" s="1">
        <f>'Movie theater PPI''s'!B29</f>
        <v>53.622</v>
      </c>
      <c r="Y30" s="1">
        <f>Y$14*AVERAGE('Radio PPI''s'!B$40:M$40)/AVERAGE('Radio PPI''s'!B$56:M$56)</f>
        <v>65.628614993755775</v>
      </c>
      <c r="Z30" s="1">
        <f>Z$26*'Radio PPI''s'!B$83/'Radio PPI''s'!B$87</f>
        <v>65.450166579939562</v>
      </c>
      <c r="AA30" s="1">
        <f>AA$20*AVERAGE('Cable television PPI''s'!B$9:M$9)/AVERAGE('Cable television PPI''s'!B$19:M$19)</f>
        <v>45.333533963597105</v>
      </c>
      <c r="AB30" s="1" t="s">
        <v>5</v>
      </c>
      <c r="AC30" s="1" t="s">
        <v>5</v>
      </c>
      <c r="AD30" s="1">
        <f>AD$28*'Advertising Agency PPI''s'!B$48/'Advertising Agency PPI''s'!B$50</f>
        <v>69.308256969870556</v>
      </c>
      <c r="AE30" s="1">
        <f>AE$26*'NAICS 71 sponsor PPI''s'!B$35/'NAICS 71 sponsor PPI''s'!B$39</f>
        <v>51.831111403107869</v>
      </c>
      <c r="AF30" s="1">
        <f>AF$26*'NAICS 81 sponsor PPI''s'!D$36/'NAICS 81 sponsor PPI''s'!D$40</f>
        <v>60.821395683453247</v>
      </c>
      <c r="AG30" s="1"/>
    </row>
    <row r="31" spans="1:33" x14ac:dyDescent="0.3">
      <c r="A31" s="4">
        <v>1992</v>
      </c>
      <c r="B31" s="1">
        <v>5099333.6643223027</v>
      </c>
      <c r="C31" s="1">
        <v>10806766.871956958</v>
      </c>
      <c r="D31" s="1">
        <v>4983866.1570020905</v>
      </c>
      <c r="E31" s="1">
        <v>23147482.614812385</v>
      </c>
      <c r="F31" s="1">
        <v>12624914.001389788</v>
      </c>
      <c r="G31" s="1">
        <v>9782213.9130732398</v>
      </c>
      <c r="H31" s="1">
        <v>72547.665216164038</v>
      </c>
      <c r="I31" s="1">
        <v>6560205.3981819311</v>
      </c>
      <c r="J31" s="1">
        <v>18136978.623629216</v>
      </c>
      <c r="K31" s="1">
        <v>4152032.5758510535</v>
      </c>
      <c r="L31" s="1">
        <v>0</v>
      </c>
      <c r="M31" s="1">
        <v>0</v>
      </c>
      <c r="N31" s="1">
        <v>43457909.434940368</v>
      </c>
      <c r="O31" s="1">
        <v>2840808.1925732857</v>
      </c>
      <c r="P31" s="1">
        <v>423892.67668403778</v>
      </c>
      <c r="Q31" s="1"/>
      <c r="R31" s="1">
        <f>AVERAGE('Direct Mail and nonmail PPI''s'!B$20:M$20)*100/AVERAGE('Direct Mail and nonmail PPI''s'!B$40:M$40)</f>
        <v>86.604427847425995</v>
      </c>
      <c r="S31" s="1">
        <f t="shared" si="0"/>
        <v>86.604427847425995</v>
      </c>
      <c r="T31" s="1">
        <f>AVERAGE('Signs and ad special PPI''s'!B$17:M$17)*100/AVERAGE('Signs and ad special PPI''s'!B$37:M$37)</f>
        <v>71.344440529521336</v>
      </c>
      <c r="U31" s="1">
        <f>AVERAGE('Newspapers PPI''s'!B$22:M$22)*100/AVERAGE('Newspapers PPI''s'!B$42:M$42)</f>
        <v>50.334221770952311</v>
      </c>
      <c r="V31" s="1">
        <f>V$23*AVERAGE('Periodical PPI''s'!B$22:M$22)/AVERAGE('Periodical PPI''s'!B$30:M$30)</f>
        <v>50.1771077886239</v>
      </c>
      <c r="W31" s="1">
        <f>AVERAGE('Directory PPI''s'!B$17:M$17)*100/AVERAGE('Directory PPI''s'!B$37:M$37)</f>
        <v>54.42336451338592</v>
      </c>
      <c r="X31" s="1">
        <f>'Movie theater PPI''s'!B30</f>
        <v>53.057000000000002</v>
      </c>
      <c r="Y31" s="1">
        <f>Y$14*AVERAGE('Radio PPI''s'!B$39:M$39)/AVERAGE('Radio PPI''s'!B$56:M$56)</f>
        <v>63.250933901825853</v>
      </c>
      <c r="Z31" s="1">
        <f>Z$26*'Radio PPI''s'!B$82/'Radio PPI''s'!B$87</f>
        <v>63.09852029685392</v>
      </c>
      <c r="AA31" s="1" t="s">
        <v>5</v>
      </c>
      <c r="AB31" s="1" t="s">
        <v>5</v>
      </c>
      <c r="AC31" s="1" t="s">
        <v>5</v>
      </c>
      <c r="AD31" s="1">
        <f>AD$28*'Advertising Agency PPI''s'!B$47/'Advertising Agency PPI''s'!B$50</f>
        <v>67.5945843112234</v>
      </c>
      <c r="AE31" s="1">
        <f>AE$26*'NAICS 71 sponsor PPI''s'!B$34/'NAICS 71 sponsor PPI''s'!B$39</f>
        <v>51.297686585923223</v>
      </c>
      <c r="AF31" s="1">
        <f>AF$26*'NAICS 81 sponsor PPI''s'!D$35/'NAICS 81 sponsor PPI''s'!D$40</f>
        <v>59.502075539568359</v>
      </c>
      <c r="AG31" s="1"/>
    </row>
    <row r="32" spans="1:33" x14ac:dyDescent="0.3">
      <c r="A32" s="4">
        <v>1991</v>
      </c>
      <c r="B32" s="1">
        <v>4875160.3253432596</v>
      </c>
      <c r="C32" s="1">
        <v>10426272.986822048</v>
      </c>
      <c r="D32" s="1">
        <v>4752260.3439353099</v>
      </c>
      <c r="E32" s="1">
        <v>22928390.282872844</v>
      </c>
      <c r="F32" s="1">
        <v>11900840.920763992</v>
      </c>
      <c r="G32" s="1">
        <v>9637369.9731586352</v>
      </c>
      <c r="H32" s="1">
        <v>76836.776016552758</v>
      </c>
      <c r="I32" s="1">
        <v>6439637.4403011119</v>
      </c>
      <c r="J32" s="1">
        <v>17482873.13097851</v>
      </c>
      <c r="K32" s="1">
        <v>3691971.4663166082</v>
      </c>
      <c r="L32" s="1">
        <v>0</v>
      </c>
      <c r="M32" s="1">
        <v>0</v>
      </c>
      <c r="N32" s="1">
        <v>41048820.479511842</v>
      </c>
      <c r="O32" s="1">
        <v>2514453.9074194073</v>
      </c>
      <c r="P32" s="1">
        <v>375195.55174514087</v>
      </c>
      <c r="Q32" s="1"/>
      <c r="R32" s="1">
        <f>AVERAGE('Direct Mail and nonmail PPI''s'!B$19:M$19)*100/AVERAGE('Direct Mail and nonmail PPI''s'!B$40:M$40)</f>
        <v>85.862896772472681</v>
      </c>
      <c r="S32" s="1">
        <f t="shared" si="0"/>
        <v>85.862896772472681</v>
      </c>
      <c r="T32" s="1">
        <f>AVERAGE('Signs and ad special PPI''s'!B$16:M$16)*100/AVERAGE('Signs and ad special PPI''s'!B$37:M$37)</f>
        <v>69.552524286505275</v>
      </c>
      <c r="U32" s="1">
        <f>AVERAGE('Newspapers PPI''s'!B$21:M$21)*100/AVERAGE('Newspapers PPI''s'!B$42:M$42)</f>
        <v>47.926978889029911</v>
      </c>
      <c r="V32" s="1">
        <f>V$23*AVERAGE('Periodical PPI''s'!B$21:M$21)/AVERAGE('Periodical PPI''s'!B$30:M$30)</f>
        <v>47.380452242678871</v>
      </c>
      <c r="W32" s="1">
        <f>AVERAGE('Directory PPI''s'!B$16:M$16)*100/AVERAGE('Directory PPI''s'!B$37:M$37)</f>
        <v>51.350321086121447</v>
      </c>
      <c r="X32" s="1">
        <f>'Movie theater PPI''s'!B31</f>
        <v>52.436</v>
      </c>
      <c r="Y32" s="1">
        <f>Y$14*AVERAGE('Radio PPI''s'!B$38:M$38)/AVERAGE('Radio PPI''s'!B$56:M$56)</f>
        <v>62.249076043672815</v>
      </c>
      <c r="Z32" s="1">
        <f>Z$26*'Radio PPI''s'!B$81/'Radio PPI''s'!B$87</f>
        <v>62.482871917470725</v>
      </c>
      <c r="AA32" s="1" t="s">
        <v>5</v>
      </c>
      <c r="AB32" s="1" t="s">
        <v>5</v>
      </c>
      <c r="AC32" s="1" t="s">
        <v>5</v>
      </c>
      <c r="AD32" s="1">
        <f>AD$28*'Advertising Agency PPI''s'!B$46/'Advertising Agency PPI''s'!B$50</f>
        <v>66.69296265107721</v>
      </c>
      <c r="AE32" s="1">
        <f>AE$26*'NAICS 71 sponsor PPI''s'!B$33/'NAICS 71 sponsor PPI''s'!B$39</f>
        <v>50.750584209323584</v>
      </c>
      <c r="AF32" s="1">
        <f>AF$26*'NAICS 81 sponsor PPI''s'!D$34/'NAICS 81 sponsor PPI''s'!D$40</f>
        <v>57.976381294964035</v>
      </c>
      <c r="AG32" s="1"/>
    </row>
    <row r="33" spans="1:33" x14ac:dyDescent="0.3">
      <c r="A33" s="4">
        <v>1990</v>
      </c>
      <c r="B33" s="1">
        <v>4622821.1487835115</v>
      </c>
      <c r="C33" s="1">
        <v>9976854.9541724827</v>
      </c>
      <c r="D33" s="1">
        <v>4826317.6554502714</v>
      </c>
      <c r="E33" s="1">
        <v>24387243.017270267</v>
      </c>
      <c r="F33" s="1">
        <v>12101075.032339124</v>
      </c>
      <c r="G33" s="1">
        <v>9368673.9686793722</v>
      </c>
      <c r="H33" s="1">
        <v>75441.346132864637</v>
      </c>
      <c r="I33" s="1">
        <v>6704139.2393729864</v>
      </c>
      <c r="J33" s="1">
        <v>18608569.347441908</v>
      </c>
      <c r="K33" s="1">
        <v>3216276.8171454091</v>
      </c>
      <c r="L33" s="1">
        <v>0</v>
      </c>
      <c r="M33" s="1">
        <v>0</v>
      </c>
      <c r="N33" s="1">
        <v>42521871.060720064</v>
      </c>
      <c r="O33" s="1">
        <v>2370430.7383813034</v>
      </c>
      <c r="P33" s="1">
        <v>353705.05943112855</v>
      </c>
      <c r="Q33" s="1"/>
      <c r="R33" s="1">
        <f>AVERAGE('Direct Mail and nonmail PPI''s'!B$18:M$18)*100/AVERAGE('Direct Mail and nonmail PPI''s'!B$40:M$40)</f>
        <v>85.473459589223779</v>
      </c>
      <c r="S33" s="1">
        <f t="shared" si="0"/>
        <v>85.473459589223779</v>
      </c>
      <c r="T33" s="1">
        <f>AVERAGE('Signs and ad special PPI''s'!B$15:M$15)*100/AVERAGE('Signs and ad special PPI''s'!B$37:M$37)</f>
        <v>67.926712639049683</v>
      </c>
      <c r="U33" s="1">
        <f>AVERAGE('Newspapers PPI''s'!B$20:M$20)*100/AVERAGE('Newspapers PPI''s'!B$42:M$42)</f>
        <v>44.853407792867102</v>
      </c>
      <c r="V33" s="1">
        <f>V$23*AVERAGE('Periodical PPI''s'!B$20:M$20)/AVERAGE('Periodical PPI''s'!B$30:M$30)</f>
        <v>43.879484328020091</v>
      </c>
      <c r="W33" s="1">
        <f>AVERAGE('Directory PPI''s'!B$15:M$15)*100/AVERAGE('Directory PPI''s'!B$37:M$37)</f>
        <v>48.110136938099288</v>
      </c>
      <c r="X33" s="1">
        <f>'Movie theater PPI''s'!B32</f>
        <v>49.781999999999996</v>
      </c>
      <c r="Y33" s="1">
        <f>Y$14*AVERAGE('Radio PPI''s'!B$37:M$37)/AVERAGE('Radio PPI''s'!B$56:M$56)</f>
        <v>61.205666477117148</v>
      </c>
      <c r="Z33" s="1">
        <f>Z$26*'Radio PPI''s'!B$80/'Radio PPI''s'!B$87</f>
        <v>64.863886586145313</v>
      </c>
      <c r="AA33" s="1" t="s">
        <v>5</v>
      </c>
      <c r="AB33" s="1" t="s">
        <v>5</v>
      </c>
      <c r="AC33" s="1" t="s">
        <v>5</v>
      </c>
      <c r="AD33" s="1">
        <f>AD$28*'Advertising Agency PPI''s'!B$45/'Advertising Agency PPI''s'!B$50</f>
        <v>65.792185997172936</v>
      </c>
      <c r="AE33" s="1">
        <f>AE$26*'NAICS 71 sponsor PPI''s'!B$32/'NAICS 71 sponsor PPI''s'!B$39</f>
        <v>48.062943784277884</v>
      </c>
      <c r="AF33" s="1">
        <f>AF$26*'NAICS 81 sponsor PPI''s'!D$33/'NAICS 81 sponsor PPI''s'!D$40</f>
        <v>56.266424460431665</v>
      </c>
      <c r="AG33" s="1"/>
    </row>
    <row r="34" spans="1:33" x14ac:dyDescent="0.3">
      <c r="A34" s="4">
        <v>1989</v>
      </c>
      <c r="B34" s="1">
        <v>4308240.047733386</v>
      </c>
      <c r="C34" s="1">
        <v>9382563.5779127907</v>
      </c>
      <c r="D34" s="1">
        <v>4602248.1746679861</v>
      </c>
      <c r="E34" s="1">
        <v>24453726.207651921</v>
      </c>
      <c r="F34" s="1">
        <v>11847290.976691648</v>
      </c>
      <c r="G34" s="1">
        <v>8743116.0832510833</v>
      </c>
      <c r="H34" s="1">
        <v>67156.899244442597</v>
      </c>
      <c r="I34" s="1">
        <v>6706008.510037805</v>
      </c>
      <c r="J34" s="1">
        <v>17584661.976825371</v>
      </c>
      <c r="K34" s="1">
        <v>2744837.4120520786</v>
      </c>
      <c r="L34" s="1">
        <v>0</v>
      </c>
      <c r="M34" s="1">
        <v>0</v>
      </c>
      <c r="N34" s="1">
        <v>39136770.669244029</v>
      </c>
      <c r="O34" s="1">
        <v>2514066.3468174976</v>
      </c>
      <c r="P34" s="1">
        <v>375137.72168771207</v>
      </c>
      <c r="Q34" s="1"/>
      <c r="R34" s="1">
        <f>AVERAGE('Direct Mail and nonmail PPI''s'!B$17:M$17)*100/AVERAGE('Direct Mail and nonmail PPI''s'!B$40:M$40)</f>
        <v>82.976793811683123</v>
      </c>
      <c r="S34" s="1">
        <f t="shared" si="0"/>
        <v>82.976793811683123</v>
      </c>
      <c r="T34" s="1">
        <f>AVERAGE('Signs and ad special PPI''s'!B$14:M$14)*100/AVERAGE('Signs and ad special PPI''s'!B$37:M$37)</f>
        <v>66.159963758997336</v>
      </c>
      <c r="U34" s="1">
        <f>AVERAGE('Newspapers PPI''s'!B$19:M$19)*100/AVERAGE('Newspapers PPI''s'!B$42:M$42)</f>
        <v>42.103481829335351</v>
      </c>
      <c r="V34" s="1">
        <f>V$23*AVERAGE('Periodical PPI''s'!B$19:M$19)/AVERAGE('Periodical PPI''s'!B$30:M$30)</f>
        <v>40.804810741793318</v>
      </c>
      <c r="W34" s="1">
        <f>AVERAGE('Directory PPI''s'!B$14:M$14)*100/AVERAGE('Directory PPI''s'!B$37:M$37)</f>
        <v>46.462188077295252</v>
      </c>
      <c r="X34" s="1">
        <f>'Movie theater PPI''s'!B33</f>
        <v>46.89</v>
      </c>
      <c r="Y34" s="1">
        <f>Y$14*AVERAGE('Radio PPI''s'!B$36:M$36)/AVERAGE('Radio PPI''s'!B$56:M$56)</f>
        <v>58.080054633939341</v>
      </c>
      <c r="Z34" s="1">
        <f>Z$26*'Radio PPI''s'!B$79/'Radio PPI''s'!B$87</f>
        <v>60.921996609317198</v>
      </c>
      <c r="AA34" s="1" t="s">
        <v>5</v>
      </c>
      <c r="AB34" s="1" t="s">
        <v>5</v>
      </c>
      <c r="AC34" s="1" t="s">
        <v>5</v>
      </c>
      <c r="AD34" s="1">
        <f>AD$28*'Advertising Agency PPI''s'!B$44/'Advertising Agency PPI''s'!B$50</f>
        <v>63.53855434992839</v>
      </c>
      <c r="AE34" s="1">
        <f>AE$26*'NAICS 71 sponsor PPI''s'!B$31/'NAICS 71 sponsor PPI''s'!B$39</f>
        <v>45.313754341864723</v>
      </c>
      <c r="AF34" s="1">
        <f>AF$26*'NAICS 81 sponsor PPI''s'!D$32/'NAICS 81 sponsor PPI''s'!D$40</f>
        <v>54.283758992805765</v>
      </c>
      <c r="AG34" s="1"/>
    </row>
    <row r="35" spans="1:33" x14ac:dyDescent="0.3">
      <c r="A35" s="4">
        <v>1988</v>
      </c>
      <c r="B35" s="1">
        <v>4114066.6501678783</v>
      </c>
      <c r="C35" s="1">
        <v>9041007.1612741444</v>
      </c>
      <c r="D35" s="1">
        <v>4288342.317696196</v>
      </c>
      <c r="E35" s="1">
        <v>23569046.481096052</v>
      </c>
      <c r="F35" s="1">
        <v>10853394.829333242</v>
      </c>
      <c r="G35" s="1">
        <v>8166889.1048951587</v>
      </c>
      <c r="H35" s="1">
        <v>57051.049139417111</v>
      </c>
      <c r="I35" s="1">
        <v>6286197.2211049255</v>
      </c>
      <c r="J35" s="1">
        <v>17199235.977716725</v>
      </c>
      <c r="K35" s="1">
        <v>2175638.9962376663</v>
      </c>
      <c r="L35" s="1">
        <v>0</v>
      </c>
      <c r="M35" s="1">
        <v>0</v>
      </c>
      <c r="N35" s="1">
        <v>35600380.80813618</v>
      </c>
      <c r="O35" s="1">
        <v>1814832.883578625</v>
      </c>
      <c r="P35" s="1">
        <v>270801.23563622404</v>
      </c>
      <c r="Q35" s="1"/>
      <c r="R35" s="1">
        <f>AVERAGE('Direct Mail and nonmail PPI''s'!B$16:M$16)*100/AVERAGE('Direct Mail and nonmail PPI''s'!B$40:M$40)</f>
        <v>78.970392104561228</v>
      </c>
      <c r="S35" s="1">
        <f t="shared" si="0"/>
        <v>78.970392104561228</v>
      </c>
      <c r="T35" s="1">
        <f>AVERAGE('Signs and ad special PPI''s'!B$13:M$13)*100/AVERAGE('Signs and ad special PPI''s'!B$37:M$37)</f>
        <v>64.639855035989342</v>
      </c>
      <c r="U35" s="1">
        <f>AVERAGE('Newspapers PPI''s'!B$18:M$18)*100/AVERAGE('Newspapers PPI''s'!B$42:M$42)</f>
        <v>39.08279392477894</v>
      </c>
      <c r="V35" s="1">
        <f>V$23*AVERAGE('Periodical PPI''s'!B$18:M$18)/AVERAGE('Periodical PPI''s'!B$30:M$30)</f>
        <v>38.11936241196095</v>
      </c>
      <c r="W35" s="1">
        <f>AVERAGE('Directory PPI''s'!B$13:M$13)*100/AVERAGE('Directory PPI''s'!B$37:M$37)</f>
        <v>44.403451575841096</v>
      </c>
      <c r="X35" s="1">
        <f>'Movie theater PPI''s'!B34</f>
        <v>43.82</v>
      </c>
      <c r="Y35" s="1">
        <f>Y34*AVERAGE('Radio PPI''s'!B35:M35)/AVERAGE('Radio PPI''s'!B36:M36)</f>
        <v>56.16208053814676</v>
      </c>
      <c r="Z35" s="1">
        <f>Z$26*'Radio PPI''s'!B$78/'Radio PPI''s'!B$87</f>
        <v>60.209541329288946</v>
      </c>
      <c r="AA35" s="1" t="s">
        <v>5</v>
      </c>
      <c r="AB35" s="1" t="s">
        <v>5</v>
      </c>
      <c r="AC35" s="1" t="s">
        <v>5</v>
      </c>
      <c r="AD35" s="1">
        <f>AD$28*'Advertising Agency PPI''s'!B$43/'Advertising Agency PPI''s'!B$50</f>
        <v>60.384146048779577</v>
      </c>
      <c r="AE35" s="1">
        <f>AE$26*'NAICS 71 sponsor PPI''s'!B$30/'NAICS 71 sponsor PPI''s'!B$39</f>
        <v>42.345723948811703</v>
      </c>
      <c r="AF35" s="1">
        <f>AF$26*'NAICS 81 sponsor PPI''s'!D$31/'NAICS 81 sponsor PPI''s'!D$40</f>
        <v>51.748305755395691</v>
      </c>
      <c r="AG35" s="1"/>
    </row>
    <row r="36" spans="1:33" x14ac:dyDescent="0.3">
      <c r="A36" s="4">
        <v>1987</v>
      </c>
      <c r="B36" s="1">
        <v>3695554.2257273672</v>
      </c>
      <c r="C36" s="1">
        <v>8194790.9781087656</v>
      </c>
      <c r="D36" s="1">
        <v>3936860.1423559226</v>
      </c>
      <c r="E36" s="1">
        <v>22220495.403468188</v>
      </c>
      <c r="F36" s="1">
        <v>10099109.561288795</v>
      </c>
      <c r="G36" s="1">
        <v>7662034.5027290406</v>
      </c>
      <c r="H36" s="1">
        <v>50573.316731980725</v>
      </c>
      <c r="I36" s="1">
        <v>5811919.5641227337</v>
      </c>
      <c r="J36" s="1">
        <v>16226508.907196797</v>
      </c>
      <c r="K36" s="1">
        <v>1647083.6022662448</v>
      </c>
      <c r="L36" s="1">
        <v>0</v>
      </c>
      <c r="M36" s="1">
        <v>0</v>
      </c>
      <c r="N36" s="1">
        <v>31908471.780382287</v>
      </c>
      <c r="O36" s="1">
        <v>1610423.5319137429</v>
      </c>
      <c r="P36" s="1">
        <v>240300.18757426823</v>
      </c>
      <c r="Q36" s="1"/>
      <c r="R36" s="1">
        <f>AVERAGE('Direct Mail and nonmail PPI''s'!B$15:M$15)*100/AVERAGE('Direct Mail and nonmail PPI''s'!B$40:M$40)</f>
        <v>76.228327554014385</v>
      </c>
      <c r="S36" s="1">
        <f t="shared" si="0"/>
        <v>76.228327554014385</v>
      </c>
      <c r="T36" s="1">
        <f>AVERAGE('Signs and ad special PPI''s'!B$12:M$12)*100/AVERAGE('Signs and ad special PPI''s'!B$37:M$37)</f>
        <v>62.324457643328145</v>
      </c>
      <c r="U36" s="1">
        <f>AVERAGE('Newspapers PPI''s'!B$17:M$17)*100/AVERAGE('Newspapers PPI''s'!B$42:M$42)</f>
        <v>36.601514574607599</v>
      </c>
      <c r="V36" s="1">
        <f>V$23*AVERAGE('Periodical PPI''s'!B$17:M$17)/AVERAGE('Periodical PPI''s'!B$30:M$30)</f>
        <v>35.732526051320065</v>
      </c>
      <c r="W36" s="1">
        <f>AVERAGE('Directory PPI''s'!B$12:M$12)*100/AVERAGE('Directory PPI''s'!B$37:M$37)</f>
        <v>41.937126299205879</v>
      </c>
      <c r="X36" s="1">
        <f>'Movie theater PPI''s'!B35</f>
        <v>41.94</v>
      </c>
      <c r="Y36" s="1">
        <f>Y35*'Radio PPI''s'!B77/'Radio PPI''s'!B78</f>
        <v>53.621526112675809</v>
      </c>
      <c r="Z36" s="1">
        <f>Z$26*'Radio PPI''s'!B$77/'Radio PPI''s'!B$87</f>
        <v>57.485895495409927</v>
      </c>
      <c r="AA36" s="1" t="s">
        <v>5</v>
      </c>
      <c r="AB36" s="1" t="s">
        <v>5</v>
      </c>
      <c r="AC36" s="1" t="s">
        <v>5</v>
      </c>
      <c r="AD36" s="1">
        <f>AD$28*'Advertising Agency PPI''s'!B$42/'Advertising Agency PPI''s'!B$50</f>
        <v>57.229737747630764</v>
      </c>
      <c r="AE36" s="1">
        <f>AE$26*'NAICS 71 sponsor PPI''s'!B$29/'NAICS 71 sponsor PPI''s'!B$39</f>
        <v>40.471898308957954</v>
      </c>
      <c r="AF36" s="1">
        <f>AF$26*'NAICS 81 sponsor PPI''s'!D$30/'NAICS 81 sponsor PPI''s'!D$40</f>
        <v>48.859068345323756</v>
      </c>
      <c r="AG36" s="1"/>
    </row>
    <row r="37" spans="1:33" x14ac:dyDescent="0.3">
      <c r="A37" s="4">
        <v>1986</v>
      </c>
      <c r="B37" s="1">
        <v>3245589.3496985864</v>
      </c>
      <c r="C37" s="1">
        <v>7167967.4437743593</v>
      </c>
      <c r="D37" s="1">
        <v>3727978.6061624796</v>
      </c>
      <c r="E37" s="1">
        <v>20390696.686373129</v>
      </c>
      <c r="F37" s="1">
        <v>9646782.9013593849</v>
      </c>
      <c r="G37" s="1">
        <v>6822359.4887313368</v>
      </c>
      <c r="H37" s="1">
        <v>49030.999492114919</v>
      </c>
      <c r="I37" s="1">
        <v>5607486.2182911504</v>
      </c>
      <c r="J37" s="1">
        <v>15610395.872625142</v>
      </c>
      <c r="K37" s="1">
        <v>1217778.7637522295</v>
      </c>
      <c r="L37" s="1">
        <v>0</v>
      </c>
      <c r="M37" s="1">
        <v>0</v>
      </c>
      <c r="N37" s="1">
        <v>29421343.286249094</v>
      </c>
      <c r="O37" s="1">
        <v>2734128.7242598659</v>
      </c>
      <c r="P37" s="1">
        <v>407974.44415822852</v>
      </c>
      <c r="Q37" s="1"/>
      <c r="R37" s="1">
        <f>AVERAGE('Direct Mail and nonmail PPI''s'!B$14:M$14)*100/AVERAGE('Direct Mail and nonmail PPI''s'!B$40:M$40)</f>
        <v>74.579887970125355</v>
      </c>
      <c r="S37" s="1">
        <f t="shared" si="0"/>
        <v>74.579887970125355</v>
      </c>
      <c r="T37" s="1">
        <f>AVERAGE('Signs and ad special PPI''s'!B$11:M$11)*100/AVERAGE('Signs and ad special PPI''s'!B$37:M$37)</f>
        <v>61.282528816630595</v>
      </c>
      <c r="U37" s="1">
        <f>AVERAGE('Newspapers PPI''s'!B$16:M$16)*100/AVERAGE('Newspapers PPI''s'!B$42:M$42)</f>
        <v>34.486186910352409</v>
      </c>
      <c r="V37" s="1">
        <f>V$23*AVERAGE('Periodical PPI''s'!B$16:M$16)/AVERAGE('Periodical PPI''s'!B$30:M$30)</f>
        <v>33.994398451336544</v>
      </c>
      <c r="W37" s="1">
        <f>AVERAGE('Directory PPI''s'!B$11:M$11)*100/AVERAGE('Directory PPI''s'!B$37:M$37)</f>
        <v>39.448142392164918</v>
      </c>
      <c r="X37" s="1">
        <f>'Movie theater PPI''s'!B36</f>
        <v>40.03</v>
      </c>
      <c r="Y37" s="1">
        <f>Y$36*'Radio PPI''s'!B$100/'Radio PPI''s'!B$101</f>
        <v>51.989286857805958</v>
      </c>
      <c r="Z37" s="1">
        <f t="shared" ref="Z37:Z46" si="1">Z36*Y37/Y36</f>
        <v>55.736024836529651</v>
      </c>
      <c r="AA37" s="1" t="s">
        <v>5</v>
      </c>
      <c r="AB37" s="1" t="s">
        <v>5</v>
      </c>
      <c r="AC37" s="1" t="s">
        <v>5</v>
      </c>
      <c r="AD37" s="1" t="s">
        <v>5</v>
      </c>
      <c r="AE37" s="1">
        <f>AE$36*'NAICS 71 sponsor PPI''s'!B$52/'NAICS 71 sponsor PPI''s'!B$53</f>
        <v>38.680207370820384</v>
      </c>
      <c r="AF37" s="1" t="s">
        <v>5</v>
      </c>
      <c r="AG37" s="1"/>
    </row>
    <row r="38" spans="1:33" x14ac:dyDescent="0.3">
      <c r="A38" s="4">
        <v>1985</v>
      </c>
      <c r="B38" s="1">
        <v>2872418.3450939809</v>
      </c>
      <c r="C38" s="1">
        <v>6318181.3041125527</v>
      </c>
      <c r="D38" s="1">
        <v>3531741.6887751189</v>
      </c>
      <c r="E38" s="1">
        <v>19015703.43075256</v>
      </c>
      <c r="F38" s="1">
        <v>9432844.6162576359</v>
      </c>
      <c r="G38" s="1">
        <v>6087643.8514833469</v>
      </c>
      <c r="H38" s="1">
        <v>47650.258344044574</v>
      </c>
      <c r="I38" s="1">
        <v>5239757.2333638547</v>
      </c>
      <c r="J38" s="1">
        <v>14470758.272339281</v>
      </c>
      <c r="K38" s="1">
        <v>1001581.4654899553</v>
      </c>
      <c r="L38" s="1">
        <v>0</v>
      </c>
      <c r="M38" s="1">
        <v>0</v>
      </c>
      <c r="N38" s="1">
        <v>27142420.827698082</v>
      </c>
      <c r="O38" s="1">
        <v>2547601.4913929449</v>
      </c>
      <c r="P38" s="1">
        <v>380141.68578294228</v>
      </c>
      <c r="Q38" s="1"/>
      <c r="R38" s="1">
        <f>AVERAGE('Direct Mail and nonmail PPI''s'!B$13:M$13)*100/AVERAGE('Direct Mail and nonmail PPI''s'!B$40:M$40)</f>
        <v>72.947452654041058</v>
      </c>
      <c r="S38" s="1">
        <f t="shared" si="0"/>
        <v>72.947452654041058</v>
      </c>
      <c r="T38" s="1">
        <f>T$37*'Signs and ad special PPI''s'!B$62/'Signs and ad special PPI''s'!B$63</f>
        <v>60.24256475720744</v>
      </c>
      <c r="U38" s="1">
        <f>AVERAGE('Newspapers PPI''s'!B$15:M$15)*100/AVERAGE('Newspapers PPI''s'!B$42:M$42)</f>
        <v>32.647967170114647</v>
      </c>
      <c r="V38" s="1">
        <f>V$23*AVERAGE('Periodical PPI''s'!B$15:M$15)/AVERAGE('Periodical PPI''s'!B$30:M$30)</f>
        <v>31.424276123398823</v>
      </c>
      <c r="W38" s="1">
        <f>W$37*AVERAGE('Directory PPI''s'!$B$59:$M$59)/AVERAGE('Directory PPI''s'!$B$60:$M$60)</f>
        <v>36.84729224804142</v>
      </c>
      <c r="X38" s="1">
        <f>'Movie theater PPI''s'!B37</f>
        <v>38.569000000000003</v>
      </c>
      <c r="Y38" s="1">
        <f>Y$36*'Radio PPI''s'!B$99/'Radio PPI''s'!B$101</f>
        <v>49.612780820492162</v>
      </c>
      <c r="Z38" s="1">
        <f t="shared" si="1"/>
        <v>53.18824994817308</v>
      </c>
      <c r="AA38" s="1" t="s">
        <v>5</v>
      </c>
      <c r="AB38" s="1" t="s">
        <v>5</v>
      </c>
      <c r="AC38" s="1" t="s">
        <v>5</v>
      </c>
      <c r="AD38" s="1" t="s">
        <v>5</v>
      </c>
      <c r="AE38" s="1">
        <f>AE$36*'NAICS 71 sponsor PPI''s'!B$51/'NAICS 71 sponsor PPI''s'!B$53</f>
        <v>37.27138059068556</v>
      </c>
      <c r="AF38" s="1" t="s">
        <v>5</v>
      </c>
      <c r="AG38" s="1"/>
    </row>
    <row r="39" spans="1:33" x14ac:dyDescent="0.3">
      <c r="A39" s="4">
        <v>1984</v>
      </c>
      <c r="B39" s="1">
        <v>2503542.644523554</v>
      </c>
      <c r="C39" s="1">
        <v>5484525.9599887095</v>
      </c>
      <c r="D39" s="1">
        <v>3324780.0886603957</v>
      </c>
      <c r="E39" s="1">
        <v>17770654.592696138</v>
      </c>
      <c r="F39" s="1">
        <v>9025750.6223211661</v>
      </c>
      <c r="G39" s="1">
        <v>5143009.4607359311</v>
      </c>
      <c r="H39" s="1">
        <v>50250.164548389796</v>
      </c>
      <c r="I39" s="1">
        <v>4698790.680775064</v>
      </c>
      <c r="J39" s="1">
        <v>13715372.238798048</v>
      </c>
      <c r="K39" s="1">
        <v>795498.73529240687</v>
      </c>
      <c r="L39" s="1">
        <v>0</v>
      </c>
      <c r="M39" s="1">
        <v>0</v>
      </c>
      <c r="N39" s="1">
        <v>24884542.961450823</v>
      </c>
      <c r="O39" s="1">
        <v>2358861.836768799</v>
      </c>
      <c r="P39" s="1">
        <v>351978.79974079138</v>
      </c>
      <c r="Q39" s="1"/>
      <c r="R39" s="1">
        <f>AVERAGE('Direct Mail and nonmail PPI''s'!B$12:M$12)*100/AVERAGE('Direct Mail and nonmail PPI''s'!B$40:M$40)</f>
        <v>69.479861296345689</v>
      </c>
      <c r="S39" s="1">
        <f t="shared" si="0"/>
        <v>69.479861296345689</v>
      </c>
      <c r="T39" s="1">
        <f>T$37*'Signs and ad special PPI''s'!B$61/'Signs and ad special PPI''s'!B$63</f>
        <v>59.863320378651331</v>
      </c>
      <c r="U39" s="1">
        <f>AVERAGE('Newspapers PPI''s'!B$14:M$14)*100/AVERAGE('Newspapers PPI''s'!B$42:M$42)</f>
        <v>30.388797224690098</v>
      </c>
      <c r="V39" s="1">
        <f>V$23*AVERAGE('Periodical PPI''s'!B$14:M$14)/AVERAGE('Periodical PPI''s'!B$30:M$30)</f>
        <v>28.965361011573791</v>
      </c>
      <c r="W39" s="1">
        <f>W$37*AVERAGE('Directory PPI''s'!$B$58:$M$58)/AVERAGE('Directory PPI''s'!$B$60:$M$60)</f>
        <v>33.299053391625492</v>
      </c>
      <c r="X39" s="1">
        <f>'Movie theater PPI''s'!B38</f>
        <v>36.747999999999998</v>
      </c>
      <c r="Y39" s="1">
        <f>Y$36*'Radio PPI''s'!B$98/'Radio PPI''s'!B$101</f>
        <v>46.259826792666544</v>
      </c>
      <c r="Z39" s="1">
        <f t="shared" si="1"/>
        <v>49.593656902845098</v>
      </c>
      <c r="AA39" s="1" t="s">
        <v>5</v>
      </c>
      <c r="AB39" s="1" t="s">
        <v>5</v>
      </c>
      <c r="AC39" s="1" t="s">
        <v>5</v>
      </c>
      <c r="AD39" s="1" t="s">
        <v>5</v>
      </c>
      <c r="AE39" s="1">
        <f>AE$36*'NAICS 71 sponsor PPI''s'!B$50/'NAICS 71 sponsor PPI''s'!B$53</f>
        <v>35.520566269840039</v>
      </c>
      <c r="AF39" s="1" t="s">
        <v>5</v>
      </c>
      <c r="AG39" s="1"/>
    </row>
    <row r="40" spans="1:33" x14ac:dyDescent="0.3">
      <c r="A40" s="4">
        <v>1983</v>
      </c>
      <c r="B40" s="1">
        <v>2094757.556289929</v>
      </c>
      <c r="C40" s="1">
        <v>4570411.8856936032</v>
      </c>
      <c r="D40" s="1">
        <v>2948608.7819264126</v>
      </c>
      <c r="E40" s="1">
        <v>15548756.150509277</v>
      </c>
      <c r="F40" s="1">
        <v>7806913.6494843513</v>
      </c>
      <c r="G40" s="1">
        <v>4618212.5769873671</v>
      </c>
      <c r="H40" s="1">
        <v>46827.689149449485</v>
      </c>
      <c r="I40" s="1">
        <v>4210612.9720852152</v>
      </c>
      <c r="J40" s="1">
        <v>11770683.25145166</v>
      </c>
      <c r="K40" s="1">
        <v>657662.12548849382</v>
      </c>
      <c r="L40" s="1">
        <v>0</v>
      </c>
      <c r="M40" s="1">
        <v>0</v>
      </c>
      <c r="N40" s="1">
        <v>21494462.372743674</v>
      </c>
      <c r="O40" s="1">
        <v>2057565.8837466128</v>
      </c>
      <c r="P40" s="1">
        <v>307020.76690544083</v>
      </c>
      <c r="Q40" s="1"/>
      <c r="R40" s="1">
        <f>AVERAGE('Direct Mail and nonmail PPI''s'!B$11:M$11)*100/AVERAGE('Direct Mail and nonmail PPI''s'!B$40:M$40)</f>
        <v>65.292077887436648</v>
      </c>
      <c r="S40" s="1">
        <f t="shared" si="0"/>
        <v>65.292077887436648</v>
      </c>
      <c r="T40" s="1">
        <f>T$38*'Signs and ad special PPI''s'!B$60/'Signs and ad special PPI''s'!B$62</f>
        <v>57.646391006467837</v>
      </c>
      <c r="U40" s="1">
        <f>AVERAGE('Newspapers PPI''s'!B$13:M$13)*100/AVERAGE('Newspapers PPI''s'!B$42:M$42)</f>
        <v>28.138088589922582</v>
      </c>
      <c r="V40" s="1">
        <f>V$23*AVERAGE('Periodical PPI''s'!B$13:M$13)/AVERAGE('Periodical PPI''s'!B$30:M$30)</f>
        <v>26.726800939083152</v>
      </c>
      <c r="W40" s="1">
        <f>W$37*AVERAGE('Directory PPI''s'!$B$57:$M$57)/AVERAGE('Directory PPI''s'!$B$60:$M$60)</f>
        <v>27.312118523783013</v>
      </c>
      <c r="X40" s="1">
        <f>'Movie theater PPI''s'!B39</f>
        <v>34.65</v>
      </c>
      <c r="Y40" s="1">
        <f>Y$36*'Radio PPI''s'!B$97/'Radio PPI''s'!B$101</f>
        <v>41.760444536551923</v>
      </c>
      <c r="Z40" s="1">
        <f t="shared" si="1"/>
        <v>44.770015411825256</v>
      </c>
      <c r="AA40" s="1" t="s">
        <v>5</v>
      </c>
      <c r="AB40" s="1" t="s">
        <v>5</v>
      </c>
      <c r="AC40" s="1" t="s">
        <v>5</v>
      </c>
      <c r="AD40" s="1" t="s">
        <v>5</v>
      </c>
      <c r="AE40" s="1">
        <f>AE$36*'NAICS 71 sponsor PPI''s'!B$49/'NAICS 71 sponsor PPI''s'!B$53</f>
        <v>33.503042139138486</v>
      </c>
      <c r="AF40" s="1" t="s">
        <v>5</v>
      </c>
      <c r="AG40" s="1"/>
    </row>
    <row r="41" spans="1:33" x14ac:dyDescent="0.3">
      <c r="A41" s="4">
        <v>1982</v>
      </c>
      <c r="B41" s="1">
        <v>1794045.0583981432</v>
      </c>
      <c r="C41" s="1">
        <v>3898433.6037595109</v>
      </c>
      <c r="D41" s="1">
        <v>2582864.7504717181</v>
      </c>
      <c r="E41" s="1">
        <v>13367654.211511157</v>
      </c>
      <c r="F41" s="1">
        <v>7009840.7244195538</v>
      </c>
      <c r="G41" s="1">
        <v>3988456.3164890897</v>
      </c>
      <c r="H41" s="1">
        <v>46034.497426089925</v>
      </c>
      <c r="I41" s="1">
        <v>3776113.5667277616</v>
      </c>
      <c r="J41" s="1">
        <v>9870410.2722016443</v>
      </c>
      <c r="K41" s="1">
        <v>418119.90607083333</v>
      </c>
      <c r="L41" s="1">
        <v>0</v>
      </c>
      <c r="M41" s="1">
        <v>0</v>
      </c>
      <c r="N41" s="1">
        <v>18339540.734061036</v>
      </c>
      <c r="O41" s="1">
        <v>1772700.1336912604</v>
      </c>
      <c r="P41" s="1">
        <v>264514.3753784619</v>
      </c>
      <c r="Q41" s="1"/>
      <c r="R41" s="1">
        <f>R40*AVERAGE('Direct Mail and nonmail PPI''s'!G10:M10)/AVERAGE('Direct Mail and nonmail PPI''s'!G11:M11)</f>
        <v>63.997540738593308</v>
      </c>
      <c r="S41" s="1">
        <f t="shared" si="0"/>
        <v>63.997540738593308</v>
      </c>
      <c r="T41" s="1">
        <f>T$38*'Signs and ad special PPI''s'!B$59/'Signs and ad special PPI''s'!B$62</f>
        <v>55.79998775126446</v>
      </c>
      <c r="U41" s="1">
        <f>AVERAGE('Newspapers PPI''s'!B$12:M$12)*100/AVERAGE('Newspapers PPI''s'!B$42:M$42)</f>
        <v>25.381816643398061</v>
      </c>
      <c r="V41" s="1">
        <f>V$23*AVERAGE('Periodical PPI''s'!B$12:M$12)/AVERAGE('Periodical PPI''s'!B$30:M$30)</f>
        <v>24.716833477490834</v>
      </c>
      <c r="W41" s="1">
        <f>W$37*AVERAGE('Directory PPI''s'!$B$56:$M$56)/AVERAGE('Directory PPI''s'!$B$60:$M$60)</f>
        <v>26.517946314826297</v>
      </c>
      <c r="X41" s="1">
        <f>'Movie theater PPI''s'!B40</f>
        <v>32.597000000000001</v>
      </c>
      <c r="Y41" s="1">
        <f>Y$36*'Radio PPI''s'!B$96/'Radio PPI''s'!B$101</f>
        <v>38.734045602752502</v>
      </c>
      <c r="Z41" s="1">
        <f t="shared" si="1"/>
        <v>41.525511470064316</v>
      </c>
      <c r="AA41" s="1" t="s">
        <v>5</v>
      </c>
      <c r="AB41" s="1" t="s">
        <v>5</v>
      </c>
      <c r="AC41" s="1" t="s">
        <v>5</v>
      </c>
      <c r="AD41" s="1" t="s">
        <v>5</v>
      </c>
      <c r="AE41" s="1">
        <f>AE$36*'NAICS 71 sponsor PPI''s'!B$48/'NAICS 71 sponsor PPI''s'!B$53</f>
        <v>31.526799344712067</v>
      </c>
      <c r="AF41" s="1" t="s">
        <v>5</v>
      </c>
      <c r="AG41" s="1"/>
    </row>
    <row r="42" spans="1:33" x14ac:dyDescent="0.3">
      <c r="A42" s="4">
        <v>1981</v>
      </c>
      <c r="B42" s="1">
        <v>1634431.4053803694</v>
      </c>
      <c r="C42" s="1">
        <v>3419022.2165011317</v>
      </c>
      <c r="D42" s="1">
        <v>2442008.1630761847</v>
      </c>
      <c r="E42" s="1">
        <v>12485996.448154453</v>
      </c>
      <c r="F42" s="1">
        <v>6741215.7386308452</v>
      </c>
      <c r="G42" s="1">
        <v>3463659.4327405249</v>
      </c>
      <c r="H42" s="1">
        <v>39968.04961595108</v>
      </c>
      <c r="I42" s="1">
        <v>3422071.6620720671</v>
      </c>
      <c r="J42" s="1">
        <v>9217845.2389261201</v>
      </c>
      <c r="K42" s="1">
        <v>263709.34090816183</v>
      </c>
      <c r="L42" s="1">
        <v>0</v>
      </c>
      <c r="M42" s="1">
        <v>0</v>
      </c>
      <c r="N42" s="1">
        <v>16756083.311722644</v>
      </c>
      <c r="O42" s="1">
        <v>1641755.6140927847</v>
      </c>
      <c r="P42" s="1">
        <v>244975.42056454186</v>
      </c>
      <c r="Q42" s="1"/>
      <c r="R42" s="1">
        <f>R41*U42/U41</f>
        <v>58.247949196281141</v>
      </c>
      <c r="S42" s="1">
        <f t="shared" si="0"/>
        <v>58.247949196281141</v>
      </c>
      <c r="T42" s="1">
        <f>T$38*'Signs and ad special PPI''s'!B$58/'Signs and ad special PPI''s'!B$62</f>
        <v>53.79790125363246</v>
      </c>
      <c r="U42" s="1">
        <f>AVERAGE('Newspapers PPI''s'!B$11:M$11)*100/AVERAGE('Newspapers PPI''s'!B$42:M$42)</f>
        <v>23.101493421330957</v>
      </c>
      <c r="V42" s="1">
        <f>V$23*AVERAGE('Periodical PPI''s'!B$11:M$11)/AVERAGE('Periodical PPI''s'!B$30:M$30)</f>
        <v>22.070513612587007</v>
      </c>
      <c r="W42" s="1">
        <f>W$37*AVERAGE('Directory PPI''s'!$B$55:$M$55)/AVERAGE('Directory PPI''s'!$B$60:$M$60)</f>
        <v>24.363977638765249</v>
      </c>
      <c r="X42" s="1">
        <f>'Movie theater PPI''s'!B41</f>
        <v>30.913</v>
      </c>
      <c r="Y42" s="1">
        <f>Y$36*'Radio PPI''s'!B$95/'Radio PPI''s'!B$101</f>
        <v>35.19234380301026</v>
      </c>
      <c r="Z42" s="1">
        <f t="shared" si="1"/>
        <v>37.728568072592488</v>
      </c>
      <c r="AA42" s="1" t="s">
        <v>5</v>
      </c>
      <c r="AB42" s="1" t="s">
        <v>5</v>
      </c>
      <c r="AC42" s="1" t="s">
        <v>5</v>
      </c>
      <c r="AD42" s="1" t="s">
        <v>5</v>
      </c>
      <c r="AE42" s="1">
        <f>AE$36*'NAICS 71 sponsor PPI''s'!B$47/'NAICS 71 sponsor PPI''s'!B$53</f>
        <v>29.878783645571296</v>
      </c>
      <c r="AF42" s="1" t="s">
        <v>5</v>
      </c>
      <c r="AG42" s="1"/>
    </row>
    <row r="43" spans="1:33" x14ac:dyDescent="0.3">
      <c r="A43" s="4">
        <v>1980</v>
      </c>
      <c r="B43" s="1">
        <v>1459012.58593687</v>
      </c>
      <c r="C43" s="1">
        <v>2936749.1542943092</v>
      </c>
      <c r="D43" s="1">
        <v>2216941.1866879002</v>
      </c>
      <c r="E43" s="1">
        <v>11176730.892115749</v>
      </c>
      <c r="F43" s="1">
        <v>6052060.8524562856</v>
      </c>
      <c r="G43" s="1">
        <v>3043821.9257416734</v>
      </c>
      <c r="H43" s="1">
        <v>37867.560422610033</v>
      </c>
      <c r="I43" s="1">
        <v>2996440.8757046969</v>
      </c>
      <c r="J43" s="1">
        <v>8238111.2710964652</v>
      </c>
      <c r="K43" s="1">
        <v>143716.09417139177</v>
      </c>
      <c r="L43" s="1">
        <v>0</v>
      </c>
      <c r="M43" s="1">
        <v>0</v>
      </c>
      <c r="N43" s="1">
        <v>14701223.050812436</v>
      </c>
      <c r="O43" s="1">
        <v>1459968.0679549039</v>
      </c>
      <c r="P43" s="1">
        <v>217849.89701752353</v>
      </c>
      <c r="Q43" s="1"/>
      <c r="R43" s="1">
        <f>R42*U43/U42</f>
        <v>51.779083783778894</v>
      </c>
      <c r="S43" s="1">
        <f t="shared" si="0"/>
        <v>51.779083783778894</v>
      </c>
      <c r="T43" s="1">
        <f>T$38*'Signs and ad special PPI''s'!B$57/'Signs and ad special PPI''s'!B$62</f>
        <v>49.243855046110589</v>
      </c>
      <c r="U43" s="1">
        <f>U42*AVERAGE('Newspapers PPI''s'!B64:M64)/AVERAGE('Newspapers PPI''s'!B65:M65)</f>
        <v>20.535901776776765</v>
      </c>
      <c r="V43" s="1">
        <f>V$23*AVERAGE('Periodical PPI''s'!B$10:M$10)/AVERAGE('Periodical PPI''s'!B$30:M$30)</f>
        <v>20.462127764734952</v>
      </c>
      <c r="W43" s="1">
        <f>'Summary, PPI''s'!W42*('Directory PPI''s'!F54+'Directory PPI''s'!G54+'Directory PPI''s'!I54+'Directory PPI''s'!J54+'Directory PPI''s'!K54+'Directory PPI''s'!L54+'Directory PPI''s'!M54)/('Directory PPI''s'!F55+'Directory PPI''s'!G55+'Directory PPI''s'!I55+'Directory PPI''s'!J55+'Directory PPI''s'!K55+'Directory PPI''s'!L55+'Directory PPI''s'!M55)</f>
        <v>23.967655184139879</v>
      </c>
      <c r="X43" s="1">
        <f>'Movie theater PPI''s'!B42</f>
        <v>29.675000000000001</v>
      </c>
      <c r="Y43" s="1">
        <f>Y$36*'Radio PPI''s'!B$94/'Radio PPI''s'!B$101</f>
        <v>31.638309052262105</v>
      </c>
      <c r="Z43" s="1">
        <f t="shared" si="1"/>
        <v>33.918402919156719</v>
      </c>
      <c r="AA43" s="1" t="s">
        <v>5</v>
      </c>
      <c r="AB43" s="1" t="s">
        <v>5</v>
      </c>
      <c r="AC43" s="1" t="s">
        <v>5</v>
      </c>
      <c r="AD43" s="1" t="s">
        <v>5</v>
      </c>
      <c r="AE43" s="1">
        <f>AE$36*'NAICS 71 sponsor PPI''s'!B$46/'NAICS 71 sponsor PPI''s'!B$53</f>
        <v>28.695385339017371</v>
      </c>
      <c r="AF43" s="1" t="s">
        <v>5</v>
      </c>
      <c r="AG43" s="1"/>
    </row>
    <row r="44" spans="1:33" x14ac:dyDescent="0.3">
      <c r="A44" s="4">
        <v>1979</v>
      </c>
      <c r="B44" s="1">
        <v>1343169.3710274214</v>
      </c>
      <c r="C44" s="1">
        <v>2600126.8895912692</v>
      </c>
      <c r="D44" s="1">
        <v>2053702.548860664</v>
      </c>
      <c r="E44" s="1">
        <v>10473368.957509844</v>
      </c>
      <c r="F44" s="1">
        <v>5656528.2580902129</v>
      </c>
      <c r="G44" s="1">
        <v>2498557.9635269153</v>
      </c>
      <c r="H44" s="1">
        <v>41466.300648963588</v>
      </c>
      <c r="I44" s="1">
        <v>2686141.9453447596</v>
      </c>
      <c r="J44" s="1">
        <v>7339097.8569339952</v>
      </c>
      <c r="K44" s="1">
        <v>60029.79725670597</v>
      </c>
      <c r="L44" s="1">
        <v>0</v>
      </c>
      <c r="M44" s="1">
        <v>0</v>
      </c>
      <c r="N44" s="1">
        <v>13162702.146077422</v>
      </c>
      <c r="O44" s="1">
        <v>1324812.7951914542</v>
      </c>
      <c r="P44" s="1">
        <v>197682.63247307576</v>
      </c>
      <c r="Q44" s="1"/>
      <c r="R44" s="1">
        <f>R43*U44/U43</f>
        <v>47.202214804979164</v>
      </c>
      <c r="S44" s="1">
        <f t="shared" si="0"/>
        <v>47.202214804979164</v>
      </c>
      <c r="T44" s="1">
        <f>T$38*'Signs and ad special PPI''s'!B$56/'Signs and ad special PPI''s'!B$62</f>
        <v>43.158508466060866</v>
      </c>
      <c r="U44" s="1">
        <f>(AVERAGE('Newspapers PPI''s'!B94:M94)/AVERAGE('Newspapers PPI''s'!B95:M95))*U43</f>
        <v>18.720687506352522</v>
      </c>
      <c r="V44" s="1">
        <f>V43*'Periodical PPI''s'!M63/'Periodical PPI''s'!M64</f>
        <v>18.98156564446656</v>
      </c>
      <c r="W44" s="1">
        <f>W43*('Directory PPI''s'!J53+'Directory PPI''s'!K53+'Directory PPI''s'!L53+'Directory PPI''s'!M53)/('Directory PPI''s'!J54+'Directory PPI''s'!K54+'Directory PPI''s'!L54+'Directory PPI''s'!M54)</f>
        <v>23.113574439827836</v>
      </c>
      <c r="X44" s="1">
        <f>'Movie theater PPI''s'!B43</f>
        <v>28.228999999999999</v>
      </c>
      <c r="Y44" s="1">
        <f>Y$36*'Radio PPI''s'!B$93/'Radio PPI''s'!B$101</f>
        <v>29.012462918524374</v>
      </c>
      <c r="Z44" s="1">
        <f t="shared" si="1"/>
        <v>31.103318616746499</v>
      </c>
      <c r="AA44" s="1" t="s">
        <v>5</v>
      </c>
      <c r="AB44" s="1" t="s">
        <v>5</v>
      </c>
      <c r="AC44" s="1" t="s">
        <v>5</v>
      </c>
      <c r="AD44" s="1" t="s">
        <v>5</v>
      </c>
      <c r="AE44" s="1">
        <f>AE$36*'NAICS 71 sponsor PPI''s'!B$45/'NAICS 71 sponsor PPI''s'!B$53</f>
        <v>27.286558558882543</v>
      </c>
      <c r="AF44" s="1" t="s">
        <v>5</v>
      </c>
      <c r="AG44" s="1"/>
    </row>
    <row r="45" spans="1:33" x14ac:dyDescent="0.3">
      <c r="A45" s="4">
        <v>1978</v>
      </c>
      <c r="B45" s="1">
        <v>1270462.0262712794</v>
      </c>
      <c r="C45" s="1">
        <v>2364030.9715252072</v>
      </c>
      <c r="D45" s="1">
        <v>1849405.5405028637</v>
      </c>
      <c r="E45" s="1">
        <v>9226809.1378538348</v>
      </c>
      <c r="F45" s="1">
        <v>5013490.8982986733</v>
      </c>
      <c r="G45" s="1">
        <v>2117497.6982682445</v>
      </c>
      <c r="H45" s="1">
        <v>40423.400420101942</v>
      </c>
      <c r="I45" s="1">
        <v>2462764.100898901</v>
      </c>
      <c r="J45" s="1">
        <v>6503585.6969711976</v>
      </c>
      <c r="K45" s="1">
        <v>650.42361205825398</v>
      </c>
      <c r="L45" s="1">
        <v>0</v>
      </c>
      <c r="M45" s="1">
        <v>0</v>
      </c>
      <c r="N45" s="1">
        <v>11457272.984778037</v>
      </c>
      <c r="O45" s="1">
        <v>1168629.681960193</v>
      </c>
      <c r="P45" s="1">
        <v>174377.68774166986</v>
      </c>
      <c r="Q45" s="1"/>
      <c r="R45" s="1">
        <f>R44*U45/U44</f>
        <v>43.450223349917621</v>
      </c>
      <c r="S45" s="1">
        <f t="shared" si="0"/>
        <v>43.450223349917621</v>
      </c>
      <c r="T45" s="1">
        <f>T$38*'Signs and ad special PPI''s'!B$55/'Signs and ad special PPI''s'!B$62</f>
        <v>38.55838001878012</v>
      </c>
      <c r="U45" s="1">
        <f>(AVERAGE('Newspapers PPI''s'!B93:M93)/AVERAGE('Newspapers PPI''s'!B95:M95))*U43</f>
        <v>17.232624714237463</v>
      </c>
      <c r="V45" s="1">
        <f>V44*$U45/$U44</f>
        <v>17.472766271471549</v>
      </c>
      <c r="W45" s="1">
        <f>W44*$U45/$U44</f>
        <v>21.276331544500497</v>
      </c>
      <c r="X45" s="1">
        <f>'Movie theater PPI''s'!B44</f>
        <v>26.298999999999999</v>
      </c>
      <c r="Y45" s="1">
        <f>Y$36*'Radio PPI''s'!B$92/'Radio PPI''s'!B$101</f>
        <v>26.53353976633537</v>
      </c>
      <c r="Z45" s="1">
        <f t="shared" si="1"/>
        <v>28.445745667993695</v>
      </c>
      <c r="AA45" s="1" t="s">
        <v>5</v>
      </c>
      <c r="AB45" s="1" t="s">
        <v>5</v>
      </c>
      <c r="AC45" s="1" t="s">
        <v>5</v>
      </c>
      <c r="AD45" s="1" t="s">
        <v>5</v>
      </c>
      <c r="AE45" s="1">
        <f>AE$36*'NAICS 71 sponsor PPI''s'!B$44/'NAICS 71 sponsor PPI''s'!B$53</f>
        <v>25.426470112602839</v>
      </c>
      <c r="AF45" s="1" t="s">
        <v>5</v>
      </c>
      <c r="AG45" s="1"/>
    </row>
    <row r="46" spans="1:33" x14ac:dyDescent="0.3">
      <c r="A46" s="4">
        <v>1977</v>
      </c>
      <c r="B46" s="1">
        <v>1151802.0263440716</v>
      </c>
      <c r="C46" s="1">
        <v>2058999.8402993653</v>
      </c>
      <c r="D46" s="1">
        <v>1628056.8656231137</v>
      </c>
      <c r="E46" s="1">
        <v>8122281.5885586319</v>
      </c>
      <c r="F46" s="1">
        <v>4245758.0809049727</v>
      </c>
      <c r="G46" s="1">
        <v>1820084.8083102587</v>
      </c>
      <c r="H46" s="1">
        <v>34782.925942878413</v>
      </c>
      <c r="I46" s="1">
        <v>2126295.3812314989</v>
      </c>
      <c r="J46" s="1">
        <v>5523018.5199568449</v>
      </c>
      <c r="K46" s="1">
        <v>552.35708770439408</v>
      </c>
      <c r="L46" s="1">
        <v>0</v>
      </c>
      <c r="M46" s="1">
        <v>0</v>
      </c>
      <c r="N46" s="1">
        <v>9749733.0900906343</v>
      </c>
      <c r="O46" s="1">
        <v>1007725.1906902858</v>
      </c>
      <c r="P46" s="1">
        <v>150368.24012278602</v>
      </c>
      <c r="Q46" s="1"/>
      <c r="R46" s="1">
        <f>R$45*'Direct Mail and nonmail PPI''s'!C$70/'Direct Mail and nonmail PPI''s'!C$71</f>
        <v>40.709639758342902</v>
      </c>
      <c r="S46" s="1">
        <f t="shared" si="0"/>
        <v>40.709639758342902</v>
      </c>
      <c r="T46" s="1">
        <f>T$38*'Signs and ad special PPI''s'!B$54/'Signs and ad special PPI''s'!B$62</f>
        <v>35.785350104641616</v>
      </c>
      <c r="U46" s="1">
        <f>U$45*'Newspapers PPI''s'!B$132/'Newspapers PPI''s'!B$133</f>
        <v>16.082437818790698</v>
      </c>
      <c r="V46" s="1">
        <f>V$45*'Periodical PPI''s'!B$102/'Periodical PPI''s'!B$103</f>
        <v>17.185385247269714</v>
      </c>
      <c r="W46" s="1">
        <f>W$45*'Directory PPI''s'!B$78/'Directory PPI''s'!B$79</f>
        <v>20.648633994324701</v>
      </c>
      <c r="X46" s="1">
        <f>'Movie theater PPI''s'!B45</f>
        <v>24.844000000000001</v>
      </c>
      <c r="Y46" s="1">
        <f>Y$36*'Radio PPI''s'!B$91/'Radio PPI''s'!B$101</f>
        <v>24.14094727118778</v>
      </c>
      <c r="Z46" s="1">
        <f t="shared" si="1"/>
        <v>25.880725010988506</v>
      </c>
      <c r="AA46" s="1" t="s">
        <v>5</v>
      </c>
      <c r="AB46" s="1" t="s">
        <v>5</v>
      </c>
      <c r="AC46" s="1" t="s">
        <v>5</v>
      </c>
      <c r="AD46" s="1" t="s">
        <v>5</v>
      </c>
      <c r="AE46" s="1">
        <f>AE$36*'NAICS 71 sponsor PPI''s'!B$43/'NAICS 71 sponsor PPI''s'!B$53</f>
        <v>23.88084831618373</v>
      </c>
      <c r="AF46" s="1" t="s">
        <v>5</v>
      </c>
      <c r="AG46" s="1"/>
    </row>
    <row r="47" spans="1:33" x14ac:dyDescent="0.3">
      <c r="A47" s="4">
        <v>1976</v>
      </c>
      <c r="B47" s="1">
        <v>1131425.2474126783</v>
      </c>
      <c r="C47" s="1">
        <v>1892377.7017464396</v>
      </c>
      <c r="D47" s="1">
        <v>1463659.4267811961</v>
      </c>
      <c r="E47" s="1">
        <v>7266310.5123948399</v>
      </c>
      <c r="F47" s="1">
        <v>3557488.0551204924</v>
      </c>
      <c r="G47" s="1">
        <v>1579161.0549189674</v>
      </c>
      <c r="H47" s="1">
        <v>30464.437671254153</v>
      </c>
      <c r="I47" s="1">
        <v>1887028.7361346795</v>
      </c>
      <c r="J47" s="1">
        <v>4966681.3861831781</v>
      </c>
      <c r="K47" s="1">
        <v>496.717810399303</v>
      </c>
      <c r="L47" s="1">
        <v>0</v>
      </c>
      <c r="M47" s="1">
        <v>0</v>
      </c>
      <c r="N47" s="1">
        <v>8606656.2363647483</v>
      </c>
      <c r="O47" s="1">
        <v>888622.16686656512</v>
      </c>
      <c r="P47" s="1">
        <v>132596.22027935297</v>
      </c>
      <c r="Q47" s="1"/>
      <c r="R47" s="1">
        <f>R$45*'Direct Mail and nonmail PPI''s'!C$69/'Direct Mail and nonmail PPI''s'!C$71</f>
        <v>38.2085246359349</v>
      </c>
      <c r="S47" s="1">
        <f t="shared" si="0"/>
        <v>38.2085246359349</v>
      </c>
      <c r="T47" s="1" t="s">
        <v>5</v>
      </c>
      <c r="U47" s="1">
        <f>U$45*'Newspapers PPI''s'!B$131/'Newspapers PPI''s'!B$133</f>
        <v>14.79099990109609</v>
      </c>
      <c r="V47" s="1">
        <f>V$45*'Periodical PPI''s'!B$101/'Periodical PPI''s'!B$103</f>
        <v>16.783051813387146</v>
      </c>
      <c r="W47" s="1">
        <f>W$45*'Directory PPI''s'!B$77/'Directory PPI''s'!B$79</f>
        <v>19.314776700201126</v>
      </c>
      <c r="X47" s="1">
        <f>'Movie theater PPI''s'!B46</f>
        <v>23.846</v>
      </c>
      <c r="Y47" s="1" t="s">
        <v>5</v>
      </c>
      <c r="Z47" s="1" t="s">
        <v>5</v>
      </c>
      <c r="AA47" s="1" t="s">
        <v>5</v>
      </c>
      <c r="AB47" s="1" t="s">
        <v>5</v>
      </c>
      <c r="AC47" s="1" t="s">
        <v>5</v>
      </c>
      <c r="AD47" s="1" t="s">
        <v>5</v>
      </c>
      <c r="AE47" s="1" t="s">
        <v>5</v>
      </c>
      <c r="AF47" s="1" t="s">
        <v>5</v>
      </c>
      <c r="AG47" s="1"/>
    </row>
    <row r="48" spans="1:33" x14ac:dyDescent="0.3">
      <c r="A48" s="4">
        <v>1975</v>
      </c>
      <c r="B48" s="1">
        <v>1033316.572511146</v>
      </c>
      <c r="C48" s="1">
        <v>1614287.0547644349</v>
      </c>
      <c r="D48" s="1">
        <v>1247653.750888116</v>
      </c>
      <c r="E48" s="1">
        <v>6220711.2454833761</v>
      </c>
      <c r="F48" s="1">
        <v>3004916.0273148348</v>
      </c>
      <c r="G48" s="1">
        <v>1394243.6249613233</v>
      </c>
      <c r="H48" s="1">
        <v>32271.152152239811</v>
      </c>
      <c r="I48" s="1">
        <v>1612245.9484063012</v>
      </c>
      <c r="J48" s="1">
        <v>3861628.1975944941</v>
      </c>
      <c r="K48" s="1">
        <v>386.20143990339722</v>
      </c>
      <c r="L48" s="1">
        <v>0</v>
      </c>
      <c r="M48" s="1">
        <v>0</v>
      </c>
      <c r="N48" s="1">
        <v>7203794.6226735692</v>
      </c>
      <c r="O48" s="1">
        <v>742977.6480181301</v>
      </c>
      <c r="P48" s="1">
        <v>110863.79740743138</v>
      </c>
      <c r="Q48" s="1"/>
      <c r="R48" s="1">
        <f>R$45*'Direct Mail and nonmail PPI''s'!C$68/'Direct Mail and nonmail PPI''s'!C$71</f>
        <v>36.212954059545545</v>
      </c>
      <c r="S48" s="1">
        <f t="shared" si="0"/>
        <v>36.212954059545545</v>
      </c>
      <c r="T48" s="1" t="s">
        <v>5</v>
      </c>
      <c r="U48" s="1">
        <f>U$45*'Newspapers PPI''s'!B$130/'Newspapers PPI''s'!B$133</f>
        <v>13.338132243689651</v>
      </c>
      <c r="V48" s="1">
        <f>V$45*'Periodical PPI''s'!B$100/'Periodical PPI''s'!B$103</f>
        <v>16.696837506126595</v>
      </c>
      <c r="W48" s="1">
        <f>W$45*'Directory PPI''s'!B$76/'Directory PPI''s'!B$79</f>
        <v>18.360153342642104</v>
      </c>
      <c r="X48" s="1">
        <f>'Movie theater PPI''s'!B47</f>
        <v>22.907</v>
      </c>
      <c r="Y48" s="1" t="s">
        <v>5</v>
      </c>
      <c r="Z48" s="1" t="s">
        <v>5</v>
      </c>
      <c r="AA48" s="1" t="s">
        <v>5</v>
      </c>
      <c r="AB48" s="1" t="s">
        <v>5</v>
      </c>
      <c r="AC48" s="1" t="s">
        <v>5</v>
      </c>
      <c r="AD48" s="1" t="s">
        <v>5</v>
      </c>
      <c r="AE48" s="1" t="s">
        <v>5</v>
      </c>
      <c r="AF48" s="1" t="s">
        <v>5</v>
      </c>
      <c r="AG48" s="1"/>
    </row>
    <row r="49" spans="1:33" x14ac:dyDescent="0.3">
      <c r="A49" s="4">
        <v>1974</v>
      </c>
      <c r="B49" s="1">
        <v>1076614.0650847964</v>
      </c>
      <c r="C49" s="1">
        <v>1568056.4534753591</v>
      </c>
      <c r="D49" s="1">
        <v>1207870.0874127059</v>
      </c>
      <c r="E49" s="1">
        <v>5924558.8519651005</v>
      </c>
      <c r="F49" s="1">
        <v>3026921.1080681575</v>
      </c>
      <c r="G49" s="1">
        <v>1271934.9880317666</v>
      </c>
      <c r="H49" s="1">
        <v>29700.62341913013</v>
      </c>
      <c r="I49" s="1">
        <v>1498220.4378523484</v>
      </c>
      <c r="J49" s="1">
        <v>3561587.1608473044</v>
      </c>
      <c r="K49" s="1">
        <v>356.19433551824307</v>
      </c>
      <c r="L49" s="1">
        <v>0</v>
      </c>
      <c r="M49" s="1">
        <v>0</v>
      </c>
      <c r="N49" s="1">
        <v>6847969.908886061</v>
      </c>
      <c r="O49" s="1">
        <v>705515.34095186705</v>
      </c>
      <c r="P49" s="1">
        <v>105273.83971208517</v>
      </c>
      <c r="Q49" s="1"/>
      <c r="R49" s="1">
        <f>R$45*'Direct Mail and nonmail PPI''s'!C$67/'Direct Mail and nonmail PPI''s'!C$71</f>
        <v>32.248420514452022</v>
      </c>
      <c r="S49" s="1">
        <f t="shared" si="0"/>
        <v>32.248420514452022</v>
      </c>
      <c r="T49" s="1" t="s">
        <v>5</v>
      </c>
      <c r="U49" s="1">
        <f>U$45*'Newspapers PPI''s'!B$129/'Newspapers PPI''s'!B$133</f>
        <v>11.289992421095857</v>
      </c>
      <c r="V49" s="1">
        <f>V$45*'Periodical PPI''s'!B$99/'Periodical PPI''s'!B$103</f>
        <v>15.461099102058705</v>
      </c>
      <c r="W49" s="1">
        <f>W$45*'Directory PPI''s'!B$75/'Directory PPI''s'!B$79</f>
        <v>16.137057852436151</v>
      </c>
      <c r="X49" s="1">
        <f>'Movie theater PPI''s'!B48</f>
        <v>21.169</v>
      </c>
      <c r="Y49" s="1" t="s">
        <v>5</v>
      </c>
      <c r="Z49" s="1" t="s">
        <v>5</v>
      </c>
      <c r="AA49" s="1" t="s">
        <v>5</v>
      </c>
      <c r="AB49" s="1" t="s">
        <v>5</v>
      </c>
      <c r="AC49" s="1" t="s">
        <v>5</v>
      </c>
      <c r="AD49" s="1" t="s">
        <v>5</v>
      </c>
      <c r="AE49" s="1" t="s">
        <v>5</v>
      </c>
      <c r="AF49" s="1" t="s">
        <v>5</v>
      </c>
      <c r="AG49" s="1"/>
    </row>
    <row r="50" spans="1:33" x14ac:dyDescent="0.3">
      <c r="A50" s="4">
        <v>1973</v>
      </c>
      <c r="B50" s="1">
        <v>1040889.8614845087</v>
      </c>
      <c r="C50" s="1">
        <v>1410476.6860747403</v>
      </c>
      <c r="D50" s="1">
        <v>1159314.4022562939</v>
      </c>
      <c r="E50" s="1">
        <v>5651826.6732403617</v>
      </c>
      <c r="F50" s="1">
        <v>2907115.6684111785</v>
      </c>
      <c r="G50" s="1">
        <v>1155866.7108468642</v>
      </c>
      <c r="H50" s="1">
        <v>24192.34756246653</v>
      </c>
      <c r="I50" s="1">
        <v>1403822.2692789938</v>
      </c>
      <c r="J50" s="1">
        <v>3273147.7454018681</v>
      </c>
      <c r="K50" s="1">
        <v>327.34750929107986</v>
      </c>
      <c r="L50" s="1">
        <v>0</v>
      </c>
      <c r="M50" s="1">
        <v>0</v>
      </c>
      <c r="N50" s="1">
        <v>6453848.3588053957</v>
      </c>
      <c r="O50" s="1">
        <v>664189.53735536232</v>
      </c>
      <c r="P50" s="1">
        <v>99107.388366148574</v>
      </c>
      <c r="Q50" s="1"/>
      <c r="R50" s="1">
        <f>R$45*'Direct Mail and nonmail PPI''s'!C$66/'Direct Mail and nonmail PPI''s'!C$71</f>
        <v>27.725127207969479</v>
      </c>
      <c r="S50" s="1">
        <f t="shared" si="0"/>
        <v>27.725127207969479</v>
      </c>
      <c r="T50" s="1" t="s">
        <v>5</v>
      </c>
      <c r="U50" s="1">
        <f>U$45*'Newspapers PPI''s'!B$128/'Newspapers PPI''s'!B$133</f>
        <v>10.684630897176508</v>
      </c>
      <c r="V50" s="1">
        <f>V$45*'Periodical PPI''s'!B$98/'Periodical PPI''s'!B$103</f>
        <v>14.642063183083479</v>
      </c>
      <c r="W50" s="1">
        <f>W$45*'Directory PPI''s'!B$74/'Directory PPI''s'!B$79</f>
        <v>13.70472984550493</v>
      </c>
      <c r="X50" s="1">
        <f>'Movie theater PPI''s'!B49</f>
        <v>19.780999999999999</v>
      </c>
      <c r="Y50" s="1" t="s">
        <v>5</v>
      </c>
      <c r="Z50" s="1" t="s">
        <v>5</v>
      </c>
      <c r="AA50" s="1" t="s">
        <v>5</v>
      </c>
      <c r="AB50" s="1" t="s">
        <v>5</v>
      </c>
      <c r="AC50" s="1" t="s">
        <v>5</v>
      </c>
      <c r="AD50" s="1" t="s">
        <v>5</v>
      </c>
      <c r="AE50" s="1" t="s">
        <v>5</v>
      </c>
      <c r="AF50" s="1" t="s">
        <v>5</v>
      </c>
      <c r="AG50" s="1"/>
    </row>
    <row r="51" spans="1:33" x14ac:dyDescent="0.3">
      <c r="A51" s="4">
        <v>1972</v>
      </c>
      <c r="B51" s="1">
        <v>1020294.4972892384</v>
      </c>
      <c r="C51" s="1">
        <v>1283379.2508108406</v>
      </c>
      <c r="D51" s="1">
        <v>1103540.6920385184</v>
      </c>
      <c r="E51" s="1">
        <v>5242350.659753358</v>
      </c>
      <c r="F51" s="1">
        <v>2787310.2287541996</v>
      </c>
      <c r="G51" s="1">
        <v>1063251.0815998013</v>
      </c>
      <c r="H51" s="1">
        <v>25617.15491739018</v>
      </c>
      <c r="I51" s="1">
        <v>1315031.9127000961</v>
      </c>
      <c r="J51" s="1">
        <v>3026148.6662069797</v>
      </c>
      <c r="K51" s="1">
        <v>302.64513113377802</v>
      </c>
      <c r="L51" s="1">
        <v>0</v>
      </c>
      <c r="M51" s="1">
        <v>0</v>
      </c>
      <c r="N51" s="1">
        <v>6032305.3130681058</v>
      </c>
      <c r="O51" s="1">
        <v>620131.38894782879</v>
      </c>
      <c r="P51" s="1">
        <v>92533.228763597319</v>
      </c>
      <c r="Q51" s="1"/>
      <c r="R51" s="1">
        <f>R$45*'Direct Mail and nonmail PPI''s'!C$65/'Direct Mail and nonmail PPI''s'!C$71</f>
        <v>26.607607685191439</v>
      </c>
      <c r="S51" s="1">
        <f t="shared" si="0"/>
        <v>26.607607685191439</v>
      </c>
      <c r="T51" s="1" t="s">
        <v>5</v>
      </c>
      <c r="U51" s="1">
        <f>U$45*'Newspapers PPI''s'!B$127/'Newspapers PPI''s'!B$133</f>
        <v>10.089358731989146</v>
      </c>
      <c r="V51" s="1">
        <f>V$45*'Periodical PPI''s'!B$97/'Periodical PPI''s'!B$103</f>
        <v>14.369051210091735</v>
      </c>
      <c r="W51" s="1">
        <f>W$45*'Directory PPI''s'!B$73/'Directory PPI''s'!B$79</f>
        <v>13.077032295329134</v>
      </c>
      <c r="X51" s="1">
        <f>'Movie theater PPI''s'!B50</f>
        <v>19.027999999999999</v>
      </c>
      <c r="Y51" s="1" t="s">
        <v>5</v>
      </c>
      <c r="Z51" s="1" t="s">
        <v>5</v>
      </c>
      <c r="AA51" s="1" t="s">
        <v>5</v>
      </c>
      <c r="AB51" s="1" t="s">
        <v>5</v>
      </c>
      <c r="AC51" s="1" t="s">
        <v>5</v>
      </c>
      <c r="AD51" s="1" t="s">
        <v>5</v>
      </c>
      <c r="AE51" s="1" t="s">
        <v>5</v>
      </c>
      <c r="AF51" s="1" t="s">
        <v>5</v>
      </c>
      <c r="AG51" s="1"/>
    </row>
    <row r="52" spans="1:33" x14ac:dyDescent="0.3">
      <c r="A52" s="4">
        <v>1971</v>
      </c>
      <c r="B52" s="1">
        <v>973216.98010634363</v>
      </c>
      <c r="C52" s="1">
        <v>1075806.9048260087</v>
      </c>
      <c r="D52" s="1">
        <v>990729.47019927937</v>
      </c>
      <c r="E52" s="1">
        <v>4659111.7623143047</v>
      </c>
      <c r="F52" s="1">
        <v>2629945.2895608167</v>
      </c>
      <c r="G52" s="1">
        <v>988970.28108026204</v>
      </c>
      <c r="H52" s="1">
        <v>25455.578825594715</v>
      </c>
      <c r="I52" s="1">
        <v>1175771.2481710881</v>
      </c>
      <c r="J52" s="1">
        <v>2616925.9947554586</v>
      </c>
      <c r="K52" s="1">
        <v>261.71877135265225</v>
      </c>
      <c r="L52" s="1">
        <v>0</v>
      </c>
      <c r="M52" s="1">
        <v>0</v>
      </c>
      <c r="N52" s="1">
        <v>5443751.6845097486</v>
      </c>
      <c r="O52" s="1">
        <v>557308.79777754098</v>
      </c>
      <c r="P52" s="1">
        <v>83159.123043605694</v>
      </c>
      <c r="Q52" s="1"/>
      <c r="R52" s="1">
        <f>R$45*'Direct Mail and nonmail PPI''s'!C$64/'Direct Mail and nonmail PPI''s'!C$71</f>
        <v>26.474569646765477</v>
      </c>
      <c r="S52" s="1">
        <f t="shared" si="0"/>
        <v>26.474569646765477</v>
      </c>
      <c r="T52" s="1" t="s">
        <v>5</v>
      </c>
      <c r="U52" s="1">
        <f>U$45*'Newspapers PPI''s'!B$126/'Newspapers PPI''s'!B$133</f>
        <v>9.8371247636894168</v>
      </c>
      <c r="V52" s="1">
        <f>V$45*'Periodical PPI''s'!B$96/'Periodical PPI''s'!B$103</f>
        <v>14.239729749200908</v>
      </c>
      <c r="W52" s="1">
        <f>W$45*'Directory PPI''s'!B$72/'Directory PPI''s'!B$79</f>
        <v>12.161640034656093</v>
      </c>
      <c r="X52" s="1">
        <f>'Movie theater PPI''s'!B51</f>
        <v>18.530999999999999</v>
      </c>
      <c r="Y52" s="1" t="s">
        <v>5</v>
      </c>
      <c r="Z52" s="1" t="s">
        <v>5</v>
      </c>
      <c r="AA52" s="1" t="s">
        <v>5</v>
      </c>
      <c r="AB52" s="1" t="s">
        <v>5</v>
      </c>
      <c r="AC52" s="1" t="s">
        <v>5</v>
      </c>
      <c r="AD52" s="1" t="s">
        <v>5</v>
      </c>
      <c r="AE52" s="1" t="s">
        <v>5</v>
      </c>
      <c r="AF52" s="1" t="s">
        <v>5</v>
      </c>
      <c r="AG52" s="1"/>
    </row>
    <row r="53" spans="1:33" x14ac:dyDescent="0.3">
      <c r="A53" s="4">
        <v>1970</v>
      </c>
      <c r="B53" s="1">
        <v>933564.95570935821</v>
      </c>
      <c r="C53" s="1">
        <v>899271.85388046713</v>
      </c>
      <c r="D53" s="1">
        <v>947463.6486407317</v>
      </c>
      <c r="E53" s="1">
        <v>4309319.5220108312</v>
      </c>
      <c r="F53" s="1">
        <v>2561120.8880557436</v>
      </c>
      <c r="G53" s="1">
        <v>930030.86786334449</v>
      </c>
      <c r="H53" s="1">
        <v>23927.950321346678</v>
      </c>
      <c r="I53" s="1">
        <v>1062680.3729495448</v>
      </c>
      <c r="J53" s="1">
        <v>2692704.7766850102</v>
      </c>
      <c r="K53" s="1">
        <v>269.29740740921227</v>
      </c>
      <c r="L53" s="1">
        <v>0</v>
      </c>
      <c r="M53" s="1">
        <v>0</v>
      </c>
      <c r="N53" s="1">
        <v>5234242.4697130164</v>
      </c>
      <c r="O53" s="1">
        <v>533517.69549081626</v>
      </c>
      <c r="P53" s="1">
        <v>79609.121302570056</v>
      </c>
      <c r="Q53" s="1"/>
      <c r="R53" s="1">
        <f>R$45*'Direct Mail and nonmail PPI''s'!C$63/'Direct Mail and nonmail PPI''s'!C$71</f>
        <v>25.676341416209734</v>
      </c>
      <c r="S53" s="1">
        <f t="shared" si="0"/>
        <v>25.676341416209734</v>
      </c>
      <c r="T53" s="1" t="s">
        <v>5</v>
      </c>
      <c r="U53" s="1">
        <f>U$45*'Newspapers PPI''s'!B$125/'Newspapers PPI''s'!B$133</f>
        <v>9.4940865668017853</v>
      </c>
      <c r="V53" s="1">
        <f>V$45*'Periodical PPI''s'!B$95/'Periodical PPI''s'!B$103</f>
        <v>14.239729749200908</v>
      </c>
      <c r="W53" s="1">
        <f>W$45*'Directory PPI''s'!B$71/'Directory PPI''s'!B$79</f>
        <v>11.416249193822331</v>
      </c>
      <c r="X53" s="1">
        <f>'Movie theater PPI''s'!B52</f>
        <v>17.504999999999999</v>
      </c>
      <c r="Y53" s="1" t="s">
        <v>5</v>
      </c>
      <c r="Z53" s="1" t="s">
        <v>5</v>
      </c>
      <c r="AA53" s="1" t="s">
        <v>5</v>
      </c>
      <c r="AB53" s="1" t="s">
        <v>5</v>
      </c>
      <c r="AC53" s="1" t="s">
        <v>5</v>
      </c>
      <c r="AD53" s="1" t="s">
        <v>5</v>
      </c>
      <c r="AE53" s="1" t="s">
        <v>5</v>
      </c>
      <c r="AF53" s="1" t="s">
        <v>5</v>
      </c>
      <c r="AG53" s="1"/>
    </row>
    <row r="54" spans="1:33" x14ac:dyDescent="0.3">
      <c r="A54" s="4">
        <v>1969</v>
      </c>
      <c r="B54" s="1">
        <v>958517.59552633588</v>
      </c>
      <c r="C54" s="1">
        <v>796256.69017355086</v>
      </c>
      <c r="D54" s="1">
        <v>941607.24512338045</v>
      </c>
      <c r="E54" s="1">
        <v>4316874.4300087467</v>
      </c>
      <c r="F54" s="1">
        <v>2640609.6903987154</v>
      </c>
      <c r="G54" s="1">
        <v>840915.63383088459</v>
      </c>
      <c r="H54" s="1">
        <v>22135.924575978785</v>
      </c>
      <c r="I54" s="1">
        <v>1015013.970996663</v>
      </c>
      <c r="J54" s="1">
        <v>2684467.9155772417</v>
      </c>
      <c r="K54" s="1">
        <v>268.47363892158677</v>
      </c>
      <c r="L54" s="1">
        <v>0</v>
      </c>
      <c r="M54" s="1">
        <v>0</v>
      </c>
      <c r="N54" s="1">
        <v>5231228.9922322193</v>
      </c>
      <c r="O54" s="1">
        <v>530764.07340410317</v>
      </c>
      <c r="P54" s="1">
        <v>79198.238146162461</v>
      </c>
      <c r="Q54" s="1"/>
      <c r="R54" s="1">
        <f>R$45*'Direct Mail and nonmail PPI''s'!C$62/'Direct Mail and nonmail PPI''s'!C$71</f>
        <v>24.665252324172464</v>
      </c>
      <c r="S54" s="1">
        <f t="shared" si="0"/>
        <v>24.665252324172464</v>
      </c>
      <c r="T54" s="1" t="s">
        <v>5</v>
      </c>
      <c r="U54" s="1">
        <f>U$45*'Newspapers PPI''s'!B$124/'Newspapers PPI''s'!B$133</f>
        <v>8.9795292714703407</v>
      </c>
      <c r="V54" s="1">
        <f>V$45*'Periodical PPI''s'!B$94/'Periodical PPI''s'!B$103</f>
        <v>13.722443905637606</v>
      </c>
      <c r="W54" s="1">
        <f>W$45*'Directory PPI''s'!B$70/'Directory PPI''s'!B$79</f>
        <v>10.919321966599826</v>
      </c>
      <c r="X54" s="1">
        <f>'Movie theater PPI''s'!B53</f>
        <v>15.944000000000001</v>
      </c>
      <c r="Y54" s="1" t="s">
        <v>5</v>
      </c>
      <c r="Z54" s="1" t="s">
        <v>5</v>
      </c>
      <c r="AA54" s="1" t="s">
        <v>5</v>
      </c>
      <c r="AB54" s="1" t="s">
        <v>5</v>
      </c>
      <c r="AC54" s="1" t="s">
        <v>5</v>
      </c>
      <c r="AD54" s="1" t="s">
        <v>5</v>
      </c>
      <c r="AE54" s="1" t="s">
        <v>5</v>
      </c>
      <c r="AF54" s="1" t="s">
        <v>5</v>
      </c>
      <c r="AG54" s="1"/>
    </row>
    <row r="55" spans="1:33" x14ac:dyDescent="0.3">
      <c r="A55" s="4">
        <v>1968</v>
      </c>
      <c r="B55" s="1">
        <v>997374.96809729212</v>
      </c>
      <c r="C55" s="1">
        <v>705260.00814042869</v>
      </c>
      <c r="D55" s="1">
        <v>869173.33126605162</v>
      </c>
      <c r="E55" s="1">
        <v>3952727.8645092342</v>
      </c>
      <c r="F55" s="1">
        <v>2524471.7642006236</v>
      </c>
      <c r="G55" s="1">
        <v>771462.96464183205</v>
      </c>
      <c r="H55" s="1">
        <v>20564.229864877438</v>
      </c>
      <c r="I55" s="1">
        <v>956131.94505486765</v>
      </c>
      <c r="J55" s="1">
        <v>2419390.7490181504</v>
      </c>
      <c r="K55" s="1">
        <v>241.96327122891131</v>
      </c>
      <c r="L55" s="1">
        <v>0</v>
      </c>
      <c r="M55" s="1">
        <v>0</v>
      </c>
      <c r="N55" s="1">
        <v>4857050.7007779386</v>
      </c>
      <c r="O55" s="1">
        <v>490437.39195659361</v>
      </c>
      <c r="P55" s="1">
        <v>73180.871332993367</v>
      </c>
      <c r="Q55" s="1"/>
      <c r="R55" s="1">
        <f>R$45*'Direct Mail and nonmail PPI''s'!C$61/'Direct Mail and nonmail PPI''s'!C$71</f>
        <v>23.441302370653656</v>
      </c>
      <c r="S55" s="1">
        <f t="shared" si="0"/>
        <v>23.441302370653656</v>
      </c>
      <c r="T55" s="1" t="s">
        <v>5</v>
      </c>
      <c r="U55" s="1">
        <f>U$45*'Newspapers PPI''s'!B$123/'Newspapers PPI''s'!B$133</f>
        <v>8.5557762047267953</v>
      </c>
      <c r="V55" s="1">
        <f>V$45*'Periodical PPI''s'!B$93/'Periodical PPI''s'!B$103</f>
        <v>13.061467549973388</v>
      </c>
      <c r="W55" s="1">
        <f>W$45*'Directory PPI''s'!B$69/'Directory PPI''s'!B$79</f>
        <v>10.448548803967979</v>
      </c>
      <c r="X55" s="1">
        <f>'Movie theater PPI''s'!B54</f>
        <v>14.741</v>
      </c>
      <c r="Y55" s="1" t="s">
        <v>5</v>
      </c>
      <c r="Z55" s="1" t="s">
        <v>5</v>
      </c>
      <c r="AA55" s="1" t="s">
        <v>5</v>
      </c>
      <c r="AB55" s="1" t="s">
        <v>5</v>
      </c>
      <c r="AC55" s="1" t="s">
        <v>5</v>
      </c>
      <c r="AD55" s="1" t="s">
        <v>5</v>
      </c>
      <c r="AE55" s="1" t="s">
        <v>5</v>
      </c>
      <c r="AF55" s="1" t="s">
        <v>5</v>
      </c>
      <c r="AG55" s="1"/>
    </row>
    <row r="56" spans="1:33" x14ac:dyDescent="0.3">
      <c r="A56" s="4">
        <v>1967</v>
      </c>
      <c r="B56" s="1">
        <v>1010490.2580455877</v>
      </c>
      <c r="C56" s="1">
        <v>598069.24862101767</v>
      </c>
      <c r="D56" s="1">
        <v>811140.90896624862</v>
      </c>
      <c r="E56" s="1">
        <v>3709459.8269763649</v>
      </c>
      <c r="F56" s="1">
        <v>2469459.0623173169</v>
      </c>
      <c r="G56" s="1">
        <v>721298.68011807429</v>
      </c>
      <c r="H56" s="1">
        <v>18023.078603003298</v>
      </c>
      <c r="I56" s="1">
        <v>847714.24649537145</v>
      </c>
      <c r="J56" s="1">
        <v>2178275.3602271117</v>
      </c>
      <c r="K56" s="1">
        <v>217.84932095478266</v>
      </c>
      <c r="L56" s="1">
        <v>0</v>
      </c>
      <c r="M56" s="1">
        <v>0</v>
      </c>
      <c r="N56" s="1">
        <v>4560156.696046615</v>
      </c>
      <c r="O56" s="1">
        <v>458161.86903562013</v>
      </c>
      <c r="P56" s="1">
        <v>68364.862340159714</v>
      </c>
      <c r="Q56" s="1"/>
      <c r="R56" s="1">
        <f>R$45*'Direct Mail and nonmail PPI''s'!C$60/'Direct Mail and nonmail PPI''s'!C$71</f>
        <v>22.802719786209064</v>
      </c>
      <c r="S56" s="1">
        <f t="shared" si="0"/>
        <v>22.802719786209064</v>
      </c>
      <c r="T56" s="1" t="s">
        <v>5</v>
      </c>
      <c r="U56" s="1">
        <f>U$45*'Newspapers PPI''s'!B$122/'Newspapers PPI''s'!B$133</f>
        <v>8.2631848014991114</v>
      </c>
      <c r="V56" s="1">
        <f>V$45*'Periodical PPI''s'!B$92/'Periodical PPI''s'!B$103</f>
        <v>12.932146089082561</v>
      </c>
      <c r="W56" s="1">
        <f>W$45*'Directory PPI''s'!B$68/'Directory PPI''s'!B$79</f>
        <v>9.7554660923155332</v>
      </c>
      <c r="X56" s="1">
        <f>'Movie theater PPI''s'!B55</f>
        <v>13.442</v>
      </c>
      <c r="Y56" s="1" t="s">
        <v>5</v>
      </c>
      <c r="Z56" s="1" t="s">
        <v>5</v>
      </c>
      <c r="AA56" s="1" t="s">
        <v>5</v>
      </c>
      <c r="AB56" s="1" t="s">
        <v>5</v>
      </c>
      <c r="AC56" s="1" t="s">
        <v>5</v>
      </c>
      <c r="AD56" s="1" t="s">
        <v>5</v>
      </c>
      <c r="AE56" s="1" t="s">
        <v>5</v>
      </c>
      <c r="AF56" s="1" t="s">
        <v>5</v>
      </c>
      <c r="AG56" s="1"/>
    </row>
    <row r="57" spans="1:33" x14ac:dyDescent="0.3">
      <c r="A57" s="4">
        <v>1966</v>
      </c>
      <c r="B57" s="1">
        <v>896896.32937001158</v>
      </c>
      <c r="C57" s="1">
        <v>657946.53330269898</v>
      </c>
      <c r="D57" s="1">
        <v>788192.99063887086</v>
      </c>
      <c r="E57" s="1">
        <v>3675462.740985747</v>
      </c>
      <c r="F57" s="1">
        <v>2489019.1340980483</v>
      </c>
      <c r="G57" s="1">
        <v>678859.40572309552</v>
      </c>
      <c r="H57" s="1">
        <v>17905.568718061142</v>
      </c>
      <c r="I57" s="1">
        <v>815002.00986104063</v>
      </c>
      <c r="J57" s="1">
        <v>2113878.0824754681</v>
      </c>
      <c r="K57" s="1">
        <v>211.40894914243776</v>
      </c>
      <c r="L57" s="1">
        <v>0</v>
      </c>
      <c r="M57" s="1">
        <v>0</v>
      </c>
      <c r="N57" s="1">
        <v>4517172.5855959952</v>
      </c>
      <c r="O57" s="1">
        <v>451061.70501990931</v>
      </c>
      <c r="P57" s="1">
        <v>67305.407661951016</v>
      </c>
      <c r="Q57" s="1"/>
      <c r="R57" s="1">
        <f>R$45*'Direct Mail and nonmail PPI''s'!C$59/'Direct Mail and nonmail PPI''s'!C$71</f>
        <v>21.046617678986426</v>
      </c>
      <c r="S57" s="1">
        <f t="shared" si="0"/>
        <v>21.046617678986426</v>
      </c>
      <c r="T57" s="1" t="s">
        <v>5</v>
      </c>
      <c r="U57" s="1">
        <f>U$45*'Newspapers PPI''s'!B$121/'Newspapers PPI''s'!B$133</f>
        <v>8.2631848014991114</v>
      </c>
      <c r="V57" s="1">
        <f>V$45*'Periodical PPI''s'!B$91/'Periodical PPI''s'!B$103</f>
        <v>12.932146089082561</v>
      </c>
      <c r="W57" s="1">
        <f>W$45*'Directory PPI''s'!B$67/'Directory PPI''s'!B$79</f>
        <v>9.4939254464089498</v>
      </c>
      <c r="X57" s="1">
        <f>'Movie theater PPI''s'!B56</f>
        <v>12.505000000000001</v>
      </c>
      <c r="Y57" s="1" t="s">
        <v>5</v>
      </c>
      <c r="Z57" s="1" t="s">
        <v>5</v>
      </c>
      <c r="AA57" s="1" t="s">
        <v>5</v>
      </c>
      <c r="AB57" s="1" t="s">
        <v>5</v>
      </c>
      <c r="AC57" s="1" t="s">
        <v>5</v>
      </c>
      <c r="AD57" s="1" t="s">
        <v>5</v>
      </c>
      <c r="AE57" s="1" t="s">
        <v>5</v>
      </c>
      <c r="AF57" s="1" t="s">
        <v>5</v>
      </c>
      <c r="AG57" s="1"/>
    </row>
    <row r="58" spans="1:33" x14ac:dyDescent="0.3">
      <c r="A58" s="4">
        <v>1965</v>
      </c>
      <c r="B58" s="1">
        <v>760003.57412143622</v>
      </c>
      <c r="C58" s="1">
        <v>674822.13398427551</v>
      </c>
      <c r="D58" s="1">
        <v>710850.73804170836</v>
      </c>
      <c r="E58" s="1">
        <v>3343802.2798772696</v>
      </c>
      <c r="F58" s="1">
        <v>2326426.0374207203</v>
      </c>
      <c r="G58" s="1">
        <v>633993.9953345469</v>
      </c>
      <c r="H58" s="1">
        <v>17082.999523466042</v>
      </c>
      <c r="I58" s="1">
        <v>741165.81860069407</v>
      </c>
      <c r="J58" s="1">
        <v>1883245.9714579536</v>
      </c>
      <c r="K58" s="1">
        <v>188.3434314889235</v>
      </c>
      <c r="L58" s="1">
        <v>0</v>
      </c>
      <c r="M58" s="1">
        <v>0</v>
      </c>
      <c r="N58" s="1">
        <v>4153126.856701965</v>
      </c>
      <c r="O58" s="1">
        <v>412156.88556115568</v>
      </c>
      <c r="P58" s="1">
        <v>61500.204727309429</v>
      </c>
      <c r="Q58" s="1"/>
      <c r="R58" s="1">
        <f>R$45*'Direct Mail and nonmail PPI''s'!C$58/'Direct Mail and nonmail PPI''s'!C$71</f>
        <v>20.115351410004724</v>
      </c>
      <c r="S58" s="1">
        <f t="shared" si="0"/>
        <v>20.115351410004724</v>
      </c>
      <c r="T58" s="1" t="s">
        <v>5</v>
      </c>
      <c r="U58" s="1">
        <f>U$45*'Newspapers PPI''s'!B$120/'Newspapers PPI''s'!B$133</f>
        <v>7.7587168648996538</v>
      </c>
      <c r="V58" s="1">
        <f>V$45*'Periodical PPI''s'!B$90/'Periodical PPI''s'!B$103</f>
        <v>12.932146089082561</v>
      </c>
      <c r="W58" s="1">
        <f>W$45*'Directory PPI''s'!B$66/'Directory PPI''s'!B$79</f>
        <v>9.19315370361638</v>
      </c>
      <c r="X58" s="1">
        <f>'Movie theater PPI''s'!B57</f>
        <v>11.613</v>
      </c>
      <c r="Y58" s="1" t="s">
        <v>5</v>
      </c>
      <c r="Z58" s="1" t="s">
        <v>5</v>
      </c>
      <c r="AA58" s="1" t="s">
        <v>5</v>
      </c>
      <c r="AB58" s="1" t="s">
        <v>5</v>
      </c>
      <c r="AC58" s="1" t="s">
        <v>5</v>
      </c>
      <c r="AD58" s="1" t="s">
        <v>5</v>
      </c>
      <c r="AE58" s="1" t="s">
        <v>5</v>
      </c>
      <c r="AF58" s="1" t="s">
        <v>5</v>
      </c>
      <c r="AG58" s="1"/>
    </row>
    <row r="59" spans="1:33" x14ac:dyDescent="0.3">
      <c r="A59" s="4">
        <v>1964</v>
      </c>
      <c r="B59" s="1">
        <v>640886.35178391391</v>
      </c>
      <c r="C59" s="1">
        <v>676774.96018918476</v>
      </c>
      <c r="D59" s="1">
        <v>648582.23905023362</v>
      </c>
      <c r="E59" s="1">
        <v>3112622.0951410644</v>
      </c>
      <c r="F59" s="1">
        <v>2155275.4093393222</v>
      </c>
      <c r="G59" s="1">
        <v>600402.2716026851</v>
      </c>
      <c r="H59" s="1">
        <v>15246.907571244841</v>
      </c>
      <c r="I59" s="1">
        <v>672002.80400239478</v>
      </c>
      <c r="J59" s="1">
        <v>1714015.9159710757</v>
      </c>
      <c r="K59" s="1">
        <v>171.41873347043571</v>
      </c>
      <c r="L59" s="1">
        <v>0</v>
      </c>
      <c r="M59" s="1">
        <v>0</v>
      </c>
      <c r="N59" s="1">
        <v>3863107.1514800452</v>
      </c>
      <c r="O59" s="1">
        <v>381004.35934896494</v>
      </c>
      <c r="P59" s="1">
        <v>56851.764274315159</v>
      </c>
      <c r="Q59" s="1"/>
      <c r="R59" s="1">
        <f>R$45*'Direct Mail and nonmail PPI''s'!C$57/'Direct Mail and nonmail PPI''s'!C$71</f>
        <v>20.833756817504895</v>
      </c>
      <c r="S59" s="1">
        <f t="shared" si="0"/>
        <v>20.833756817504895</v>
      </c>
      <c r="T59" s="1" t="s">
        <v>5</v>
      </c>
      <c r="U59" s="1">
        <f>U$45*'Newspapers PPI''s'!B$119/'Newspapers PPI''s'!B$133</f>
        <v>7.6880913537757296</v>
      </c>
      <c r="V59" s="1">
        <f>V$45*'Periodical PPI''s'!B$89/'Periodical PPI''s'!B$103</f>
        <v>13.032729447553203</v>
      </c>
      <c r="W59" s="1">
        <f>W$45*'Directory PPI''s'!B$65/'Directory PPI''s'!B$79</f>
        <v>8.9335231860225974</v>
      </c>
      <c r="X59" s="1">
        <f>'Movie theater PPI''s'!B58</f>
        <v>10.763999999999999</v>
      </c>
      <c r="Y59" s="1" t="s">
        <v>5</v>
      </c>
      <c r="Z59" s="1" t="s">
        <v>5</v>
      </c>
      <c r="AA59" s="1" t="s">
        <v>5</v>
      </c>
      <c r="AB59" s="1" t="s">
        <v>5</v>
      </c>
      <c r="AC59" s="1" t="s">
        <v>5</v>
      </c>
      <c r="AD59" s="1" t="s">
        <v>5</v>
      </c>
      <c r="AE59" s="1" t="s">
        <v>5</v>
      </c>
      <c r="AF59" s="1" t="s">
        <v>5</v>
      </c>
      <c r="AG59" s="1"/>
    </row>
    <row r="60" spans="1:33" x14ac:dyDescent="0.3">
      <c r="A60" s="4">
        <v>1963</v>
      </c>
      <c r="B60" s="1">
        <v>547170.67049244209</v>
      </c>
      <c r="C60" s="1">
        <v>677966.84540275158</v>
      </c>
      <c r="D60" s="1">
        <v>591497.60829939367</v>
      </c>
      <c r="E60" s="1">
        <v>2855755.2232119474</v>
      </c>
      <c r="F60" s="1">
        <v>2057475.0504356662</v>
      </c>
      <c r="G60" s="1">
        <v>564903.43599528098</v>
      </c>
      <c r="H60" s="1">
        <v>15114.708950684917</v>
      </c>
      <c r="I60" s="1">
        <v>626205.67271433177</v>
      </c>
      <c r="J60" s="1">
        <v>1521572.8882713963</v>
      </c>
      <c r="K60" s="1">
        <v>152.17250607773065</v>
      </c>
      <c r="L60" s="1">
        <v>0</v>
      </c>
      <c r="M60" s="1">
        <v>0</v>
      </c>
      <c r="N60" s="1">
        <v>3591799.9516616007</v>
      </c>
      <c r="O60" s="1">
        <v>352045.3709770767</v>
      </c>
      <c r="P60" s="1">
        <v>52530.633714668984</v>
      </c>
      <c r="Q60" s="1"/>
      <c r="R60" s="1">
        <f>R$45*'Direct Mail and nonmail PPI''s'!C$56/'Direct Mail and nonmail PPI''s'!C$71</f>
        <v>21.206263325097577</v>
      </c>
      <c r="S60" s="1">
        <f t="shared" si="0"/>
        <v>21.206263325097577</v>
      </c>
      <c r="T60" s="1" t="s">
        <v>5</v>
      </c>
      <c r="U60" s="1">
        <f>U$45*'Newspapers PPI''s'!B$118/'Newspapers PPI''s'!B$133</f>
        <v>7.6880913537757296</v>
      </c>
      <c r="V60" s="1">
        <f>V$45*'Periodical PPI''s'!B$88/'Periodical PPI''s'!B$103</f>
        <v>13.176419959654122</v>
      </c>
      <c r="W60" s="1">
        <f>W$45*'Directory PPI''s'!B$64/'Directory PPI''s'!B$79</f>
        <v>8.7877657024611775</v>
      </c>
      <c r="X60" s="1">
        <f>'Movie theater PPI''s'!B59</f>
        <v>9.9559999999999995</v>
      </c>
      <c r="Y60" s="1" t="s">
        <v>5</v>
      </c>
      <c r="Z60" s="1" t="s">
        <v>5</v>
      </c>
      <c r="AA60" s="1" t="s">
        <v>5</v>
      </c>
      <c r="AB60" s="1" t="s">
        <v>5</v>
      </c>
      <c r="AC60" s="1" t="s">
        <v>5</v>
      </c>
      <c r="AD60" s="1" t="s">
        <v>5</v>
      </c>
      <c r="AE60" s="1" t="s">
        <v>5</v>
      </c>
      <c r="AF60" s="1" t="s">
        <v>5</v>
      </c>
      <c r="AG60" s="1"/>
    </row>
    <row r="61" spans="1:33" x14ac:dyDescent="0.3">
      <c r="A61" s="4">
        <v>1962</v>
      </c>
      <c r="B61" s="1">
        <v>543942.83293144288</v>
      </c>
      <c r="C61" s="1">
        <v>642887.0754672538</v>
      </c>
      <c r="D61" s="1">
        <v>551095.02534063894</v>
      </c>
      <c r="E61" s="1">
        <v>2764340.8364371732</v>
      </c>
      <c r="F61" s="1">
        <v>1960897.1960183056</v>
      </c>
      <c r="G61" s="1">
        <v>535548.3975059212</v>
      </c>
      <c r="H61" s="1">
        <v>15173.463893155995</v>
      </c>
      <c r="I61" s="1">
        <v>586016.35342072544</v>
      </c>
      <c r="J61" s="1">
        <v>1420484.1383124206</v>
      </c>
      <c r="K61" s="1">
        <v>142.06262009323575</v>
      </c>
      <c r="L61" s="1">
        <v>0</v>
      </c>
      <c r="M61" s="1">
        <v>0</v>
      </c>
      <c r="N61" s="1">
        <v>3486452.2303179037</v>
      </c>
      <c r="O61" s="1">
        <v>335524.97978773084</v>
      </c>
      <c r="P61" s="1">
        <v>50065.534923618332</v>
      </c>
      <c r="Q61" s="1"/>
      <c r="R61" s="1" t="s">
        <v>5</v>
      </c>
      <c r="S61" s="1" t="str">
        <f t="shared" si="0"/>
        <v>.</v>
      </c>
      <c r="T61" s="1" t="s">
        <v>5</v>
      </c>
      <c r="U61" s="1" t="s">
        <v>5</v>
      </c>
      <c r="V61" s="1" t="s">
        <v>5</v>
      </c>
      <c r="W61" s="1" t="s">
        <v>5</v>
      </c>
      <c r="X61" s="1">
        <f>'Movie theater PPI''s'!B60</f>
        <v>9.6029999999999998</v>
      </c>
      <c r="Y61" s="1" t="s">
        <v>5</v>
      </c>
      <c r="Z61" s="1" t="s">
        <v>5</v>
      </c>
      <c r="AA61" s="1" t="s">
        <v>5</v>
      </c>
      <c r="AB61" s="1" t="s">
        <v>5</v>
      </c>
      <c r="AC61" s="1" t="s">
        <v>5</v>
      </c>
      <c r="AD61" s="1" t="s">
        <v>5</v>
      </c>
      <c r="AE61" s="1" t="s">
        <v>5</v>
      </c>
      <c r="AF61" s="1" t="s">
        <v>5</v>
      </c>
      <c r="AG61" s="1"/>
    </row>
    <row r="62" spans="1:33" x14ac:dyDescent="0.3">
      <c r="A62" s="4">
        <v>1961</v>
      </c>
      <c r="B62" s="1">
        <v>556336.13743694744</v>
      </c>
      <c r="C62" s="1">
        <v>626557.48102385632</v>
      </c>
      <c r="D62" s="1">
        <v>514099.25501185056</v>
      </c>
      <c r="E62" s="1">
        <v>2720522.3700492652</v>
      </c>
      <c r="F62" s="1">
        <v>1888919.8273093561</v>
      </c>
      <c r="G62" s="1">
        <v>512638.91434276139</v>
      </c>
      <c r="H62" s="1">
        <v>15335.03998495146</v>
      </c>
      <c r="I62" s="1">
        <v>545827.034127119</v>
      </c>
      <c r="J62" s="1">
        <v>1266230.1939305766</v>
      </c>
      <c r="K62" s="1">
        <v>126.63568296133985</v>
      </c>
      <c r="L62" s="1">
        <v>0</v>
      </c>
      <c r="M62" s="1">
        <v>0</v>
      </c>
      <c r="N62" s="1">
        <v>3391744.7327276063</v>
      </c>
      <c r="O62" s="1">
        <v>320182.849646391</v>
      </c>
      <c r="P62" s="1">
        <v>47776.25096961917</v>
      </c>
      <c r="Q62" s="1"/>
      <c r="R62" s="1" t="s">
        <v>5</v>
      </c>
      <c r="S62" s="1" t="str">
        <f t="shared" si="0"/>
        <v>.</v>
      </c>
      <c r="T62" s="1" t="s">
        <v>5</v>
      </c>
      <c r="U62" s="1" t="s">
        <v>5</v>
      </c>
      <c r="V62" s="1" t="s">
        <v>5</v>
      </c>
      <c r="W62" s="1" t="s">
        <v>5</v>
      </c>
      <c r="X62" s="1">
        <f>'Movie theater PPI''s'!B61</f>
        <v>9.202</v>
      </c>
      <c r="Y62" s="1" t="s">
        <v>5</v>
      </c>
      <c r="Z62" s="1" t="s">
        <v>5</v>
      </c>
      <c r="AA62" s="1" t="s">
        <v>5</v>
      </c>
      <c r="AB62" s="1" t="s">
        <v>5</v>
      </c>
      <c r="AC62" s="1" t="s">
        <v>5</v>
      </c>
      <c r="AD62" s="1" t="s">
        <v>5</v>
      </c>
      <c r="AE62" s="1" t="s">
        <v>5</v>
      </c>
      <c r="AF62" s="1" t="s">
        <v>5</v>
      </c>
      <c r="AG62" s="1"/>
    </row>
    <row r="63" spans="1:33" x14ac:dyDescent="0.3">
      <c r="A63" s="4">
        <v>1960</v>
      </c>
      <c r="B63" s="1">
        <v>588112.9872994296</v>
      </c>
      <c r="C63" s="1">
        <v>630434.28688787983</v>
      </c>
      <c r="D63" s="1">
        <v>506643.86976952618</v>
      </c>
      <c r="E63" s="1">
        <v>2780961.6340325866</v>
      </c>
      <c r="F63" s="1">
        <v>1948661.4085851703</v>
      </c>
      <c r="G63" s="1">
        <v>483658.05603151442</v>
      </c>
      <c r="H63" s="1">
        <v>15349.728720569228</v>
      </c>
      <c r="I63" s="1">
        <v>558911.9287808513</v>
      </c>
      <c r="J63" s="1">
        <v>1218306.6383944689</v>
      </c>
      <c r="K63" s="1">
        <v>121.84284812424589</v>
      </c>
      <c r="L63" s="1">
        <v>0</v>
      </c>
      <c r="M63" s="1">
        <v>0</v>
      </c>
      <c r="N63" s="1">
        <v>3488731.8373573269</v>
      </c>
      <c r="O63" s="1">
        <v>322779.99170451675</v>
      </c>
      <c r="P63" s="1">
        <v>48163.78487691559</v>
      </c>
      <c r="Q63" s="1"/>
      <c r="R63" s="1" t="s">
        <v>5</v>
      </c>
      <c r="S63" s="1" t="str">
        <f t="shared" si="0"/>
        <v>.</v>
      </c>
      <c r="T63" s="1" t="s">
        <v>5</v>
      </c>
      <c r="U63" s="1" t="s">
        <v>5</v>
      </c>
      <c r="V63" s="1" t="s">
        <v>5</v>
      </c>
      <c r="W63" s="1" t="s">
        <v>5</v>
      </c>
      <c r="X63" s="1">
        <f>'Movie theater PPI''s'!B62</f>
        <v>8.7530000000000001</v>
      </c>
      <c r="Y63" s="1" t="s">
        <v>5</v>
      </c>
      <c r="Z63" s="1" t="s">
        <v>5</v>
      </c>
      <c r="AA63" s="1" t="s">
        <v>5</v>
      </c>
      <c r="AB63" s="1" t="s">
        <v>5</v>
      </c>
      <c r="AC63" s="1" t="s">
        <v>5</v>
      </c>
      <c r="AD63" s="1" t="s">
        <v>5</v>
      </c>
      <c r="AE63" s="1" t="s">
        <v>5</v>
      </c>
      <c r="AF63" s="1" t="s">
        <v>5</v>
      </c>
      <c r="AG63" s="1"/>
    </row>
    <row r="64" spans="1:33" x14ac:dyDescent="0.3">
      <c r="A64" s="4">
        <v>1959</v>
      </c>
      <c r="B64" s="1">
        <v>579730.64799623087</v>
      </c>
      <c r="C64" s="1">
        <v>590795.35917621816</v>
      </c>
      <c r="D64" s="1">
        <v>465650.58328168094</v>
      </c>
      <c r="E64" s="1">
        <v>2663860.5600649007</v>
      </c>
      <c r="F64" s="1">
        <v>1799526.603827273</v>
      </c>
      <c r="G64" s="1">
        <v>443427.65172023315</v>
      </c>
      <c r="H64" s="1">
        <v>15349.728720569228</v>
      </c>
      <c r="I64" s="1">
        <v>521688.50557726994</v>
      </c>
      <c r="J64" s="1">
        <v>1144923.6939798056</v>
      </c>
      <c r="K64" s="1">
        <v>114.50381977994594</v>
      </c>
      <c r="L64" s="1">
        <v>0</v>
      </c>
      <c r="M64" s="1">
        <v>0</v>
      </c>
      <c r="N64" s="1">
        <v>3344635.0429817522</v>
      </c>
      <c r="O64" s="1">
        <v>303470.64524037519</v>
      </c>
      <c r="P64" s="1">
        <v>45282.530669362022</v>
      </c>
      <c r="Q64" s="1"/>
      <c r="R64" s="1" t="s">
        <v>5</v>
      </c>
      <c r="S64" s="1" t="str">
        <f t="shared" si="0"/>
        <v>.</v>
      </c>
      <c r="T64" s="1" t="s">
        <v>5</v>
      </c>
      <c r="U64" s="1" t="s">
        <v>5</v>
      </c>
      <c r="V64" s="1" t="s">
        <v>5</v>
      </c>
      <c r="W64" s="1" t="s">
        <v>5</v>
      </c>
      <c r="X64" s="1">
        <f>'Movie theater PPI''s'!B63</f>
        <v>8.2170000000000005</v>
      </c>
      <c r="Y64" s="1" t="s">
        <v>5</v>
      </c>
      <c r="Z64" s="1" t="s">
        <v>5</v>
      </c>
      <c r="AA64" s="1" t="s">
        <v>5</v>
      </c>
      <c r="AB64" s="1" t="s">
        <v>5</v>
      </c>
      <c r="AC64" s="1" t="s">
        <v>5</v>
      </c>
      <c r="AD64" s="1" t="s">
        <v>5</v>
      </c>
      <c r="AE64" s="1" t="s">
        <v>5</v>
      </c>
      <c r="AF64" s="1" t="s">
        <v>5</v>
      </c>
      <c r="AG64" s="1"/>
    </row>
    <row r="65" spans="1:33" x14ac:dyDescent="0.3">
      <c r="A65" s="4">
        <v>1958</v>
      </c>
      <c r="B65" s="1">
        <v>583205.82502450503</v>
      </c>
      <c r="C65" s="1">
        <v>564286.67248516658</v>
      </c>
      <c r="D65" s="1">
        <v>413263.42590678239</v>
      </c>
      <c r="E65" s="1">
        <v>2399438.7801378686</v>
      </c>
      <c r="F65" s="1">
        <v>1621040.9488281005</v>
      </c>
      <c r="G65" s="1">
        <v>420035.35542402469</v>
      </c>
      <c r="H65" s="1">
        <v>13798.549498430257</v>
      </c>
      <c r="I65" s="1">
        <v>494545.77838847716</v>
      </c>
      <c r="J65" s="1">
        <v>1038593.3051340682</v>
      </c>
      <c r="K65" s="1">
        <v>103.86971748514389</v>
      </c>
      <c r="L65" s="1">
        <v>0</v>
      </c>
      <c r="M65" s="1">
        <v>0</v>
      </c>
      <c r="N65" s="1">
        <v>3086823.6184196654</v>
      </c>
      <c r="O65" s="1">
        <v>275509.27966679749</v>
      </c>
      <c r="P65" s="1">
        <v>41110.260916088635</v>
      </c>
      <c r="Q65" s="1"/>
      <c r="R65" s="1" t="s">
        <v>5</v>
      </c>
      <c r="S65" s="1" t="str">
        <f t="shared" si="0"/>
        <v>.</v>
      </c>
      <c r="T65" s="1" t="s">
        <v>5</v>
      </c>
      <c r="U65" s="1" t="s">
        <v>5</v>
      </c>
      <c r="V65" s="1" t="s">
        <v>5</v>
      </c>
      <c r="W65" s="1" t="s">
        <v>5</v>
      </c>
      <c r="X65" s="1" t="s">
        <v>5</v>
      </c>
      <c r="Y65" s="1" t="s">
        <v>5</v>
      </c>
      <c r="Z65" s="1" t="s">
        <v>5</v>
      </c>
      <c r="AA65" s="1" t="s">
        <v>5</v>
      </c>
      <c r="AB65" s="1" t="s">
        <v>5</v>
      </c>
      <c r="AC65" s="1" t="s">
        <v>5</v>
      </c>
      <c r="AD65" s="1" t="s">
        <v>5</v>
      </c>
      <c r="AE65" s="1" t="s">
        <v>5</v>
      </c>
      <c r="AF65" s="1" t="s">
        <v>5</v>
      </c>
      <c r="AG65" s="1"/>
    </row>
    <row r="66" spans="1:33" x14ac:dyDescent="0.3">
      <c r="A66" s="4">
        <v>1957</v>
      </c>
      <c r="B66" s="1">
        <v>539808.90524706955</v>
      </c>
      <c r="C66" s="1">
        <v>522297.54547964351</v>
      </c>
      <c r="D66" s="1">
        <v>427872.42359242472</v>
      </c>
      <c r="E66" s="1">
        <v>2468943.9337186883</v>
      </c>
      <c r="F66" s="1">
        <v>1731066.3525947137</v>
      </c>
      <c r="G66" s="1">
        <v>382544.91564279475</v>
      </c>
      <c r="H66" s="1">
        <v>12247.370276291284</v>
      </c>
      <c r="I66" s="1">
        <v>489382.57913994178</v>
      </c>
      <c r="J66" s="1">
        <v>962963.94405364955</v>
      </c>
      <c r="K66" s="1">
        <v>96.306025007855141</v>
      </c>
      <c r="L66" s="1">
        <v>0</v>
      </c>
      <c r="M66" s="1">
        <v>0</v>
      </c>
      <c r="N66" s="1">
        <v>2903518.9118752549</v>
      </c>
      <c r="O66" s="1">
        <v>278238.7860043922</v>
      </c>
      <c r="P66" s="1">
        <v>41517.545628408829</v>
      </c>
      <c r="Q66" s="1"/>
      <c r="R66" s="1" t="s">
        <v>5</v>
      </c>
      <c r="S66" s="1" t="str">
        <f t="shared" si="0"/>
        <v>.</v>
      </c>
      <c r="T66" s="1" t="s">
        <v>5</v>
      </c>
      <c r="U66" s="1" t="s">
        <v>5</v>
      </c>
      <c r="V66" s="1" t="s">
        <v>5</v>
      </c>
      <c r="W66" s="1" t="s">
        <v>5</v>
      </c>
      <c r="X66" s="1" t="s">
        <v>5</v>
      </c>
      <c r="Y66" s="1" t="s">
        <v>5</v>
      </c>
      <c r="Z66" s="1" t="s">
        <v>5</v>
      </c>
      <c r="AA66" s="1" t="s">
        <v>5</v>
      </c>
      <c r="AB66" s="1" t="s">
        <v>5</v>
      </c>
      <c r="AC66" s="1" t="s">
        <v>5</v>
      </c>
      <c r="AD66" s="1" t="s">
        <v>5</v>
      </c>
      <c r="AE66" s="1" t="s">
        <v>5</v>
      </c>
      <c r="AF66" s="1" t="s">
        <v>5</v>
      </c>
      <c r="AG66" s="1"/>
    </row>
    <row r="67" spans="1:33" x14ac:dyDescent="0.3">
      <c r="A67" s="4">
        <v>1956</v>
      </c>
      <c r="B67" s="1">
        <v>542196.25836177939</v>
      </c>
      <c r="C67" s="1">
        <v>524607.45304116374</v>
      </c>
      <c r="D67" s="1">
        <v>418790.79387645435</v>
      </c>
      <c r="E67" s="1">
        <v>2434946.8477280699</v>
      </c>
      <c r="F67" s="1">
        <v>1622263.4533143963</v>
      </c>
      <c r="G67" s="1">
        <v>332851.37392375944</v>
      </c>
      <c r="H67" s="1">
        <v>10626.735268086388</v>
      </c>
      <c r="I67" s="1">
        <v>457168.92668095813</v>
      </c>
      <c r="J67" s="1">
        <v>917286.80518329749</v>
      </c>
      <c r="K67" s="1">
        <v>91.737854303750026</v>
      </c>
      <c r="L67" s="1">
        <v>0</v>
      </c>
      <c r="M67" s="1">
        <v>0</v>
      </c>
      <c r="N67" s="1">
        <v>2573803.0941002895</v>
      </c>
      <c r="O67" s="1">
        <v>265640.69750490139</v>
      </c>
      <c r="P67" s="1">
        <v>39637.71527973815</v>
      </c>
      <c r="Q67" s="1"/>
      <c r="R67" s="1" t="s">
        <v>5</v>
      </c>
      <c r="S67" s="1" t="str">
        <f t="shared" si="0"/>
        <v>.</v>
      </c>
      <c r="T67" s="1" t="s">
        <v>5</v>
      </c>
      <c r="U67" s="1" t="s">
        <v>5</v>
      </c>
      <c r="V67" s="1" t="s">
        <v>5</v>
      </c>
      <c r="W67" s="1" t="s">
        <v>5</v>
      </c>
      <c r="X67" s="1" t="s">
        <v>5</v>
      </c>
      <c r="Y67" s="1" t="s">
        <v>5</v>
      </c>
      <c r="Z67" s="1" t="s">
        <v>5</v>
      </c>
      <c r="AA67" s="1" t="s">
        <v>5</v>
      </c>
      <c r="AB67" s="1" t="s">
        <v>5</v>
      </c>
      <c r="AC67" s="1" t="s">
        <v>5</v>
      </c>
      <c r="AD67" s="1" t="s">
        <v>5</v>
      </c>
      <c r="AE67" s="1" t="s">
        <v>5</v>
      </c>
      <c r="AF67" s="1" t="s">
        <v>5</v>
      </c>
      <c r="AG67" s="1"/>
    </row>
    <row r="68" spans="1:33" x14ac:dyDescent="0.3">
      <c r="A68" s="4">
        <v>1955</v>
      </c>
      <c r="B68" s="1">
        <v>516808.94336268824</v>
      </c>
      <c r="C68" s="1">
        <v>500043.7006068186</v>
      </c>
      <c r="D68" s="1">
        <v>395382.56472558051</v>
      </c>
      <c r="E68" s="1">
        <v>2324645.1909585078</v>
      </c>
      <c r="F68" s="1">
        <v>1478007.9239315034</v>
      </c>
      <c r="G68" s="1">
        <v>294902.26166613324</v>
      </c>
      <c r="H68" s="1">
        <v>14608.867002532703</v>
      </c>
      <c r="I68" s="1">
        <v>436809.06136194884</v>
      </c>
      <c r="J68" s="1">
        <v>775013.74968547991</v>
      </c>
      <c r="K68" s="1">
        <v>77.509125881127574</v>
      </c>
      <c r="L68" s="1">
        <v>0</v>
      </c>
      <c r="M68" s="1">
        <v>0</v>
      </c>
      <c r="N68" s="1">
        <v>2205389.032633116</v>
      </c>
      <c r="O68" s="1">
        <v>244629.66072624939</v>
      </c>
      <c r="P68" s="1">
        <v>36502.542464025501</v>
      </c>
      <c r="Q68" s="1"/>
      <c r="R68" s="1" t="s">
        <v>5</v>
      </c>
      <c r="S68" s="1" t="str">
        <f t="shared" ref="S68:S123" si="2">R68</f>
        <v>.</v>
      </c>
      <c r="T68" s="1" t="s">
        <v>5</v>
      </c>
      <c r="U68" s="1" t="s">
        <v>5</v>
      </c>
      <c r="V68" s="1" t="s">
        <v>5</v>
      </c>
      <c r="W68" s="1" t="s">
        <v>5</v>
      </c>
      <c r="X68" s="1" t="s">
        <v>5</v>
      </c>
      <c r="Y68" s="1" t="s">
        <v>5</v>
      </c>
      <c r="Z68" s="1" t="s">
        <v>5</v>
      </c>
      <c r="AA68" s="1" t="s">
        <v>5</v>
      </c>
      <c r="AB68" s="1" t="s">
        <v>5</v>
      </c>
      <c r="AC68" s="1" t="s">
        <v>5</v>
      </c>
      <c r="AD68" s="1" t="s">
        <v>5</v>
      </c>
      <c r="AE68" s="1" t="s">
        <v>5</v>
      </c>
      <c r="AF68" s="1" t="s">
        <v>5</v>
      </c>
      <c r="AG68" s="1"/>
    </row>
    <row r="69" spans="1:33" x14ac:dyDescent="0.3">
      <c r="A69" s="4">
        <v>1954</v>
      </c>
      <c r="B69" s="1">
        <v>497934.34843995009</v>
      </c>
      <c r="C69" s="1">
        <v>481781.39610564214</v>
      </c>
      <c r="D69" s="1">
        <v>357992.16684253589</v>
      </c>
      <c r="E69" s="1">
        <v>2028492.797440232</v>
      </c>
      <c r="F69" s="1">
        <v>1354534.9708156374</v>
      </c>
      <c r="G69" s="1">
        <v>268854.49313815706</v>
      </c>
      <c r="H69" s="1">
        <v>12062.154846782152</v>
      </c>
      <c r="I69" s="1">
        <v>446160.90351066965</v>
      </c>
      <c r="J69" s="1">
        <v>605783.69419860211</v>
      </c>
      <c r="K69" s="1">
        <v>60.584427862639807</v>
      </c>
      <c r="L69" s="1">
        <v>0</v>
      </c>
      <c r="M69" s="1">
        <v>0</v>
      </c>
      <c r="N69" s="1">
        <v>1806737.7875730323</v>
      </c>
      <c r="O69" s="1">
        <v>216052.4700735833</v>
      </c>
      <c r="P69" s="1">
        <v>32238.382050261069</v>
      </c>
      <c r="Q69" s="1"/>
      <c r="R69" s="1" t="s">
        <v>5</v>
      </c>
      <c r="S69" s="1" t="str">
        <f t="shared" si="2"/>
        <v>.</v>
      </c>
      <c r="T69" s="1" t="s">
        <v>5</v>
      </c>
      <c r="U69" s="1" t="s">
        <v>5</v>
      </c>
      <c r="V69" s="1" t="s">
        <v>5</v>
      </c>
      <c r="W69" s="1" t="s">
        <v>5</v>
      </c>
      <c r="X69" s="1" t="s">
        <v>5</v>
      </c>
      <c r="Y69" s="1" t="s">
        <v>5</v>
      </c>
      <c r="Z69" s="1" t="s">
        <v>5</v>
      </c>
      <c r="AA69" s="1" t="s">
        <v>5</v>
      </c>
      <c r="AB69" s="1" t="s">
        <v>5</v>
      </c>
      <c r="AC69" s="1" t="s">
        <v>5</v>
      </c>
      <c r="AD69" s="1" t="s">
        <v>5</v>
      </c>
      <c r="AE69" s="1" t="s">
        <v>5</v>
      </c>
      <c r="AF69" s="1" t="s">
        <v>5</v>
      </c>
      <c r="AG69" s="1"/>
    </row>
    <row r="70" spans="1:33" x14ac:dyDescent="0.3">
      <c r="A70" s="4">
        <v>1953</v>
      </c>
      <c r="B70" s="1">
        <v>483824.83361710602</v>
      </c>
      <c r="C70" s="1">
        <v>468129.59286888904</v>
      </c>
      <c r="D70" s="1">
        <v>345875.5766583911</v>
      </c>
      <c r="E70" s="1">
        <v>1988451.7850512816</v>
      </c>
      <c r="F70" s="1">
        <v>1336197.4035212018</v>
      </c>
      <c r="G70" s="1">
        <v>237568.20211660257</v>
      </c>
      <c r="H70" s="1">
        <v>12571.497277932262</v>
      </c>
      <c r="I70" s="1">
        <v>487751.05597007612</v>
      </c>
      <c r="J70" s="1">
        <v>453776.16648251296</v>
      </c>
      <c r="K70" s="1">
        <v>45.382154863732673</v>
      </c>
      <c r="L70" s="1">
        <v>0</v>
      </c>
      <c r="M70" s="1">
        <v>0</v>
      </c>
      <c r="N70" s="1">
        <v>1773401.3735813322</v>
      </c>
      <c r="O70" s="1">
        <v>206060.45146210532</v>
      </c>
      <c r="P70" s="1">
        <v>30747.417779681629</v>
      </c>
      <c r="Q70" s="1"/>
      <c r="R70" s="1" t="s">
        <v>5</v>
      </c>
      <c r="S70" s="1" t="str">
        <f t="shared" si="2"/>
        <v>.</v>
      </c>
      <c r="T70" s="1" t="s">
        <v>5</v>
      </c>
      <c r="U70" s="1" t="s">
        <v>5</v>
      </c>
      <c r="V70" s="1" t="s">
        <v>5</v>
      </c>
      <c r="W70" s="1" t="s">
        <v>5</v>
      </c>
      <c r="X70" s="1" t="s">
        <v>5</v>
      </c>
      <c r="Y70" s="1" t="s">
        <v>5</v>
      </c>
      <c r="Z70" s="1" t="s">
        <v>5</v>
      </c>
      <c r="AA70" s="1" t="s">
        <v>5</v>
      </c>
      <c r="AB70" s="1" t="s">
        <v>5</v>
      </c>
      <c r="AC70" s="1" t="s">
        <v>5</v>
      </c>
      <c r="AD70" s="1" t="s">
        <v>5</v>
      </c>
      <c r="AE70" s="1" t="s">
        <v>5</v>
      </c>
      <c r="AF70" s="1" t="s">
        <v>5</v>
      </c>
      <c r="AG70" s="1"/>
    </row>
    <row r="71" spans="1:33" x14ac:dyDescent="0.3">
      <c r="A71" s="4">
        <v>1952</v>
      </c>
      <c r="B71" s="1">
        <v>479085.76351418416</v>
      </c>
      <c r="C71" s="1">
        <v>463544.25783911743</v>
      </c>
      <c r="D71" s="1">
        <v>320049.18503159069</v>
      </c>
      <c r="E71" s="1">
        <v>1861529.3306863061</v>
      </c>
      <c r="F71" s="1">
        <v>1234729.5311586587</v>
      </c>
      <c r="G71" s="1">
        <v>200065.69200704643</v>
      </c>
      <c r="H71" s="1">
        <v>10811.950697595517</v>
      </c>
      <c r="I71" s="1">
        <v>494647.35619704146</v>
      </c>
      <c r="J71" s="1">
        <v>339957.72208425886</v>
      </c>
      <c r="K71" s="1">
        <v>33.999172125634708</v>
      </c>
      <c r="L71" s="1">
        <v>0</v>
      </c>
      <c r="M71" s="1">
        <v>0</v>
      </c>
      <c r="N71" s="1">
        <v>1662434.3278210536</v>
      </c>
      <c r="O71" s="1">
        <v>188226.39104245839</v>
      </c>
      <c r="P71" s="1">
        <v>28086.299149007315</v>
      </c>
      <c r="Q71" s="1"/>
      <c r="R71" s="1" t="s">
        <v>5</v>
      </c>
      <c r="S71" s="1" t="str">
        <f t="shared" si="2"/>
        <v>.</v>
      </c>
      <c r="T71" s="1" t="s">
        <v>5</v>
      </c>
      <c r="U71" s="1" t="s">
        <v>5</v>
      </c>
      <c r="V71" s="1" t="s">
        <v>5</v>
      </c>
      <c r="W71" s="1" t="s">
        <v>5</v>
      </c>
      <c r="X71" s="1" t="s">
        <v>5</v>
      </c>
      <c r="Y71" s="1" t="s">
        <v>5</v>
      </c>
      <c r="Z71" s="1" t="s">
        <v>5</v>
      </c>
      <c r="AA71" s="1" t="s">
        <v>5</v>
      </c>
      <c r="AB71" s="1" t="s">
        <v>5</v>
      </c>
      <c r="AC71" s="1" t="s">
        <v>5</v>
      </c>
      <c r="AD71" s="1" t="s">
        <v>5</v>
      </c>
      <c r="AE71" s="1" t="s">
        <v>5</v>
      </c>
      <c r="AF71" s="1" t="s">
        <v>5</v>
      </c>
      <c r="AG71" s="1"/>
    </row>
    <row r="72" spans="1:33" x14ac:dyDescent="0.3">
      <c r="A72" s="4">
        <v>1951</v>
      </c>
      <c r="B72" s="1">
        <v>459418.12560255651</v>
      </c>
      <c r="C72" s="1">
        <v>444514.63660320279</v>
      </c>
      <c r="D72" s="1">
        <v>289107.01012301003</v>
      </c>
      <c r="E72" s="1">
        <v>1700609.7903307122</v>
      </c>
      <c r="F72" s="1">
        <v>1090178.2345613395</v>
      </c>
      <c r="G72" s="1">
        <v>173631.67297263123</v>
      </c>
      <c r="H72" s="1">
        <v>10418.367909888613</v>
      </c>
      <c r="I72" s="1">
        <v>483027.22171872557</v>
      </c>
      <c r="J72" s="1">
        <v>248603.4443435549</v>
      </c>
      <c r="K72" s="1">
        <v>24.862830717424497</v>
      </c>
      <c r="L72" s="1">
        <v>0</v>
      </c>
      <c r="M72" s="1">
        <v>0</v>
      </c>
      <c r="N72" s="1">
        <v>1524870.186994832</v>
      </c>
      <c r="O72" s="1">
        <v>167846.17590747398</v>
      </c>
      <c r="P72" s="1">
        <v>25045.254713994054</v>
      </c>
      <c r="Q72" s="1"/>
      <c r="R72" s="1" t="s">
        <v>5</v>
      </c>
      <c r="S72" s="1" t="str">
        <f t="shared" si="2"/>
        <v>.</v>
      </c>
      <c r="T72" s="1" t="s">
        <v>5</v>
      </c>
      <c r="U72" s="1" t="s">
        <v>5</v>
      </c>
      <c r="V72" s="1" t="s">
        <v>5</v>
      </c>
      <c r="W72" s="1" t="s">
        <v>5</v>
      </c>
      <c r="X72" s="1" t="s">
        <v>5</v>
      </c>
      <c r="Y72" s="1" t="s">
        <v>5</v>
      </c>
      <c r="Z72" s="1" t="s">
        <v>5</v>
      </c>
      <c r="AA72" s="1" t="s">
        <v>5</v>
      </c>
      <c r="AB72" s="1" t="s">
        <v>5</v>
      </c>
      <c r="AC72" s="1" t="s">
        <v>5</v>
      </c>
      <c r="AD72" s="1" t="s">
        <v>5</v>
      </c>
      <c r="AE72" s="1" t="s">
        <v>5</v>
      </c>
      <c r="AF72" s="1" t="s">
        <v>5</v>
      </c>
      <c r="AG72" s="1"/>
    </row>
    <row r="73" spans="1:33" x14ac:dyDescent="0.3">
      <c r="A73" s="4">
        <v>1950</v>
      </c>
      <c r="B73" s="1">
        <v>424301.47848233749</v>
      </c>
      <c r="C73" s="1">
        <v>410537.17084062815</v>
      </c>
      <c r="D73" s="1">
        <v>260375.38898896184</v>
      </c>
      <c r="E73" s="1">
        <v>1563865.955568447</v>
      </c>
      <c r="F73" s="1">
        <v>959256.87709550257</v>
      </c>
      <c r="G73" s="1">
        <v>159111.06799619223</v>
      </c>
      <c r="H73" s="1">
        <v>14608.867002532699</v>
      </c>
      <c r="I73" s="1">
        <v>482313.27148971544</v>
      </c>
      <c r="J73" s="1">
        <v>128045.74994803582</v>
      </c>
      <c r="K73" s="1">
        <v>12.805855580360207</v>
      </c>
      <c r="L73" s="1">
        <v>0</v>
      </c>
      <c r="M73" s="1">
        <v>0</v>
      </c>
      <c r="N73" s="1">
        <v>1397018.7668591645</v>
      </c>
      <c r="O73" s="1">
        <v>149225.07278640554</v>
      </c>
      <c r="P73" s="1">
        <v>22266.697095977197</v>
      </c>
      <c r="Q73" s="1"/>
      <c r="R73" s="1" t="s">
        <v>5</v>
      </c>
      <c r="S73" s="1" t="str">
        <f t="shared" si="2"/>
        <v>.</v>
      </c>
      <c r="T73" s="1" t="s">
        <v>5</v>
      </c>
      <c r="U73" s="1" t="s">
        <v>5</v>
      </c>
      <c r="V73" s="1" t="s">
        <v>5</v>
      </c>
      <c r="W73" s="1" t="s">
        <v>5</v>
      </c>
      <c r="X73" s="1" t="s">
        <v>5</v>
      </c>
      <c r="Y73" s="1" t="s">
        <v>5</v>
      </c>
      <c r="Z73" s="1" t="s">
        <v>5</v>
      </c>
      <c r="AA73" s="1" t="s">
        <v>5</v>
      </c>
      <c r="AB73" s="1" t="s">
        <v>5</v>
      </c>
      <c r="AC73" s="1" t="s">
        <v>5</v>
      </c>
      <c r="AD73" s="1" t="s">
        <v>5</v>
      </c>
      <c r="AE73" s="1" t="s">
        <v>5</v>
      </c>
      <c r="AF73" s="1" t="s">
        <v>5</v>
      </c>
      <c r="AG73" s="1"/>
    </row>
    <row r="74" spans="1:33" x14ac:dyDescent="0.3">
      <c r="A74" s="4">
        <v>1949</v>
      </c>
      <c r="B74" s="1">
        <v>424525.36174582207</v>
      </c>
      <c r="C74" s="1">
        <v>410753.79134809907</v>
      </c>
      <c r="D74" s="1">
        <v>241692.21291240503</v>
      </c>
      <c r="E74" s="1">
        <v>1443742.9184015954</v>
      </c>
      <c r="F74" s="1">
        <v>930325.91407102894</v>
      </c>
      <c r="G74" s="1">
        <v>147523.55280302395</v>
      </c>
      <c r="H74" s="1">
        <v>15974.830795162541</v>
      </c>
      <c r="I74" s="1">
        <v>454171.95036424068</v>
      </c>
      <c r="J74" s="1">
        <v>43430.722204596947</v>
      </c>
      <c r="K74" s="1">
        <v>4.3435065711163281</v>
      </c>
      <c r="L74" s="1">
        <v>0</v>
      </c>
      <c r="M74" s="1">
        <v>0</v>
      </c>
      <c r="N74" s="1">
        <v>1324020.0047005499</v>
      </c>
      <c r="O74" s="1">
        <v>136739.36685813472</v>
      </c>
      <c r="P74" s="1">
        <v>20403.635971308206</v>
      </c>
      <c r="Q74" s="1"/>
      <c r="R74" s="1" t="s">
        <v>5</v>
      </c>
      <c r="S74" s="1" t="str">
        <f t="shared" si="2"/>
        <v>.</v>
      </c>
      <c r="T74" s="1" t="s">
        <v>5</v>
      </c>
      <c r="U74" s="1" t="s">
        <v>5</v>
      </c>
      <c r="V74" s="1" t="s">
        <v>5</v>
      </c>
      <c r="W74" s="1" t="s">
        <v>5</v>
      </c>
      <c r="X74" s="1" t="s">
        <v>5</v>
      </c>
      <c r="Y74" s="1" t="s">
        <v>5</v>
      </c>
      <c r="Z74" s="1" t="s">
        <v>5</v>
      </c>
      <c r="AA74" s="1" t="s">
        <v>5</v>
      </c>
      <c r="AB74" s="1" t="s">
        <v>5</v>
      </c>
      <c r="AC74" s="1" t="s">
        <v>5</v>
      </c>
      <c r="AD74" s="1" t="s">
        <v>5</v>
      </c>
      <c r="AE74" s="1" t="s">
        <v>5</v>
      </c>
      <c r="AF74" s="1" t="s">
        <v>5</v>
      </c>
      <c r="AG74" s="1"/>
    </row>
    <row r="75" spans="1:33" x14ac:dyDescent="0.3">
      <c r="A75" s="4">
        <v>1948</v>
      </c>
      <c r="B75" s="1">
        <v>411172.3599165671</v>
      </c>
      <c r="C75" s="1">
        <v>397833.95988104877</v>
      </c>
      <c r="D75" s="1">
        <v>231189.57654238533</v>
      </c>
      <c r="E75" s="1">
        <v>1318331.445636203</v>
      </c>
      <c r="F75" s="1">
        <v>958443.51725583011</v>
      </c>
      <c r="G75" s="1">
        <v>128078.25386948837</v>
      </c>
      <c r="H75" s="1">
        <v>13590.182140232479</v>
      </c>
      <c r="I75" s="1">
        <v>449133.49366996036</v>
      </c>
      <c r="J75" s="1">
        <v>3687.5141494469103</v>
      </c>
      <c r="K75" s="1">
        <v>0.36878829377402778</v>
      </c>
      <c r="L75" s="1">
        <v>0</v>
      </c>
      <c r="M75" s="1">
        <v>0</v>
      </c>
      <c r="N75" s="1">
        <v>1292911.5440091663</v>
      </c>
      <c r="O75" s="1">
        <v>129118.41762379531</v>
      </c>
      <c r="P75" s="1">
        <v>19266.472054975275</v>
      </c>
      <c r="Q75" s="1"/>
      <c r="R75" s="1" t="s">
        <v>5</v>
      </c>
      <c r="S75" s="1" t="str">
        <f t="shared" si="2"/>
        <v>.</v>
      </c>
      <c r="T75" s="1" t="s">
        <v>5</v>
      </c>
      <c r="U75" s="1" t="s">
        <v>5</v>
      </c>
      <c r="V75" s="1" t="s">
        <v>5</v>
      </c>
      <c r="W75" s="1" t="s">
        <v>5</v>
      </c>
      <c r="X75" s="1" t="s">
        <v>5</v>
      </c>
      <c r="Y75" s="1" t="s">
        <v>5</v>
      </c>
      <c r="Z75" s="1" t="s">
        <v>5</v>
      </c>
      <c r="AA75" s="1" t="s">
        <v>5</v>
      </c>
      <c r="AB75" s="1" t="s">
        <v>5</v>
      </c>
      <c r="AC75" s="1" t="s">
        <v>5</v>
      </c>
      <c r="AD75" s="1" t="s">
        <v>5</v>
      </c>
      <c r="AE75" s="1" t="s">
        <v>5</v>
      </c>
      <c r="AF75" s="1" t="s">
        <v>5</v>
      </c>
      <c r="AG75" s="1"/>
    </row>
    <row r="76" spans="1:33" x14ac:dyDescent="0.3">
      <c r="A76" s="4">
        <v>1947</v>
      </c>
      <c r="B76" s="1">
        <v>367202.89780248678</v>
      </c>
      <c r="C76" s="1">
        <v>355290.86376866954</v>
      </c>
      <c r="D76" s="1">
        <v>207426.54188554711</v>
      </c>
      <c r="E76" s="1">
        <v>1111326.9664933265</v>
      </c>
      <c r="F76" s="1">
        <v>911988.34677659336</v>
      </c>
      <c r="G76" s="1">
        <v>104142.7927986001</v>
      </c>
      <c r="H76" s="1">
        <v>14307.891929580363</v>
      </c>
      <c r="I76" s="1">
        <v>404531.4589065538</v>
      </c>
      <c r="J76" s="1">
        <v>216.91259702628886</v>
      </c>
      <c r="K76" s="1">
        <v>2.1693429045531051E-2</v>
      </c>
      <c r="L76" s="1">
        <v>0</v>
      </c>
      <c r="M76" s="1">
        <v>0</v>
      </c>
      <c r="N76" s="1">
        <v>1091159.3708059301</v>
      </c>
      <c r="O76" s="1">
        <v>114359.7800860885</v>
      </c>
      <c r="P76" s="1">
        <v>17064.254254272189</v>
      </c>
      <c r="Q76" s="1"/>
      <c r="R76" s="1" t="s">
        <v>5</v>
      </c>
      <c r="S76" s="1" t="str">
        <f t="shared" si="2"/>
        <v>.</v>
      </c>
      <c r="T76" s="1" t="s">
        <v>5</v>
      </c>
      <c r="U76" s="1" t="s">
        <v>5</v>
      </c>
      <c r="V76" s="1" t="s">
        <v>5</v>
      </c>
      <c r="W76" s="1" t="s">
        <v>5</v>
      </c>
      <c r="X76" s="1" t="s">
        <v>5</v>
      </c>
      <c r="Y76" s="1" t="s">
        <v>5</v>
      </c>
      <c r="Z76" s="1" t="s">
        <v>5</v>
      </c>
      <c r="AA76" s="1" t="s">
        <v>5</v>
      </c>
      <c r="AB76" s="1" t="s">
        <v>5</v>
      </c>
      <c r="AC76" s="1" t="s">
        <v>5</v>
      </c>
      <c r="AD76" s="1" t="s">
        <v>5</v>
      </c>
      <c r="AE76" s="1" t="s">
        <v>5</v>
      </c>
      <c r="AF76" s="1" t="s">
        <v>5</v>
      </c>
      <c r="AG76" s="1"/>
    </row>
    <row r="77" spans="1:33" x14ac:dyDescent="0.3">
      <c r="A77" s="4">
        <v>1946</v>
      </c>
      <c r="B77" s="1">
        <v>211823.43327466422</v>
      </c>
      <c r="C77" s="1">
        <v>204951.89723443112</v>
      </c>
      <c r="D77" s="1">
        <v>172361.89129566011</v>
      </c>
      <c r="E77" s="1">
        <v>872591.87375920604</v>
      </c>
      <c r="F77" s="1">
        <v>797072.9250647974</v>
      </c>
      <c r="G77" s="1">
        <v>80847.05912900134</v>
      </c>
      <c r="H77" s="1">
        <v>15720.159579587485</v>
      </c>
      <c r="I77" s="1">
        <v>362164.74734038388</v>
      </c>
      <c r="J77" s="1">
        <v>24.10139966958765</v>
      </c>
      <c r="K77" s="1">
        <v>2.4103810050590054E-3</v>
      </c>
      <c r="L77" s="1">
        <v>0</v>
      </c>
      <c r="M77" s="1">
        <v>0</v>
      </c>
      <c r="N77" s="1">
        <v>861547.89528499392</v>
      </c>
      <c r="O77" s="1">
        <v>95283.760877575653</v>
      </c>
      <c r="P77" s="1">
        <v>14217.816094908836</v>
      </c>
      <c r="Q77" s="1"/>
      <c r="R77" s="1" t="s">
        <v>5</v>
      </c>
      <c r="S77" s="1" t="str">
        <f t="shared" si="2"/>
        <v>.</v>
      </c>
      <c r="T77" s="1" t="s">
        <v>5</v>
      </c>
      <c r="U77" s="1" t="s">
        <v>5</v>
      </c>
      <c r="V77" s="1" t="s">
        <v>5</v>
      </c>
      <c r="W77" s="1" t="s">
        <v>5</v>
      </c>
      <c r="X77" s="1" t="s">
        <v>5</v>
      </c>
      <c r="Y77" s="1" t="s">
        <v>5</v>
      </c>
      <c r="Z77" s="1" t="s">
        <v>5</v>
      </c>
      <c r="AA77" s="1" t="s">
        <v>5</v>
      </c>
      <c r="AB77" s="1" t="s">
        <v>5</v>
      </c>
      <c r="AC77" s="1" t="s">
        <v>5</v>
      </c>
      <c r="AD77" s="1" t="s">
        <v>5</v>
      </c>
      <c r="AE77" s="1" t="s">
        <v>5</v>
      </c>
      <c r="AF77" s="1" t="s">
        <v>5</v>
      </c>
      <c r="AG77" s="1"/>
    </row>
    <row r="78" spans="1:33" x14ac:dyDescent="0.3">
      <c r="A78" s="4">
        <v>1945</v>
      </c>
      <c r="B78" s="1">
        <v>183918.54984925938</v>
      </c>
      <c r="C78" s="1">
        <v>177952.24610175157</v>
      </c>
      <c r="D78" s="1">
        <v>146199.99415409486</v>
      </c>
      <c r="E78" s="1">
        <v>694296.04500840721</v>
      </c>
      <c r="F78" s="1">
        <v>709052.60205150698</v>
      </c>
      <c r="G78" s="1">
        <v>62053.557925081492</v>
      </c>
      <c r="H78" s="1">
        <v>14099.52457138259</v>
      </c>
      <c r="I78" s="1">
        <v>338352.94612690684</v>
      </c>
      <c r="J78" s="1">
        <v>0</v>
      </c>
      <c r="K78" s="1">
        <v>0</v>
      </c>
      <c r="L78" s="1">
        <v>0</v>
      </c>
      <c r="M78" s="1">
        <v>0</v>
      </c>
      <c r="N78" s="1">
        <v>691812.40185453382</v>
      </c>
      <c r="O78" s="1">
        <v>81038.921032166691</v>
      </c>
      <c r="P78" s="1">
        <v>12092.264884942708</v>
      </c>
      <c r="Q78" s="1"/>
      <c r="R78" s="1" t="s">
        <v>5</v>
      </c>
      <c r="S78" s="1" t="str">
        <f t="shared" si="2"/>
        <v>.</v>
      </c>
      <c r="T78" s="1" t="s">
        <v>5</v>
      </c>
      <c r="U78" s="1" t="s">
        <v>5</v>
      </c>
      <c r="V78" s="1" t="s">
        <v>5</v>
      </c>
      <c r="W78" s="1" t="s">
        <v>5</v>
      </c>
      <c r="X78" s="1" t="s">
        <v>5</v>
      </c>
      <c r="Y78" s="1" t="s">
        <v>5</v>
      </c>
      <c r="Z78" s="1" t="s">
        <v>5</v>
      </c>
      <c r="AA78" s="1" t="s">
        <v>5</v>
      </c>
      <c r="AB78" s="1" t="s">
        <v>5</v>
      </c>
      <c r="AC78" s="1" t="s">
        <v>5</v>
      </c>
      <c r="AD78" s="1" t="s">
        <v>5</v>
      </c>
      <c r="AE78" s="1" t="s">
        <v>5</v>
      </c>
      <c r="AF78" s="1" t="s">
        <v>5</v>
      </c>
      <c r="AG78" s="1"/>
    </row>
    <row r="79" spans="1:33" x14ac:dyDescent="0.3">
      <c r="A79" s="4">
        <v>1944</v>
      </c>
      <c r="B79" s="1">
        <v>206749.81810640881</v>
      </c>
      <c r="C79" s="1">
        <v>200042.86975576211</v>
      </c>
      <c r="D79" s="1">
        <v>133597.03749794324</v>
      </c>
      <c r="E79" s="1">
        <v>669364.8486152871</v>
      </c>
      <c r="F79" s="1">
        <v>624699.79249710357</v>
      </c>
      <c r="G79" s="1">
        <v>49596.979092425579</v>
      </c>
      <c r="H79" s="1">
        <v>10974.014198416007</v>
      </c>
      <c r="I79" s="1">
        <v>314980.27179037279</v>
      </c>
      <c r="J79" s="1">
        <v>0</v>
      </c>
      <c r="K79" s="1">
        <v>0</v>
      </c>
      <c r="L79" s="1">
        <v>0</v>
      </c>
      <c r="M79" s="1">
        <v>0</v>
      </c>
      <c r="N79" s="1">
        <v>600683.74564299698</v>
      </c>
      <c r="O79" s="1">
        <v>74252.619235757535</v>
      </c>
      <c r="P79" s="1">
        <v>11079.643321548874</v>
      </c>
      <c r="Q79" s="1"/>
      <c r="R79" s="1" t="s">
        <v>5</v>
      </c>
      <c r="S79" s="1" t="str">
        <f t="shared" si="2"/>
        <v>.</v>
      </c>
      <c r="T79" s="1" t="s">
        <v>5</v>
      </c>
      <c r="U79" s="1" t="s">
        <v>5</v>
      </c>
      <c r="V79" s="1" t="s">
        <v>5</v>
      </c>
      <c r="W79" s="1" t="s">
        <v>5</v>
      </c>
      <c r="X79" s="1" t="s">
        <v>5</v>
      </c>
      <c r="Y79" s="1" t="s">
        <v>5</v>
      </c>
      <c r="Z79" s="1" t="s">
        <v>5</v>
      </c>
      <c r="AA79" s="1" t="s">
        <v>5</v>
      </c>
      <c r="AB79" s="1" t="s">
        <v>5</v>
      </c>
      <c r="AC79" s="1" t="s">
        <v>5</v>
      </c>
      <c r="AD79" s="1" t="s">
        <v>5</v>
      </c>
      <c r="AE79" s="1" t="s">
        <v>5</v>
      </c>
      <c r="AF79" s="1" t="s">
        <v>5</v>
      </c>
      <c r="AG79" s="1"/>
    </row>
    <row r="80" spans="1:33" x14ac:dyDescent="0.3">
      <c r="A80" s="4">
        <v>1943</v>
      </c>
      <c r="B80" s="1">
        <v>204213.01052228108</v>
      </c>
      <c r="C80" s="1">
        <v>197588.3560164276</v>
      </c>
      <c r="D80" s="1">
        <v>120023.0457236341</v>
      </c>
      <c r="E80" s="1">
        <v>679186.22901257686</v>
      </c>
      <c r="F80" s="1">
        <v>520786.91116196889</v>
      </c>
      <c r="G80" s="1">
        <v>40773.56908596096</v>
      </c>
      <c r="H80" s="1">
        <v>10117.392836936277</v>
      </c>
      <c r="I80" s="1">
        <v>248230.37273679383</v>
      </c>
      <c r="J80" s="1">
        <v>0</v>
      </c>
      <c r="K80" s="1">
        <v>0</v>
      </c>
      <c r="L80" s="1">
        <v>0</v>
      </c>
      <c r="M80" s="1">
        <v>0</v>
      </c>
      <c r="N80" s="1">
        <v>520850.85477178276</v>
      </c>
      <c r="O80" s="1">
        <v>66888.005868241438</v>
      </c>
      <c r="P80" s="1">
        <v>9980.7286953306138</v>
      </c>
      <c r="Q80" s="1"/>
      <c r="R80" s="1" t="s">
        <v>5</v>
      </c>
      <c r="S80" s="1" t="str">
        <f t="shared" si="2"/>
        <v>.</v>
      </c>
      <c r="T80" s="1" t="s">
        <v>5</v>
      </c>
      <c r="U80" s="1" t="s">
        <v>5</v>
      </c>
      <c r="V80" s="1" t="s">
        <v>5</v>
      </c>
      <c r="W80" s="1" t="s">
        <v>5</v>
      </c>
      <c r="X80" s="1" t="s">
        <v>5</v>
      </c>
      <c r="Y80" s="1" t="s">
        <v>5</v>
      </c>
      <c r="Z80" s="1" t="s">
        <v>5</v>
      </c>
      <c r="AA80" s="1" t="s">
        <v>5</v>
      </c>
      <c r="AB80" s="1" t="s">
        <v>5</v>
      </c>
      <c r="AC80" s="1" t="s">
        <v>5</v>
      </c>
      <c r="AD80" s="1" t="s">
        <v>5</v>
      </c>
      <c r="AE80" s="1" t="s">
        <v>5</v>
      </c>
      <c r="AF80" s="1" t="s">
        <v>5</v>
      </c>
      <c r="AG80" s="1"/>
    </row>
    <row r="81" spans="1:33" x14ac:dyDescent="0.3">
      <c r="A81" s="4">
        <v>1942</v>
      </c>
      <c r="B81" s="1">
        <v>208652.42379450458</v>
      </c>
      <c r="C81" s="1">
        <v>201883.75506026301</v>
      </c>
      <c r="D81" s="1">
        <v>97160.147806538866</v>
      </c>
      <c r="E81" s="1">
        <v>602126.16743384174</v>
      </c>
      <c r="F81" s="1">
        <v>360638.82345723198</v>
      </c>
      <c r="G81" s="1">
        <v>40049.349386387941</v>
      </c>
      <c r="H81" s="1">
        <v>8311.5423992222513</v>
      </c>
      <c r="I81" s="1">
        <v>208190.3001252657</v>
      </c>
      <c r="J81" s="1">
        <v>0</v>
      </c>
      <c r="K81" s="1">
        <v>0</v>
      </c>
      <c r="L81" s="1">
        <v>0</v>
      </c>
      <c r="M81" s="1">
        <v>0</v>
      </c>
      <c r="N81" s="1">
        <v>400700.50373565411</v>
      </c>
      <c r="O81" s="1">
        <v>54292.573409254022</v>
      </c>
      <c r="P81" s="1">
        <v>8101.2946691294765</v>
      </c>
      <c r="Q81" s="1"/>
      <c r="R81" s="1" t="s">
        <v>5</v>
      </c>
      <c r="S81" s="1" t="str">
        <f t="shared" si="2"/>
        <v>.</v>
      </c>
      <c r="T81" s="1" t="s">
        <v>5</v>
      </c>
      <c r="U81" s="1" t="s">
        <v>5</v>
      </c>
      <c r="V81" s="1" t="s">
        <v>5</v>
      </c>
      <c r="W81" s="1" t="s">
        <v>5</v>
      </c>
      <c r="X81" s="1" t="s">
        <v>5</v>
      </c>
      <c r="Y81" s="1" t="s">
        <v>5</v>
      </c>
      <c r="Z81" s="1" t="s">
        <v>5</v>
      </c>
      <c r="AA81" s="1" t="s">
        <v>5</v>
      </c>
      <c r="AB81" s="1" t="s">
        <v>5</v>
      </c>
      <c r="AC81" s="1" t="s">
        <v>5</v>
      </c>
      <c r="AD81" s="1" t="s">
        <v>5</v>
      </c>
      <c r="AE81" s="1" t="s">
        <v>5</v>
      </c>
      <c r="AF81" s="1" t="s">
        <v>5</v>
      </c>
      <c r="AG81" s="1"/>
    </row>
    <row r="82" spans="1:33" x14ac:dyDescent="0.3">
      <c r="A82" s="4">
        <v>1941</v>
      </c>
      <c r="B82" s="1">
        <v>223873.26929927088</v>
      </c>
      <c r="C82" s="1">
        <v>216610.83749627002</v>
      </c>
      <c r="D82" s="1">
        <v>100167.80154189628</v>
      </c>
      <c r="E82" s="1">
        <v>637634.23502404324</v>
      </c>
      <c r="F82" s="1">
        <v>381332.81244264328</v>
      </c>
      <c r="G82" s="1">
        <v>32622.05118701794</v>
      </c>
      <c r="H82" s="1">
        <v>8635.6694008632294</v>
      </c>
      <c r="I82" s="1">
        <v>196657.68480114633</v>
      </c>
      <c r="J82" s="1">
        <v>0</v>
      </c>
      <c r="K82" s="1">
        <v>0</v>
      </c>
      <c r="L82" s="1">
        <v>0</v>
      </c>
      <c r="M82" s="1">
        <v>0</v>
      </c>
      <c r="N82" s="1">
        <v>398430.8009533328</v>
      </c>
      <c r="O82" s="1">
        <v>56124.057086787609</v>
      </c>
      <c r="P82" s="1">
        <v>8374.5804616734622</v>
      </c>
      <c r="Q82" s="1"/>
      <c r="R82" s="1" t="s">
        <v>5</v>
      </c>
      <c r="S82" s="1" t="str">
        <f t="shared" si="2"/>
        <v>.</v>
      </c>
      <c r="T82" s="1" t="s">
        <v>5</v>
      </c>
      <c r="U82" s="1" t="s">
        <v>5</v>
      </c>
      <c r="V82" s="1" t="s">
        <v>5</v>
      </c>
      <c r="W82" s="1" t="s">
        <v>5</v>
      </c>
      <c r="X82" s="1" t="s">
        <v>5</v>
      </c>
      <c r="Y82" s="1" t="s">
        <v>5</v>
      </c>
      <c r="Z82" s="1" t="s">
        <v>5</v>
      </c>
      <c r="AA82" s="1" t="s">
        <v>5</v>
      </c>
      <c r="AB82" s="1" t="s">
        <v>5</v>
      </c>
      <c r="AC82" s="1" t="s">
        <v>5</v>
      </c>
      <c r="AD82" s="1" t="s">
        <v>5</v>
      </c>
      <c r="AE82" s="1" t="s">
        <v>5</v>
      </c>
      <c r="AF82" s="1" t="s">
        <v>5</v>
      </c>
      <c r="AG82" s="1"/>
    </row>
    <row r="83" spans="1:33" x14ac:dyDescent="0.3">
      <c r="A83" s="4">
        <v>1940</v>
      </c>
      <c r="B83" s="1">
        <v>211823.43327466425</v>
      </c>
      <c r="C83" s="1">
        <v>204951.89723443115</v>
      </c>
      <c r="D83" s="1">
        <v>92946.480949737204</v>
      </c>
      <c r="E83" s="1">
        <v>615725.00183008914</v>
      </c>
      <c r="F83" s="1">
        <v>343187.12897895277</v>
      </c>
      <c r="G83" s="1">
        <v>30061.05010457095</v>
      </c>
      <c r="H83" s="1">
        <v>7038.1863213469742</v>
      </c>
      <c r="I83" s="1">
        <v>172283.1840836526</v>
      </c>
      <c r="J83" s="1">
        <v>0</v>
      </c>
      <c r="K83" s="1">
        <v>0</v>
      </c>
      <c r="L83" s="1">
        <v>0</v>
      </c>
      <c r="M83" s="1">
        <v>0</v>
      </c>
      <c r="N83" s="1">
        <v>354589.03436399897</v>
      </c>
      <c r="O83" s="1">
        <v>52218.275158317367</v>
      </c>
      <c r="P83" s="1">
        <v>7791.7771733234395</v>
      </c>
      <c r="Q83" s="1"/>
      <c r="R83" s="1" t="s">
        <v>5</v>
      </c>
      <c r="S83" s="1" t="str">
        <f t="shared" si="2"/>
        <v>.</v>
      </c>
      <c r="T83" s="1" t="s">
        <v>5</v>
      </c>
      <c r="U83" s="1" t="s">
        <v>5</v>
      </c>
      <c r="V83" s="1" t="s">
        <v>5</v>
      </c>
      <c r="W83" s="1" t="s">
        <v>5</v>
      </c>
      <c r="X83" s="1" t="s">
        <v>5</v>
      </c>
      <c r="Y83" s="1" t="s">
        <v>5</v>
      </c>
      <c r="Z83" s="1" t="s">
        <v>5</v>
      </c>
      <c r="AA83" s="1" t="s">
        <v>5</v>
      </c>
      <c r="AB83" s="1" t="s">
        <v>5</v>
      </c>
      <c r="AC83" s="1" t="s">
        <v>5</v>
      </c>
      <c r="AD83" s="1" t="s">
        <v>5</v>
      </c>
      <c r="AE83" s="1" t="s">
        <v>5</v>
      </c>
      <c r="AF83" s="1" t="s">
        <v>5</v>
      </c>
      <c r="AG83" s="1"/>
    </row>
    <row r="84" spans="1:33" x14ac:dyDescent="0.3">
      <c r="A84" s="4">
        <v>1939</v>
      </c>
      <c r="B84" s="1">
        <v>211189.23137863231</v>
      </c>
      <c r="C84" s="1">
        <v>204338.26879959751</v>
      </c>
      <c r="D84" s="1">
        <v>86899.591423561418</v>
      </c>
      <c r="E84" s="1">
        <v>599104.20423467574</v>
      </c>
      <c r="F84" s="1">
        <v>311738.64400540391</v>
      </c>
      <c r="G84" s="1">
        <v>28282.591150702949</v>
      </c>
      <c r="H84" s="1">
        <v>7501.2248951198017</v>
      </c>
      <c r="I84" s="1">
        <v>146745.67635189783</v>
      </c>
      <c r="J84" s="1">
        <v>0</v>
      </c>
      <c r="K84" s="1">
        <v>0</v>
      </c>
      <c r="L84" s="1">
        <v>0</v>
      </c>
      <c r="M84" s="1">
        <v>0</v>
      </c>
      <c r="N84" s="1">
        <v>318303.00626732514</v>
      </c>
      <c r="O84" s="1">
        <v>48952.622233926777</v>
      </c>
      <c r="P84" s="1">
        <v>7304.4910683129292</v>
      </c>
      <c r="Q84" s="1"/>
      <c r="R84" s="1" t="s">
        <v>5</v>
      </c>
      <c r="S84" s="1" t="str">
        <f t="shared" si="2"/>
        <v>.</v>
      </c>
      <c r="T84" s="1" t="s">
        <v>5</v>
      </c>
      <c r="U84" s="1" t="s">
        <v>5</v>
      </c>
      <c r="V84" s="1" t="s">
        <v>5</v>
      </c>
      <c r="W84" s="1" t="s">
        <v>5</v>
      </c>
      <c r="X84" s="1" t="s">
        <v>5</v>
      </c>
      <c r="Y84" s="1" t="s">
        <v>5</v>
      </c>
      <c r="Z84" s="1" t="s">
        <v>5</v>
      </c>
      <c r="AA84" s="1" t="s">
        <v>5</v>
      </c>
      <c r="AB84" s="1" t="s">
        <v>5</v>
      </c>
      <c r="AC84" s="1" t="s">
        <v>5</v>
      </c>
      <c r="AD84" s="1" t="s">
        <v>5</v>
      </c>
      <c r="AE84" s="1" t="s">
        <v>5</v>
      </c>
      <c r="AF84" s="1" t="s">
        <v>5</v>
      </c>
      <c r="AG84" s="1"/>
    </row>
    <row r="85" spans="1:33" x14ac:dyDescent="0.3">
      <c r="A85" s="4">
        <v>1938</v>
      </c>
      <c r="B85" s="1">
        <v>205481.41431434496</v>
      </c>
      <c r="C85" s="1">
        <v>198815.61288609487</v>
      </c>
      <c r="D85" s="1">
        <v>75253.08319545268</v>
      </c>
      <c r="E85" s="1">
        <v>590793.80543696904</v>
      </c>
      <c r="F85" s="1">
        <v>284843.54530689842</v>
      </c>
      <c r="G85" s="1">
        <v>27168.550407847808</v>
      </c>
      <c r="H85" s="1">
        <v>7779.0480393834987</v>
      </c>
      <c r="I85" s="1">
        <v>130915.03240748972</v>
      </c>
      <c r="J85" s="1">
        <v>0</v>
      </c>
      <c r="K85" s="1">
        <v>0</v>
      </c>
      <c r="L85" s="1">
        <v>0</v>
      </c>
      <c r="M85" s="1">
        <v>0</v>
      </c>
      <c r="N85" s="1">
        <v>293413.10699724738</v>
      </c>
      <c r="O85" s="1">
        <v>46732.315501972596</v>
      </c>
      <c r="P85" s="1">
        <v>6973.1868408300097</v>
      </c>
      <c r="Q85" s="1"/>
      <c r="R85" s="1" t="s">
        <v>5</v>
      </c>
      <c r="S85" s="1" t="str">
        <f t="shared" si="2"/>
        <v>.</v>
      </c>
      <c r="T85" s="1" t="s">
        <v>5</v>
      </c>
      <c r="U85" s="1" t="s">
        <v>5</v>
      </c>
      <c r="V85" s="1" t="s">
        <v>5</v>
      </c>
      <c r="W85" s="1" t="s">
        <v>5</v>
      </c>
      <c r="X85" s="1" t="s">
        <v>5</v>
      </c>
      <c r="Y85" s="1" t="s">
        <v>5</v>
      </c>
      <c r="Z85" s="1" t="s">
        <v>5</v>
      </c>
      <c r="AA85" s="1" t="s">
        <v>5</v>
      </c>
      <c r="AB85" s="1" t="s">
        <v>5</v>
      </c>
      <c r="AC85" s="1" t="s">
        <v>5</v>
      </c>
      <c r="AD85" s="1" t="s">
        <v>5</v>
      </c>
      <c r="AE85" s="1" t="s">
        <v>5</v>
      </c>
      <c r="AF85" s="1" t="s">
        <v>5</v>
      </c>
      <c r="AG85" s="1"/>
    </row>
    <row r="86" spans="1:33" x14ac:dyDescent="0.3">
      <c r="A86" s="4">
        <v>1937</v>
      </c>
      <c r="B86" s="1">
        <v>211189.23137863231</v>
      </c>
      <c r="C86" s="1">
        <v>204338.26879959751</v>
      </c>
      <c r="D86" s="1">
        <v>75796.062243250984</v>
      </c>
      <c r="E86" s="1">
        <v>657276.99581862276</v>
      </c>
      <c r="F86" s="1">
        <v>330076.21129983937</v>
      </c>
      <c r="G86" s="1">
        <v>25012.734603837493</v>
      </c>
      <c r="H86" s="1">
        <v>7339.1613942993108</v>
      </c>
      <c r="I86" s="1">
        <v>129303.37705144289</v>
      </c>
      <c r="J86" s="1">
        <v>0</v>
      </c>
      <c r="K86" s="1">
        <v>0</v>
      </c>
      <c r="L86" s="1">
        <v>0</v>
      </c>
      <c r="M86" s="1">
        <v>0</v>
      </c>
      <c r="N86" s="1">
        <v>319607.42662861774</v>
      </c>
      <c r="O86" s="1">
        <v>51888.894926759938</v>
      </c>
      <c r="P86" s="1">
        <v>7742.62853021311</v>
      </c>
      <c r="Q86" s="1"/>
      <c r="R86" s="1" t="s">
        <v>5</v>
      </c>
      <c r="S86" s="1" t="str">
        <f t="shared" si="2"/>
        <v>.</v>
      </c>
      <c r="T86" s="1" t="s">
        <v>5</v>
      </c>
      <c r="U86" s="1" t="s">
        <v>5</v>
      </c>
      <c r="V86" s="1" t="s">
        <v>5</v>
      </c>
      <c r="W86" s="1" t="s">
        <v>5</v>
      </c>
      <c r="X86" s="1" t="s">
        <v>5</v>
      </c>
      <c r="Y86" s="1" t="s">
        <v>5</v>
      </c>
      <c r="Z86" s="1" t="s">
        <v>5</v>
      </c>
      <c r="AA86" s="1" t="s">
        <v>5</v>
      </c>
      <c r="AB86" s="1" t="s">
        <v>5</v>
      </c>
      <c r="AC86" s="1" t="s">
        <v>5</v>
      </c>
      <c r="AD86" s="1" t="s">
        <v>5</v>
      </c>
      <c r="AE86" s="1" t="s">
        <v>5</v>
      </c>
      <c r="AF86" s="1" t="s">
        <v>5</v>
      </c>
      <c r="AG86" s="1"/>
    </row>
    <row r="87" spans="1:33" x14ac:dyDescent="0.3">
      <c r="A87" s="4">
        <v>1936</v>
      </c>
      <c r="B87" s="1">
        <v>202310.40483418529</v>
      </c>
      <c r="C87" s="1">
        <v>195747.47071192673</v>
      </c>
      <c r="D87" s="1">
        <v>68721.080681805674</v>
      </c>
      <c r="E87" s="1">
        <v>636123.25342446018</v>
      </c>
      <c r="F87" s="1">
        <v>277508.51838912425</v>
      </c>
      <c r="G87" s="1">
        <v>21975.5618482801</v>
      </c>
      <c r="H87" s="1">
        <v>6598.2996762627881</v>
      </c>
      <c r="I87" s="1">
        <v>97428.125783759853</v>
      </c>
      <c r="J87" s="1">
        <v>0</v>
      </c>
      <c r="K87" s="1">
        <v>0</v>
      </c>
      <c r="L87" s="1">
        <v>0</v>
      </c>
      <c r="M87" s="1">
        <v>0</v>
      </c>
      <c r="N87" s="1">
        <v>284909.36391622695</v>
      </c>
      <c r="O87" s="1">
        <v>47218.853442977394</v>
      </c>
      <c r="P87" s="1">
        <v>7045.7858535546393</v>
      </c>
      <c r="Q87" s="1"/>
      <c r="R87" s="1" t="s">
        <v>5</v>
      </c>
      <c r="S87" s="1" t="str">
        <f t="shared" si="2"/>
        <v>.</v>
      </c>
      <c r="T87" s="1" t="s">
        <v>5</v>
      </c>
      <c r="U87" s="1" t="s">
        <v>5</v>
      </c>
      <c r="V87" s="1" t="s">
        <v>5</v>
      </c>
      <c r="W87" s="1" t="s">
        <v>5</v>
      </c>
      <c r="X87" s="1" t="s">
        <v>5</v>
      </c>
      <c r="Y87" s="1" t="s">
        <v>5</v>
      </c>
      <c r="Z87" s="1" t="s">
        <v>5</v>
      </c>
      <c r="AA87" s="1" t="s">
        <v>5</v>
      </c>
      <c r="AB87" s="1" t="s">
        <v>5</v>
      </c>
      <c r="AC87" s="1" t="s">
        <v>5</v>
      </c>
      <c r="AD87" s="1" t="s">
        <v>5</v>
      </c>
      <c r="AE87" s="1" t="s">
        <v>5</v>
      </c>
      <c r="AF87" s="1" t="s">
        <v>5</v>
      </c>
      <c r="AG87" s="1"/>
    </row>
    <row r="88" spans="1:33" x14ac:dyDescent="0.3">
      <c r="A88" s="4">
        <v>1935</v>
      </c>
      <c r="B88" s="1">
        <v>178844.93468100391</v>
      </c>
      <c r="C88" s="1">
        <v>173043.21862308256</v>
      </c>
      <c r="D88" s="1">
        <v>61036.385830830346</v>
      </c>
      <c r="E88" s="1">
        <v>574928.49864134705</v>
      </c>
      <c r="F88" s="1">
        <v>233498.35688247898</v>
      </c>
      <c r="G88" s="1">
        <v>19599.192320618749</v>
      </c>
      <c r="H88" s="1">
        <v>5232.3358836329471</v>
      </c>
      <c r="I88" s="1">
        <v>94711.911976534495</v>
      </c>
      <c r="J88" s="1">
        <v>0</v>
      </c>
      <c r="K88" s="1">
        <v>0</v>
      </c>
      <c r="L88" s="1">
        <v>0</v>
      </c>
      <c r="M88" s="1">
        <v>0</v>
      </c>
      <c r="N88" s="1">
        <v>242595.0308165669</v>
      </c>
      <c r="O88" s="1">
        <v>42093.200284618062</v>
      </c>
      <c r="P88" s="1">
        <v>6280.9588431527818</v>
      </c>
      <c r="Q88" s="1"/>
      <c r="R88" s="1" t="s">
        <v>5</v>
      </c>
      <c r="S88" s="1" t="str">
        <f t="shared" si="2"/>
        <v>.</v>
      </c>
      <c r="T88" s="1" t="s">
        <v>5</v>
      </c>
      <c r="U88" s="1" t="s">
        <v>5</v>
      </c>
      <c r="V88" s="1" t="s">
        <v>5</v>
      </c>
      <c r="W88" s="1" t="s">
        <v>5</v>
      </c>
      <c r="X88" s="1" t="s">
        <v>5</v>
      </c>
      <c r="Y88" s="1" t="s">
        <v>5</v>
      </c>
      <c r="Z88" s="1" t="s">
        <v>5</v>
      </c>
      <c r="AA88" s="1" t="s">
        <v>5</v>
      </c>
      <c r="AB88" s="1" t="s">
        <v>5</v>
      </c>
      <c r="AC88" s="1" t="s">
        <v>5</v>
      </c>
      <c r="AD88" s="1" t="s">
        <v>5</v>
      </c>
      <c r="AE88" s="1" t="s">
        <v>5</v>
      </c>
      <c r="AF88" s="1" t="s">
        <v>5</v>
      </c>
      <c r="AG88" s="1"/>
    </row>
    <row r="89" spans="1:33" x14ac:dyDescent="0.3">
      <c r="A89" s="4">
        <v>1934</v>
      </c>
      <c r="B89" s="1">
        <v>183524.81884656393</v>
      </c>
      <c r="C89" s="1">
        <v>177571.28770279197</v>
      </c>
      <c r="D89" s="1">
        <v>57016.065947959556</v>
      </c>
      <c r="E89" s="1">
        <v>531146.67246295093</v>
      </c>
      <c r="F89" s="1">
        <v>223526.40326451979</v>
      </c>
      <c r="G89" s="1">
        <v>17505.521137211555</v>
      </c>
      <c r="H89" s="1">
        <v>4560.9299516623478</v>
      </c>
      <c r="I89" s="1">
        <v>77906.090400560002</v>
      </c>
      <c r="J89" s="1">
        <v>0</v>
      </c>
      <c r="K89" s="1">
        <v>0</v>
      </c>
      <c r="L89" s="1">
        <v>0</v>
      </c>
      <c r="M89" s="1">
        <v>0</v>
      </c>
      <c r="N89" s="1">
        <v>224750.69345371137</v>
      </c>
      <c r="O89" s="1">
        <v>38832.139330262187</v>
      </c>
      <c r="P89" s="1">
        <v>5794.3579313469236</v>
      </c>
      <c r="Q89" s="1"/>
      <c r="R89" s="1" t="s">
        <v>5</v>
      </c>
      <c r="S89" s="1" t="str">
        <f t="shared" si="2"/>
        <v>.</v>
      </c>
      <c r="T89" s="1" t="s">
        <v>5</v>
      </c>
      <c r="U89" s="1" t="s">
        <v>5</v>
      </c>
      <c r="V89" s="1" t="s">
        <v>5</v>
      </c>
      <c r="W89" s="1" t="s">
        <v>5</v>
      </c>
      <c r="X89" s="1" t="s">
        <v>5</v>
      </c>
      <c r="Y89" s="1" t="s">
        <v>5</v>
      </c>
      <c r="Z89" s="1" t="s">
        <v>5</v>
      </c>
      <c r="AA89" s="1" t="s">
        <v>5</v>
      </c>
      <c r="AB89" s="1" t="s">
        <v>5</v>
      </c>
      <c r="AC89" s="1" t="s">
        <v>5</v>
      </c>
      <c r="AD89" s="1" t="s">
        <v>5</v>
      </c>
      <c r="AE89" s="1" t="s">
        <v>5</v>
      </c>
      <c r="AF89" s="1" t="s">
        <v>5</v>
      </c>
      <c r="AG89" s="1"/>
    </row>
    <row r="90" spans="1:33" x14ac:dyDescent="0.3">
      <c r="A90" s="4">
        <v>1933</v>
      </c>
      <c r="B90" s="1">
        <v>119582.78689468358</v>
      </c>
      <c r="C90" s="1">
        <v>115703.53039678308</v>
      </c>
      <c r="D90" s="1">
        <v>51536.901858291429</v>
      </c>
      <c r="E90" s="1">
        <v>491762.65656250063</v>
      </c>
      <c r="F90" s="1">
        <v>184957.03722302461</v>
      </c>
      <c r="G90" s="1">
        <v>17377.241678824259</v>
      </c>
      <c r="H90" s="1">
        <v>3912.6759483803899</v>
      </c>
      <c r="I90" s="1">
        <v>64082.289631829124</v>
      </c>
      <c r="J90" s="1">
        <v>0</v>
      </c>
      <c r="K90" s="1">
        <v>0</v>
      </c>
      <c r="L90" s="1">
        <v>0</v>
      </c>
      <c r="M90" s="1">
        <v>0</v>
      </c>
      <c r="N90" s="1">
        <v>201047.33315682196</v>
      </c>
      <c r="O90" s="1">
        <v>34664.369833393619</v>
      </c>
      <c r="P90" s="1">
        <v>5172.4620312828692</v>
      </c>
      <c r="Q90" s="1"/>
      <c r="R90" s="1" t="s">
        <v>5</v>
      </c>
      <c r="S90" s="1" t="str">
        <f t="shared" si="2"/>
        <v>.</v>
      </c>
      <c r="T90" s="1" t="s">
        <v>5</v>
      </c>
      <c r="U90" s="1" t="s">
        <v>5</v>
      </c>
      <c r="V90" s="1" t="s">
        <v>5</v>
      </c>
      <c r="W90" s="1" t="s">
        <v>5</v>
      </c>
      <c r="X90" s="1" t="s">
        <v>5</v>
      </c>
      <c r="Y90" s="1" t="s">
        <v>5</v>
      </c>
      <c r="Z90" s="1" t="s">
        <v>5</v>
      </c>
      <c r="AA90" s="1" t="s">
        <v>5</v>
      </c>
      <c r="AB90" s="1" t="s">
        <v>5</v>
      </c>
      <c r="AC90" s="1" t="s">
        <v>5</v>
      </c>
      <c r="AD90" s="1" t="s">
        <v>5</v>
      </c>
      <c r="AE90" s="1" t="s">
        <v>5</v>
      </c>
      <c r="AF90" s="1" t="s">
        <v>5</v>
      </c>
      <c r="AG90" s="1"/>
    </row>
    <row r="91" spans="1:33" x14ac:dyDescent="0.3">
      <c r="A91" s="4">
        <v>1932</v>
      </c>
      <c r="B91" s="1">
        <v>154364.22513339404</v>
      </c>
      <c r="C91" s="1">
        <v>149356.66142843143</v>
      </c>
      <c r="D91" s="1">
        <v>60392.803445133519</v>
      </c>
      <c r="E91" s="1">
        <v>593792.52372192044</v>
      </c>
      <c r="F91" s="1">
        <v>210066.45062911473</v>
      </c>
      <c r="G91" s="1">
        <v>18663.191489591438</v>
      </c>
      <c r="H91" s="1">
        <v>3472.7893032962038</v>
      </c>
      <c r="I91" s="1">
        <v>52711.38828767564</v>
      </c>
      <c r="J91" s="1">
        <v>0</v>
      </c>
      <c r="K91" s="1">
        <v>0</v>
      </c>
      <c r="L91" s="1">
        <v>0</v>
      </c>
      <c r="M91" s="1">
        <v>0</v>
      </c>
      <c r="N91" s="1">
        <v>235466.98152370803</v>
      </c>
      <c r="O91" s="1">
        <v>40116.323541805716</v>
      </c>
      <c r="P91" s="1">
        <v>5985.978148512474</v>
      </c>
      <c r="Q91" s="1"/>
      <c r="R91" s="1" t="s">
        <v>5</v>
      </c>
      <c r="S91" s="1" t="str">
        <f t="shared" si="2"/>
        <v>.</v>
      </c>
      <c r="T91" s="1" t="s">
        <v>5</v>
      </c>
      <c r="U91" s="1" t="s">
        <v>5</v>
      </c>
      <c r="V91" s="1" t="s">
        <v>5</v>
      </c>
      <c r="W91" s="1" t="s">
        <v>5</v>
      </c>
      <c r="X91" s="1" t="s">
        <v>5</v>
      </c>
      <c r="Y91" s="1" t="s">
        <v>5</v>
      </c>
      <c r="Z91" s="1" t="s">
        <v>5</v>
      </c>
      <c r="AA91" s="1" t="s">
        <v>5</v>
      </c>
      <c r="AB91" s="1" t="s">
        <v>5</v>
      </c>
      <c r="AC91" s="1" t="s">
        <v>5</v>
      </c>
      <c r="AD91" s="1" t="s">
        <v>5</v>
      </c>
      <c r="AE91" s="1" t="s">
        <v>5</v>
      </c>
      <c r="AF91" s="1" t="s">
        <v>5</v>
      </c>
      <c r="AG91" s="1"/>
    </row>
    <row r="92" spans="1:33" x14ac:dyDescent="0.3">
      <c r="A92" s="4">
        <v>1931</v>
      </c>
      <c r="B92" s="1">
        <v>227014.60547905267</v>
      </c>
      <c r="C92" s="1">
        <v>219650.26896966426</v>
      </c>
      <c r="D92" s="1">
        <v>75664.625197311339</v>
      </c>
      <c r="E92" s="1">
        <v>716991.33011177485</v>
      </c>
      <c r="F92" s="1">
        <v>298742.5563683951</v>
      </c>
      <c r="G92" s="1">
        <v>21312.652704794218</v>
      </c>
      <c r="H92" s="1">
        <v>3519.0931606734871</v>
      </c>
      <c r="I92" s="1">
        <v>43358.148777533912</v>
      </c>
      <c r="J92" s="1">
        <v>0</v>
      </c>
      <c r="K92" s="1">
        <v>0</v>
      </c>
      <c r="L92" s="1">
        <v>0</v>
      </c>
      <c r="M92" s="1">
        <v>0</v>
      </c>
      <c r="N92" s="1">
        <v>294130.91260962619</v>
      </c>
      <c r="O92" s="1">
        <v>49636.340297729483</v>
      </c>
      <c r="P92" s="1">
        <v>7406.5124159421857</v>
      </c>
      <c r="Q92" s="1"/>
      <c r="R92" s="1" t="s">
        <v>5</v>
      </c>
      <c r="S92" s="1" t="str">
        <f t="shared" si="2"/>
        <v>.</v>
      </c>
      <c r="T92" s="1" t="s">
        <v>5</v>
      </c>
      <c r="U92" s="1" t="s">
        <v>5</v>
      </c>
      <c r="V92" s="1" t="s">
        <v>5</v>
      </c>
      <c r="W92" s="1" t="s">
        <v>5</v>
      </c>
      <c r="X92" s="1" t="s">
        <v>5</v>
      </c>
      <c r="Y92" s="1" t="s">
        <v>5</v>
      </c>
      <c r="Z92" s="1" t="s">
        <v>5</v>
      </c>
      <c r="AA92" s="1" t="s">
        <v>5</v>
      </c>
      <c r="AB92" s="1" t="s">
        <v>5</v>
      </c>
      <c r="AC92" s="1" t="s">
        <v>5</v>
      </c>
      <c r="AD92" s="1" t="s">
        <v>5</v>
      </c>
      <c r="AE92" s="1" t="s">
        <v>5</v>
      </c>
      <c r="AF92" s="1" t="s">
        <v>5</v>
      </c>
      <c r="AG92" s="1"/>
    </row>
    <row r="93" spans="1:33" x14ac:dyDescent="0.3">
      <c r="A93" s="4">
        <v>1930</v>
      </c>
      <c r="B93" s="1">
        <v>280921.70484180877</v>
      </c>
      <c r="C93" s="1">
        <v>271808.62613535055</v>
      </c>
      <c r="D93" s="1">
        <v>97614.435783446344</v>
      </c>
      <c r="E93" s="1">
        <v>809877.85493489832</v>
      </c>
      <c r="F93" s="1">
        <v>364982.24141266721</v>
      </c>
      <c r="G93" s="1">
        <v>22305.927615951448</v>
      </c>
      <c r="H93" s="1">
        <v>4722.9934524828386</v>
      </c>
      <c r="I93" s="1">
        <v>35664.55971708431</v>
      </c>
      <c r="J93" s="1">
        <v>0</v>
      </c>
      <c r="K93" s="1">
        <v>0</v>
      </c>
      <c r="L93" s="1">
        <v>0</v>
      </c>
      <c r="M93" s="1">
        <v>0</v>
      </c>
      <c r="N93" s="1">
        <v>337931.70511290478</v>
      </c>
      <c r="O93" s="1">
        <v>56768.034609191855</v>
      </c>
      <c r="P93" s="1">
        <v>8470.6719036827926</v>
      </c>
      <c r="Q93" s="1"/>
      <c r="R93" s="1" t="s">
        <v>5</v>
      </c>
      <c r="S93" s="1" t="str">
        <f t="shared" si="2"/>
        <v>.</v>
      </c>
      <c r="T93" s="1" t="s">
        <v>5</v>
      </c>
      <c r="U93" s="1" t="s">
        <v>5</v>
      </c>
      <c r="V93" s="1" t="s">
        <v>5</v>
      </c>
      <c r="W93" s="1" t="s">
        <v>5</v>
      </c>
      <c r="X93" s="1" t="s">
        <v>5</v>
      </c>
      <c r="Y93" s="1" t="s">
        <v>5</v>
      </c>
      <c r="Z93" s="1" t="s">
        <v>5</v>
      </c>
      <c r="AA93" s="1" t="s">
        <v>5</v>
      </c>
      <c r="AB93" s="1" t="s">
        <v>5</v>
      </c>
      <c r="AC93" s="1" t="s">
        <v>5</v>
      </c>
      <c r="AD93" s="1" t="s">
        <v>5</v>
      </c>
      <c r="AE93" s="1" t="s">
        <v>5</v>
      </c>
      <c r="AF93" s="1" t="s">
        <v>5</v>
      </c>
      <c r="AG93" s="1"/>
    </row>
    <row r="94" spans="1:33" x14ac:dyDescent="0.3">
      <c r="A94" s="4">
        <v>1929</v>
      </c>
      <c r="B94" s="1">
        <v>342709.93603019114</v>
      </c>
      <c r="C94" s="1">
        <v>331592.45181056811</v>
      </c>
      <c r="D94" s="1">
        <v>119598.35724098745</v>
      </c>
      <c r="E94" s="1">
        <v>914797.86765581497</v>
      </c>
      <c r="F94" s="1">
        <v>372862.53548911889</v>
      </c>
      <c r="G94" s="1">
        <v>21039.771001047215</v>
      </c>
      <c r="H94" s="1">
        <v>4722.9934524828386</v>
      </c>
      <c r="I94" s="1">
        <v>29336.133719284728</v>
      </c>
      <c r="J94" s="1">
        <v>0</v>
      </c>
      <c r="K94" s="1">
        <v>0</v>
      </c>
      <c r="L94" s="1">
        <v>0</v>
      </c>
      <c r="M94" s="1">
        <v>0</v>
      </c>
      <c r="N94" s="1">
        <v>368215.87503789092</v>
      </c>
      <c r="O94" s="1">
        <v>61659.211493328301</v>
      </c>
      <c r="P94" s="1">
        <v>9200.5114144853887</v>
      </c>
      <c r="Q94" s="1"/>
      <c r="R94" s="1" t="s">
        <v>5</v>
      </c>
      <c r="S94" s="1" t="str">
        <f t="shared" si="2"/>
        <v>.</v>
      </c>
      <c r="T94" s="1" t="s">
        <v>5</v>
      </c>
      <c r="U94" s="1" t="s">
        <v>5</v>
      </c>
      <c r="V94" s="1" t="s">
        <v>5</v>
      </c>
      <c r="W94" s="1" t="s">
        <v>5</v>
      </c>
      <c r="X94" s="1" t="s">
        <v>5</v>
      </c>
      <c r="Y94" s="1" t="s">
        <v>5</v>
      </c>
      <c r="Z94" s="1" t="s">
        <v>5</v>
      </c>
      <c r="AA94" s="1" t="s">
        <v>5</v>
      </c>
      <c r="AB94" s="1" t="s">
        <v>5</v>
      </c>
      <c r="AC94" s="1" t="s">
        <v>5</v>
      </c>
      <c r="AD94" s="1" t="s">
        <v>5</v>
      </c>
      <c r="AE94" s="1" t="s">
        <v>5</v>
      </c>
      <c r="AF94" s="1" t="s">
        <v>5</v>
      </c>
      <c r="AG94" s="1"/>
    </row>
    <row r="95" spans="1:33" x14ac:dyDescent="0.3">
      <c r="A95" s="4">
        <v>1928</v>
      </c>
      <c r="B95" s="1">
        <v>342098.41260249296</v>
      </c>
      <c r="C95" s="1">
        <v>331000.76615628297</v>
      </c>
      <c r="D95" s="1">
        <v>107719.4145851033</v>
      </c>
      <c r="E95" s="1">
        <v>872214.60372193321</v>
      </c>
      <c r="F95" s="1">
        <v>343858.56980320095</v>
      </c>
      <c r="G95" s="1">
        <v>18456.474245505473</v>
      </c>
      <c r="H95" s="1">
        <v>4000.5376382112704</v>
      </c>
      <c r="I95" s="1">
        <v>12572.656620613832</v>
      </c>
      <c r="J95" s="1">
        <v>0</v>
      </c>
      <c r="K95" s="1">
        <v>0</v>
      </c>
      <c r="L95" s="1">
        <v>0</v>
      </c>
      <c r="M95" s="1">
        <v>0</v>
      </c>
      <c r="N95" s="1">
        <v>345705.13596252957</v>
      </c>
      <c r="O95" s="1">
        <v>57553.296313082508</v>
      </c>
      <c r="P95" s="1">
        <v>8587.84513854951</v>
      </c>
      <c r="Q95" s="1"/>
      <c r="R95" s="1" t="s">
        <v>5</v>
      </c>
      <c r="S95" s="1" t="str">
        <f t="shared" si="2"/>
        <v>.</v>
      </c>
      <c r="T95" s="1" t="s">
        <v>5</v>
      </c>
      <c r="U95" s="1" t="s">
        <v>5</v>
      </c>
      <c r="V95" s="1" t="s">
        <v>5</v>
      </c>
      <c r="W95" s="1" t="s">
        <v>5</v>
      </c>
      <c r="X95" s="1" t="s">
        <v>5</v>
      </c>
      <c r="Y95" s="1" t="s">
        <v>5</v>
      </c>
      <c r="Z95" s="1" t="s">
        <v>5</v>
      </c>
      <c r="AA95" s="1" t="s">
        <v>5</v>
      </c>
      <c r="AB95" s="1" t="s">
        <v>5</v>
      </c>
      <c r="AC95" s="1" t="s">
        <v>5</v>
      </c>
      <c r="AD95" s="1" t="s">
        <v>5</v>
      </c>
      <c r="AE95" s="1" t="s">
        <v>5</v>
      </c>
      <c r="AF95" s="1" t="s">
        <v>5</v>
      </c>
      <c r="AG95" s="1"/>
    </row>
    <row r="96" spans="1:33" x14ac:dyDescent="0.3">
      <c r="A96" s="4">
        <v>1927</v>
      </c>
      <c r="B96" s="1">
        <v>351166.77917983948</v>
      </c>
      <c r="C96" s="1">
        <v>339774.95561262389</v>
      </c>
      <c r="D96" s="1">
        <v>99777.650915921724</v>
      </c>
      <c r="E96" s="1">
        <v>831613.56387423945</v>
      </c>
      <c r="F96" s="1">
        <v>344050.4477447925</v>
      </c>
      <c r="G96" s="1">
        <v>16319.250703553807</v>
      </c>
      <c r="H96" s="1">
        <v>2843.6621452708005</v>
      </c>
      <c r="I96" s="1">
        <v>5097.9725991928726</v>
      </c>
      <c r="J96" s="1">
        <v>0</v>
      </c>
      <c r="K96" s="1">
        <v>0</v>
      </c>
      <c r="L96" s="1">
        <v>0</v>
      </c>
      <c r="M96" s="1">
        <v>0</v>
      </c>
      <c r="N96" s="1">
        <v>332692.19261652324</v>
      </c>
      <c r="O96" s="1">
        <v>55247.541753034297</v>
      </c>
      <c r="P96" s="1">
        <v>8243.790768814004</v>
      </c>
      <c r="Q96" s="1"/>
      <c r="R96" s="1" t="s">
        <v>5</v>
      </c>
      <c r="S96" s="1" t="str">
        <f t="shared" si="2"/>
        <v>.</v>
      </c>
      <c r="T96" s="1" t="s">
        <v>5</v>
      </c>
      <c r="U96" s="1" t="s">
        <v>5</v>
      </c>
      <c r="V96" s="1" t="s">
        <v>5</v>
      </c>
      <c r="W96" s="1" t="s">
        <v>5</v>
      </c>
      <c r="X96" s="1" t="s">
        <v>5</v>
      </c>
      <c r="Y96" s="1" t="s">
        <v>5</v>
      </c>
      <c r="Z96" s="1" t="s">
        <v>5</v>
      </c>
      <c r="AA96" s="1" t="s">
        <v>5</v>
      </c>
      <c r="AB96" s="1" t="s">
        <v>5</v>
      </c>
      <c r="AC96" s="1" t="s">
        <v>5</v>
      </c>
      <c r="AD96" s="1" t="s">
        <v>5</v>
      </c>
      <c r="AE96" s="1" t="s">
        <v>5</v>
      </c>
      <c r="AF96" s="1" t="s">
        <v>5</v>
      </c>
      <c r="AG96" s="1"/>
    </row>
    <row r="97" spans="1:33" x14ac:dyDescent="0.3">
      <c r="A97" s="4">
        <v>1926</v>
      </c>
      <c r="B97" s="1">
        <v>366562.66570716852</v>
      </c>
      <c r="C97" s="1">
        <v>354671.40075375501</v>
      </c>
      <c r="D97" s="1">
        <v>95117.021113267445</v>
      </c>
      <c r="E97" s="1">
        <v>794469.80549185956</v>
      </c>
      <c r="F97" s="1">
        <v>313541.85503174103</v>
      </c>
      <c r="G97" s="1">
        <v>15020.778639760905</v>
      </c>
      <c r="H97" s="1">
        <v>3443.5136739820277</v>
      </c>
      <c r="I97" s="1">
        <v>2067.1302806648823</v>
      </c>
      <c r="J97" s="1">
        <v>0</v>
      </c>
      <c r="K97" s="1">
        <v>0</v>
      </c>
      <c r="L97" s="1">
        <v>0</v>
      </c>
      <c r="M97" s="1">
        <v>0</v>
      </c>
      <c r="N97" s="1">
        <v>313228.0614505852</v>
      </c>
      <c r="O97" s="1">
        <v>51979.964612390941</v>
      </c>
      <c r="P97" s="1">
        <v>7756.217540871351</v>
      </c>
      <c r="Q97" s="1"/>
      <c r="R97" s="1" t="s">
        <v>5</v>
      </c>
      <c r="S97" s="1" t="str">
        <f t="shared" si="2"/>
        <v>.</v>
      </c>
      <c r="T97" s="1" t="s">
        <v>5</v>
      </c>
      <c r="U97" s="1" t="s">
        <v>5</v>
      </c>
      <c r="V97" s="1" t="s">
        <v>5</v>
      </c>
      <c r="W97" s="1" t="s">
        <v>5</v>
      </c>
      <c r="X97" s="1" t="s">
        <v>5</v>
      </c>
      <c r="Y97" s="1" t="s">
        <v>5</v>
      </c>
      <c r="Z97" s="1" t="s">
        <v>5</v>
      </c>
      <c r="AA97" s="1" t="s">
        <v>5</v>
      </c>
      <c r="AB97" s="1" t="s">
        <v>5</v>
      </c>
      <c r="AC97" s="1" t="s">
        <v>5</v>
      </c>
      <c r="AD97" s="1" t="s">
        <v>5</v>
      </c>
      <c r="AE97" s="1" t="s">
        <v>5</v>
      </c>
      <c r="AF97" s="1" t="s">
        <v>5</v>
      </c>
      <c r="AG97" s="1"/>
    </row>
    <row r="98" spans="1:33" x14ac:dyDescent="0.3">
      <c r="A98" s="4">
        <v>1925</v>
      </c>
      <c r="B98" s="1">
        <v>359002.734462897</v>
      </c>
      <c r="C98" s="1">
        <v>347356.71310318616</v>
      </c>
      <c r="D98" s="1">
        <v>90849.953019518245</v>
      </c>
      <c r="E98" s="1">
        <v>758985.06140012864</v>
      </c>
      <c r="F98" s="1">
        <v>287186.18489610596</v>
      </c>
      <c r="G98" s="1">
        <v>13149.17939408506</v>
      </c>
      <c r="H98" s="1">
        <v>4240.1860845391257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295384.43112054147</v>
      </c>
      <c r="O98" s="1">
        <v>49000.498833573591</v>
      </c>
      <c r="P98" s="1">
        <v>7311.635000109477</v>
      </c>
      <c r="Q98" s="1"/>
      <c r="R98" s="1" t="s">
        <v>5</v>
      </c>
      <c r="S98" s="1" t="str">
        <f t="shared" si="2"/>
        <v>.</v>
      </c>
      <c r="T98" s="1" t="s">
        <v>5</v>
      </c>
      <c r="U98" s="1" t="s">
        <v>5</v>
      </c>
      <c r="V98" s="1" t="s">
        <v>5</v>
      </c>
      <c r="W98" s="1" t="s">
        <v>5</v>
      </c>
      <c r="X98" s="1" t="s">
        <v>5</v>
      </c>
      <c r="Y98" s="1" t="s">
        <v>5</v>
      </c>
      <c r="Z98" s="1" t="s">
        <v>5</v>
      </c>
      <c r="AA98" s="1" t="s">
        <v>5</v>
      </c>
      <c r="AB98" s="1" t="s">
        <v>5</v>
      </c>
      <c r="AC98" s="1" t="s">
        <v>5</v>
      </c>
      <c r="AD98" s="1" t="s">
        <v>5</v>
      </c>
      <c r="AE98" s="1" t="s">
        <v>5</v>
      </c>
      <c r="AF98" s="1" t="s">
        <v>5</v>
      </c>
      <c r="AG98" s="1"/>
    </row>
    <row r="99" spans="1:33" x14ac:dyDescent="0.3">
      <c r="A99" s="4">
        <v>1924</v>
      </c>
      <c r="B99" s="1">
        <v>351061.36814163171</v>
      </c>
      <c r="C99" s="1">
        <v>339672.96410046611</v>
      </c>
      <c r="D99" s="1">
        <v>78330.059567823599</v>
      </c>
      <c r="E99" s="1">
        <v>711244.61623723421</v>
      </c>
      <c r="F99" s="1">
        <v>250332.32163933499</v>
      </c>
      <c r="G99" s="1">
        <v>11127.326413793022</v>
      </c>
      <c r="H99" s="1">
        <v>2836.3280602990999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270773.2029224977</v>
      </c>
      <c r="O99" s="1">
        <v>44945.229381718855</v>
      </c>
      <c r="P99" s="1">
        <v>6706.525852960548</v>
      </c>
      <c r="Q99" s="1"/>
      <c r="R99" s="1" t="s">
        <v>5</v>
      </c>
      <c r="S99" s="1" t="str">
        <f t="shared" si="2"/>
        <v>.</v>
      </c>
      <c r="T99" s="1" t="s">
        <v>5</v>
      </c>
      <c r="U99" s="1" t="s">
        <v>5</v>
      </c>
      <c r="V99" s="1" t="s">
        <v>5</v>
      </c>
      <c r="W99" s="1" t="s">
        <v>5</v>
      </c>
      <c r="X99" s="1" t="s">
        <v>5</v>
      </c>
      <c r="Y99" s="1" t="s">
        <v>5</v>
      </c>
      <c r="Z99" s="1" t="s">
        <v>5</v>
      </c>
      <c r="AA99" s="1" t="s">
        <v>5</v>
      </c>
      <c r="AB99" s="1" t="s">
        <v>5</v>
      </c>
      <c r="AC99" s="1" t="s">
        <v>5</v>
      </c>
      <c r="AD99" s="1" t="s">
        <v>5</v>
      </c>
      <c r="AE99" s="1" t="s">
        <v>5</v>
      </c>
      <c r="AF99" s="1" t="s">
        <v>5</v>
      </c>
      <c r="AG99" s="1"/>
    </row>
    <row r="100" spans="1:33" x14ac:dyDescent="0.3">
      <c r="A100" s="4">
        <v>1923</v>
      </c>
      <c r="B100" s="1">
        <v>352056.7025559821</v>
      </c>
      <c r="C100" s="1">
        <v>340636.00994223246</v>
      </c>
      <c r="D100" s="1">
        <v>68108.760497992233</v>
      </c>
      <c r="E100" s="1">
        <v>666507.06298916624</v>
      </c>
      <c r="F100" s="1">
        <v>223484.60806932169</v>
      </c>
      <c r="G100" s="1">
        <v>9758.5365232892127</v>
      </c>
      <c r="H100" s="1">
        <v>2650.0596671689741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250322.88244575041</v>
      </c>
      <c r="O100" s="1">
        <v>41575.499085997391</v>
      </c>
      <c r="P100" s="1">
        <v>6203.709788683158</v>
      </c>
      <c r="Q100" s="1"/>
      <c r="R100" s="1" t="s">
        <v>5</v>
      </c>
      <c r="S100" s="1" t="str">
        <f t="shared" si="2"/>
        <v>.</v>
      </c>
      <c r="T100" s="1" t="s">
        <v>5</v>
      </c>
      <c r="U100" s="1" t="s">
        <v>5</v>
      </c>
      <c r="V100" s="1" t="s">
        <v>5</v>
      </c>
      <c r="W100" s="1" t="s">
        <v>5</v>
      </c>
      <c r="X100" s="1" t="s">
        <v>5</v>
      </c>
      <c r="Y100" s="1" t="s">
        <v>5</v>
      </c>
      <c r="Z100" s="1" t="s">
        <v>5</v>
      </c>
      <c r="AA100" s="1" t="s">
        <v>5</v>
      </c>
      <c r="AB100" s="1" t="s">
        <v>5</v>
      </c>
      <c r="AC100" s="1" t="s">
        <v>5</v>
      </c>
      <c r="AD100" s="1" t="s">
        <v>5</v>
      </c>
      <c r="AE100" s="1" t="s">
        <v>5</v>
      </c>
      <c r="AF100" s="1" t="s">
        <v>5</v>
      </c>
      <c r="AG100" s="1"/>
    </row>
    <row r="101" spans="1:33" x14ac:dyDescent="0.3">
      <c r="A101" s="4">
        <v>1922</v>
      </c>
      <c r="B101" s="1">
        <v>319164.70876581233</v>
      </c>
      <c r="C101" s="1">
        <v>308811.02992513846</v>
      </c>
      <c r="D101" s="1">
        <v>59517.65237814741</v>
      </c>
      <c r="E101" s="1">
        <v>631632.52623474482</v>
      </c>
      <c r="F101" s="1">
        <v>185734.04789739032</v>
      </c>
      <c r="G101" s="1">
        <v>7945.0063387534847</v>
      </c>
      <c r="H101" s="1">
        <v>2030.458906582485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229368.25552916518</v>
      </c>
      <c r="O101" s="1">
        <v>38117.406931636127</v>
      </c>
      <c r="P101" s="1">
        <v>5687.7087635648622</v>
      </c>
      <c r="Q101" s="1"/>
      <c r="R101" s="1" t="s">
        <v>5</v>
      </c>
      <c r="S101" s="1" t="str">
        <f t="shared" si="2"/>
        <v>.</v>
      </c>
      <c r="T101" s="1" t="s">
        <v>5</v>
      </c>
      <c r="U101" s="1" t="s">
        <v>5</v>
      </c>
      <c r="V101" s="1" t="s">
        <v>5</v>
      </c>
      <c r="W101" s="1" t="s">
        <v>5</v>
      </c>
      <c r="X101" s="1" t="s">
        <v>5</v>
      </c>
      <c r="Y101" s="1" t="s">
        <v>5</v>
      </c>
      <c r="Z101" s="1" t="s">
        <v>5</v>
      </c>
      <c r="AA101" s="1" t="s">
        <v>5</v>
      </c>
      <c r="AB101" s="1" t="s">
        <v>5</v>
      </c>
      <c r="AC101" s="1" t="s">
        <v>5</v>
      </c>
      <c r="AD101" s="1" t="s">
        <v>5</v>
      </c>
      <c r="AE101" s="1" t="s">
        <v>5</v>
      </c>
      <c r="AF101" s="1" t="s">
        <v>5</v>
      </c>
      <c r="AG101" s="1"/>
    </row>
    <row r="102" spans="1:33" x14ac:dyDescent="0.3">
      <c r="A102" s="4">
        <v>1921</v>
      </c>
      <c r="B102" s="1">
        <v>265217.31171756954</v>
      </c>
      <c r="C102" s="1">
        <v>256613.68232781306</v>
      </c>
      <c r="D102" s="1">
        <v>53972.242126376972</v>
      </c>
      <c r="E102" s="1">
        <v>598582.77631511108</v>
      </c>
      <c r="F102" s="1">
        <v>178457.88436971194</v>
      </c>
      <c r="G102" s="1">
        <v>6694.2947039884093</v>
      </c>
      <c r="H102" s="1">
        <v>3406.5652194807112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218099.00179000694</v>
      </c>
      <c r="O102" s="1">
        <v>36265.283553570298</v>
      </c>
      <c r="P102" s="1">
        <v>5411.3432073369222</v>
      </c>
      <c r="Q102" s="1"/>
      <c r="R102" s="1" t="s">
        <v>5</v>
      </c>
      <c r="S102" s="1" t="str">
        <f t="shared" si="2"/>
        <v>.</v>
      </c>
      <c r="T102" s="1" t="s">
        <v>5</v>
      </c>
      <c r="U102" s="1" t="s">
        <v>5</v>
      </c>
      <c r="V102" s="1" t="s">
        <v>5</v>
      </c>
      <c r="W102" s="1" t="s">
        <v>5</v>
      </c>
      <c r="X102" s="1" t="s">
        <v>5</v>
      </c>
      <c r="Y102" s="1" t="s">
        <v>5</v>
      </c>
      <c r="Z102" s="1" t="s">
        <v>5</v>
      </c>
      <c r="AA102" s="1" t="s">
        <v>5</v>
      </c>
      <c r="AB102" s="1" t="s">
        <v>5</v>
      </c>
      <c r="AC102" s="1" t="s">
        <v>5</v>
      </c>
      <c r="AD102" s="1" t="s">
        <v>5</v>
      </c>
      <c r="AE102" s="1" t="s">
        <v>5</v>
      </c>
      <c r="AF102" s="1" t="s">
        <v>5</v>
      </c>
      <c r="AG102" s="1"/>
    </row>
    <row r="103" spans="1:33" x14ac:dyDescent="0.3">
      <c r="A103" s="4">
        <v>1920</v>
      </c>
      <c r="B103" s="1">
        <v>448149.91050091642</v>
      </c>
      <c r="C103" s="1">
        <v>433611.96154112765</v>
      </c>
      <c r="D103" s="1">
        <v>53243.499324172131</v>
      </c>
      <c r="E103" s="1">
        <v>506476.26865499106</v>
      </c>
      <c r="F103" s="1">
        <v>245957.12461472841</v>
      </c>
      <c r="G103" s="1">
        <v>5661.3182363380674</v>
      </c>
      <c r="H103" s="1">
        <v>2554.9239146105333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210641.42387258177</v>
      </c>
      <c r="O103" s="1">
        <v>35044.746073276576</v>
      </c>
      <c r="P103" s="1">
        <v>5229.220070383335</v>
      </c>
      <c r="Q103" s="1"/>
      <c r="R103" s="1" t="s">
        <v>5</v>
      </c>
      <c r="S103" s="1" t="str">
        <f t="shared" si="2"/>
        <v>.</v>
      </c>
      <c r="T103" s="1" t="s">
        <v>5</v>
      </c>
      <c r="U103" s="1" t="s">
        <v>5</v>
      </c>
      <c r="V103" s="1" t="s">
        <v>5</v>
      </c>
      <c r="W103" s="1" t="s">
        <v>5</v>
      </c>
      <c r="X103" s="1" t="s">
        <v>5</v>
      </c>
      <c r="Y103" s="1" t="s">
        <v>5</v>
      </c>
      <c r="Z103" s="1" t="s">
        <v>5</v>
      </c>
      <c r="AA103" s="1" t="s">
        <v>5</v>
      </c>
      <c r="AB103" s="1" t="s">
        <v>5</v>
      </c>
      <c r="AC103" s="1" t="s">
        <v>5</v>
      </c>
      <c r="AD103" s="1" t="s">
        <v>5</v>
      </c>
      <c r="AE103" s="1" t="s">
        <v>5</v>
      </c>
      <c r="AF103" s="1" t="s">
        <v>5</v>
      </c>
      <c r="AG103" s="1"/>
    </row>
    <row r="104" spans="1:33" x14ac:dyDescent="0.3">
      <c r="A104" s="4">
        <v>1919</v>
      </c>
      <c r="B104" s="1">
        <v>328273.69762866775</v>
      </c>
      <c r="C104" s="1">
        <v>317624.52388314059</v>
      </c>
      <c r="D104" s="1">
        <v>43913.75949716293</v>
      </c>
      <c r="E104" s="1">
        <v>428542.58568850695</v>
      </c>
      <c r="F104" s="1">
        <v>179299.48761847476</v>
      </c>
      <c r="G104" s="1">
        <v>4787.7372584147679</v>
      </c>
      <c r="H104" s="1">
        <v>1916.1929359579001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170089.41386120574</v>
      </c>
      <c r="O104" s="1">
        <v>28313.441090576929</v>
      </c>
      <c r="P104" s="1">
        <v>4224.8048852424799</v>
      </c>
      <c r="Q104" s="1"/>
      <c r="R104" s="1" t="s">
        <v>5</v>
      </c>
      <c r="S104" s="1" t="str">
        <f t="shared" si="2"/>
        <v>.</v>
      </c>
      <c r="T104" s="1" t="s">
        <v>5</v>
      </c>
      <c r="U104" s="1" t="s">
        <v>5</v>
      </c>
      <c r="V104" s="1" t="s">
        <v>5</v>
      </c>
      <c r="W104" s="1" t="s">
        <v>5</v>
      </c>
      <c r="X104" s="1" t="s">
        <v>5</v>
      </c>
      <c r="Y104" s="1" t="s">
        <v>5</v>
      </c>
      <c r="Z104" s="1" t="s">
        <v>5</v>
      </c>
      <c r="AA104" s="1" t="s">
        <v>5</v>
      </c>
      <c r="AB104" s="1" t="s">
        <v>5</v>
      </c>
      <c r="AC104" s="1" t="s">
        <v>5</v>
      </c>
      <c r="AD104" s="1" t="s">
        <v>5</v>
      </c>
      <c r="AE104" s="1" t="s">
        <v>5</v>
      </c>
      <c r="AF104" s="1" t="s">
        <v>5</v>
      </c>
      <c r="AG104" s="1"/>
    </row>
    <row r="105" spans="1:33" x14ac:dyDescent="0.3">
      <c r="A105" s="4">
        <v>1918</v>
      </c>
      <c r="B105" s="1">
        <v>211187.26726549806</v>
      </c>
      <c r="C105" s="1">
        <v>204336.36840214371</v>
      </c>
      <c r="D105" s="1">
        <v>29115.609348377242</v>
      </c>
      <c r="E105" s="1">
        <v>277297.55350147519</v>
      </c>
      <c r="F105" s="1">
        <v>111008.03844629331</v>
      </c>
      <c r="G105" s="1">
        <v>4048.9559319385589</v>
      </c>
      <c r="H105" s="1">
        <v>1437.1447019684249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108932.7783513816</v>
      </c>
      <c r="O105" s="1">
        <v>18142.820596579273</v>
      </c>
      <c r="P105" s="1">
        <v>2707.1904415749746</v>
      </c>
      <c r="Q105" s="1"/>
      <c r="R105" s="1" t="s">
        <v>5</v>
      </c>
      <c r="S105" s="1" t="str">
        <f t="shared" si="2"/>
        <v>.</v>
      </c>
      <c r="T105" s="1" t="s">
        <v>5</v>
      </c>
      <c r="U105" s="1" t="s">
        <v>5</v>
      </c>
      <c r="V105" s="1" t="s">
        <v>5</v>
      </c>
      <c r="W105" s="1" t="s">
        <v>5</v>
      </c>
      <c r="X105" s="1" t="s">
        <v>5</v>
      </c>
      <c r="Y105" s="1" t="s">
        <v>5</v>
      </c>
      <c r="Z105" s="1" t="s">
        <v>5</v>
      </c>
      <c r="AA105" s="1" t="s">
        <v>5</v>
      </c>
      <c r="AB105" s="1" t="s">
        <v>5</v>
      </c>
      <c r="AC105" s="1" t="s">
        <v>5</v>
      </c>
      <c r="AD105" s="1" t="s">
        <v>5</v>
      </c>
      <c r="AE105" s="1" t="s">
        <v>5</v>
      </c>
      <c r="AF105" s="1" t="s">
        <v>5</v>
      </c>
      <c r="AG105" s="1"/>
    </row>
    <row r="106" spans="1:33" x14ac:dyDescent="0.3">
      <c r="A106" s="4">
        <v>1917</v>
      </c>
      <c r="B106" s="1">
        <v>243060.46252035102</v>
      </c>
      <c r="C106" s="1">
        <v>235175.59963080173</v>
      </c>
      <c r="D106" s="1">
        <v>30694.489789071347</v>
      </c>
      <c r="E106" s="1">
        <v>310807.2318143078</v>
      </c>
      <c r="F106" s="1">
        <v>85915.723074602414</v>
      </c>
      <c r="G106" s="1">
        <v>3424.1737284072592</v>
      </c>
      <c r="H106" s="1">
        <v>1077.8585264763187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110931.37765075958</v>
      </c>
      <c r="O106" s="1">
        <v>18485.288282471527</v>
      </c>
      <c r="P106" s="1">
        <v>2758.2919360124283</v>
      </c>
      <c r="Q106" s="1"/>
      <c r="R106" s="1" t="s">
        <v>5</v>
      </c>
      <c r="S106" s="1" t="str">
        <f t="shared" si="2"/>
        <v>.</v>
      </c>
      <c r="T106" s="1" t="s">
        <v>5</v>
      </c>
      <c r="U106" s="1" t="s">
        <v>5</v>
      </c>
      <c r="V106" s="1" t="s">
        <v>5</v>
      </c>
      <c r="W106" s="1" t="s">
        <v>5</v>
      </c>
      <c r="X106" s="1" t="s">
        <v>5</v>
      </c>
      <c r="Y106" s="1" t="s">
        <v>5</v>
      </c>
      <c r="Z106" s="1" t="s">
        <v>5</v>
      </c>
      <c r="AA106" s="1" t="s">
        <v>5</v>
      </c>
      <c r="AB106" s="1" t="s">
        <v>5</v>
      </c>
      <c r="AC106" s="1" t="s">
        <v>5</v>
      </c>
      <c r="AD106" s="1" t="s">
        <v>5</v>
      </c>
      <c r="AE106" s="1" t="s">
        <v>5</v>
      </c>
      <c r="AF106" s="1" t="s">
        <v>5</v>
      </c>
      <c r="AG106" s="1"/>
    </row>
    <row r="107" spans="1:33" x14ac:dyDescent="0.3">
      <c r="A107" s="4">
        <v>1916</v>
      </c>
      <c r="B107" s="1">
        <v>219367.34511899605</v>
      </c>
      <c r="C107" s="1">
        <v>212251.08515317418</v>
      </c>
      <c r="D107" s="1">
        <v>28100.398974020529</v>
      </c>
      <c r="E107" s="1">
        <v>281268.68984685076</v>
      </c>
      <c r="F107" s="1">
        <v>70025.949772904758</v>
      </c>
      <c r="G107" s="1">
        <v>2895.7997862675652</v>
      </c>
      <c r="H107" s="1">
        <v>808.39389485723905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98100.880854869116</v>
      </c>
      <c r="O107" s="1">
        <v>16355.551084249893</v>
      </c>
      <c r="P107" s="1">
        <v>2440.50208876126</v>
      </c>
      <c r="Q107" s="1"/>
      <c r="R107" s="1" t="s">
        <v>5</v>
      </c>
      <c r="S107" s="1" t="str">
        <f t="shared" si="2"/>
        <v>.</v>
      </c>
      <c r="T107" s="1" t="s">
        <v>5</v>
      </c>
      <c r="U107" s="1" t="s">
        <v>5</v>
      </c>
      <c r="V107" s="1" t="s">
        <v>5</v>
      </c>
      <c r="W107" s="1" t="s">
        <v>5</v>
      </c>
      <c r="X107" s="1" t="s">
        <v>5</v>
      </c>
      <c r="Y107" s="1" t="s">
        <v>5</v>
      </c>
      <c r="Z107" s="1" t="s">
        <v>5</v>
      </c>
      <c r="AA107" s="1" t="s">
        <v>5</v>
      </c>
      <c r="AB107" s="1" t="s">
        <v>5</v>
      </c>
      <c r="AC107" s="1" t="s">
        <v>5</v>
      </c>
      <c r="AD107" s="1" t="s">
        <v>5</v>
      </c>
      <c r="AE107" s="1" t="s">
        <v>5</v>
      </c>
      <c r="AF107" s="1" t="s">
        <v>5</v>
      </c>
      <c r="AG107" s="1"/>
    </row>
    <row r="108" spans="1:33" x14ac:dyDescent="0.3">
      <c r="A108" s="4">
        <v>1915</v>
      </c>
      <c r="B108" s="1">
        <v>195993.2134902199</v>
      </c>
      <c r="C108" s="1">
        <v>189635.20857396105</v>
      </c>
      <c r="D108" s="1">
        <v>25209.236898877101</v>
      </c>
      <c r="E108" s="1">
        <v>251292.8121137378</v>
      </c>
      <c r="F108" s="1">
        <v>53446.55575043759</v>
      </c>
      <c r="G108" s="1">
        <v>2448.9576368684516</v>
      </c>
      <c r="H108" s="1">
        <v>606.29542114292929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85014.221280076614</v>
      </c>
      <c r="O108" s="1">
        <v>14180.752649638845</v>
      </c>
      <c r="P108" s="1">
        <v>2115.9884056109499</v>
      </c>
      <c r="Q108" s="1"/>
      <c r="R108" s="1" t="s">
        <v>5</v>
      </c>
      <c r="S108" s="1" t="str">
        <f t="shared" si="2"/>
        <v>.</v>
      </c>
      <c r="T108" s="1" t="s">
        <v>5</v>
      </c>
      <c r="U108" s="1" t="s">
        <v>5</v>
      </c>
      <c r="V108" s="1" t="s">
        <v>5</v>
      </c>
      <c r="W108" s="1" t="s">
        <v>5</v>
      </c>
      <c r="X108" s="1" t="s">
        <v>5</v>
      </c>
      <c r="Y108" s="1" t="s">
        <v>5</v>
      </c>
      <c r="Z108" s="1" t="s">
        <v>5</v>
      </c>
      <c r="AA108" s="1" t="s">
        <v>5</v>
      </c>
      <c r="AB108" s="1" t="s">
        <v>5</v>
      </c>
      <c r="AC108" s="1" t="s">
        <v>5</v>
      </c>
      <c r="AD108" s="1" t="s">
        <v>5</v>
      </c>
      <c r="AE108" s="1" t="s">
        <v>5</v>
      </c>
      <c r="AF108" s="1" t="s">
        <v>5</v>
      </c>
      <c r="AG108" s="1"/>
    </row>
    <row r="109" spans="1:33" x14ac:dyDescent="0.3">
      <c r="A109" s="4">
        <v>1914</v>
      </c>
      <c r="B109" s="1">
        <v>198315.1105528523</v>
      </c>
      <c r="C109" s="1">
        <v>191881.78347274716</v>
      </c>
      <c r="D109" s="1">
        <v>25118.630720312409</v>
      </c>
      <c r="E109" s="1">
        <v>253085.77891860879</v>
      </c>
      <c r="F109" s="1">
        <v>40792.510931282173</v>
      </c>
      <c r="G109" s="1">
        <v>2071.0663546620503</v>
      </c>
      <c r="H109" s="1">
        <v>454.72156585719699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81828.430061079052</v>
      </c>
      <c r="O109" s="1">
        <v>13655.966106922697</v>
      </c>
      <c r="P109" s="1">
        <v>2037.6821078252462</v>
      </c>
      <c r="Q109" s="1"/>
      <c r="R109" s="1" t="s">
        <v>5</v>
      </c>
      <c r="S109" s="1" t="str">
        <f t="shared" si="2"/>
        <v>.</v>
      </c>
      <c r="T109" s="1" t="s">
        <v>5</v>
      </c>
      <c r="U109" s="1" t="s">
        <v>5</v>
      </c>
      <c r="V109" s="1" t="s">
        <v>5</v>
      </c>
      <c r="W109" s="1" t="s">
        <v>5</v>
      </c>
      <c r="X109" s="1" t="s">
        <v>5</v>
      </c>
      <c r="Y109" s="1" t="s">
        <v>5</v>
      </c>
      <c r="Z109" s="1" t="s">
        <v>5</v>
      </c>
      <c r="AA109" s="1" t="s">
        <v>5</v>
      </c>
      <c r="AB109" s="1" t="s">
        <v>5</v>
      </c>
      <c r="AC109" s="1" t="s">
        <v>5</v>
      </c>
      <c r="AD109" s="1" t="s">
        <v>5</v>
      </c>
      <c r="AE109" s="1" t="s">
        <v>5</v>
      </c>
      <c r="AF109" s="1" t="s">
        <v>5</v>
      </c>
      <c r="AG109" s="1"/>
    </row>
    <row r="110" spans="1:33" x14ac:dyDescent="0.3">
      <c r="A110" s="4">
        <v>1913</v>
      </c>
      <c r="B110" s="1">
        <v>193718.47140409471</v>
      </c>
      <c r="C110" s="1">
        <v>187434.25894783612</v>
      </c>
      <c r="D110" s="1">
        <v>21858.892395200539</v>
      </c>
      <c r="E110" s="1">
        <v>237304.00785893906</v>
      </c>
      <c r="F110" s="1">
        <v>38248.796024749994</v>
      </c>
      <c r="G110" s="1">
        <v>1751.4863388564036</v>
      </c>
      <c r="H110" s="1">
        <v>341.04117439289774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76613.396282886766</v>
      </c>
      <c r="O110" s="1">
        <v>12791.710774771311</v>
      </c>
      <c r="P110" s="1">
        <v>1908.7217975016367</v>
      </c>
      <c r="Q110" s="1"/>
      <c r="R110" s="1" t="s">
        <v>5</v>
      </c>
      <c r="S110" s="1" t="str">
        <f t="shared" si="2"/>
        <v>.</v>
      </c>
      <c r="T110" s="1" t="s">
        <v>5</v>
      </c>
      <c r="U110" s="1" t="s">
        <v>5</v>
      </c>
      <c r="V110" s="1" t="s">
        <v>5</v>
      </c>
      <c r="W110" s="1" t="s">
        <v>5</v>
      </c>
      <c r="X110" s="1" t="s">
        <v>5</v>
      </c>
      <c r="Y110" s="1" t="s">
        <v>5</v>
      </c>
      <c r="Z110" s="1" t="s">
        <v>5</v>
      </c>
      <c r="AA110" s="1" t="s">
        <v>5</v>
      </c>
      <c r="AB110" s="1" t="s">
        <v>5</v>
      </c>
      <c r="AC110" s="1" t="s">
        <v>5</v>
      </c>
      <c r="AD110" s="1" t="s">
        <v>5</v>
      </c>
      <c r="AE110" s="1" t="s">
        <v>5</v>
      </c>
      <c r="AF110" s="1" t="s">
        <v>5</v>
      </c>
      <c r="AG110" s="1"/>
    </row>
    <row r="111" spans="1:33" x14ac:dyDescent="0.3">
      <c r="A111" s="4">
        <v>1912</v>
      </c>
      <c r="B111" s="1">
        <v>190708.15062720355</v>
      </c>
      <c r="C111" s="1">
        <v>184521.59274764257</v>
      </c>
      <c r="D111" s="1">
        <v>19182.711894678789</v>
      </c>
      <c r="E111" s="1">
        <v>224367.82765740674</v>
      </c>
      <c r="F111" s="1">
        <v>36163.735084009626</v>
      </c>
      <c r="G111" s="1">
        <v>1481.2197534352715</v>
      </c>
      <c r="H111" s="1">
        <v>255.78088079467329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72336.846226630223</v>
      </c>
      <c r="O111" s="1">
        <v>12083.270376405984</v>
      </c>
      <c r="P111" s="1">
        <v>1803.0114938214149</v>
      </c>
      <c r="Q111" s="1"/>
      <c r="R111" s="1" t="s">
        <v>5</v>
      </c>
      <c r="S111" s="1" t="str">
        <f t="shared" si="2"/>
        <v>.</v>
      </c>
      <c r="T111" s="1" t="s">
        <v>5</v>
      </c>
      <c r="U111" s="1" t="s">
        <v>5</v>
      </c>
      <c r="V111" s="1" t="s">
        <v>5</v>
      </c>
      <c r="W111" s="1" t="s">
        <v>5</v>
      </c>
      <c r="X111" s="1" t="s">
        <v>5</v>
      </c>
      <c r="Y111" s="1" t="s">
        <v>5</v>
      </c>
      <c r="Z111" s="1" t="s">
        <v>5</v>
      </c>
      <c r="AA111" s="1" t="s">
        <v>5</v>
      </c>
      <c r="AB111" s="1" t="s">
        <v>5</v>
      </c>
      <c r="AC111" s="1" t="s">
        <v>5</v>
      </c>
      <c r="AD111" s="1" t="s">
        <v>5</v>
      </c>
      <c r="AE111" s="1" t="s">
        <v>5</v>
      </c>
      <c r="AF111" s="1" t="s">
        <v>5</v>
      </c>
      <c r="AG111" s="1"/>
    </row>
    <row r="112" spans="1:33" x14ac:dyDescent="0.3">
      <c r="A112" s="4">
        <v>1911</v>
      </c>
      <c r="B112" s="1">
        <v>189363.95790866864</v>
      </c>
      <c r="C112" s="1">
        <v>183221.00553850594</v>
      </c>
      <c r="D112" s="1">
        <v>16989.271548437577</v>
      </c>
      <c r="E112" s="1">
        <v>214076.44427966818</v>
      </c>
      <c r="F112" s="1">
        <v>34504.964011497395</v>
      </c>
      <c r="G112" s="1">
        <v>1252.6571913768855</v>
      </c>
      <c r="H112" s="1">
        <v>191.83566059600497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68928.990816674312</v>
      </c>
      <c r="O112" s="1">
        <v>11519.224895779606</v>
      </c>
      <c r="P112" s="1">
        <v>1718.8471531315665</v>
      </c>
      <c r="Q112" s="1"/>
      <c r="R112" s="1" t="s">
        <v>5</v>
      </c>
      <c r="S112" s="1" t="str">
        <f t="shared" si="2"/>
        <v>.</v>
      </c>
      <c r="T112" s="1" t="s">
        <v>5</v>
      </c>
      <c r="U112" s="1" t="s">
        <v>5</v>
      </c>
      <c r="V112" s="1" t="s">
        <v>5</v>
      </c>
      <c r="W112" s="1" t="s">
        <v>5</v>
      </c>
      <c r="X112" s="1" t="s">
        <v>5</v>
      </c>
      <c r="Y112" s="1" t="s">
        <v>5</v>
      </c>
      <c r="Z112" s="1" t="s">
        <v>5</v>
      </c>
      <c r="AA112" s="1" t="s">
        <v>5</v>
      </c>
      <c r="AB112" s="1" t="s">
        <v>5</v>
      </c>
      <c r="AC112" s="1" t="s">
        <v>5</v>
      </c>
      <c r="AD112" s="1" t="s">
        <v>5</v>
      </c>
      <c r="AE112" s="1" t="s">
        <v>5</v>
      </c>
      <c r="AF112" s="1" t="s">
        <v>5</v>
      </c>
      <c r="AG112" s="1"/>
    </row>
    <row r="113" spans="1:33" x14ac:dyDescent="0.3">
      <c r="A113" s="4">
        <v>1910</v>
      </c>
      <c r="B113" s="1">
        <v>189761.59023716609</v>
      </c>
      <c r="C113" s="1">
        <v>183605.73870455573</v>
      </c>
      <c r="D113" s="1">
        <v>15193.707333708613</v>
      </c>
      <c r="E113" s="1">
        <v>206239.41087130687</v>
      </c>
      <c r="F113" s="1">
        <v>33241.786474041932</v>
      </c>
      <c r="G113" s="1">
        <v>1059.3634303546289</v>
      </c>
      <c r="H113" s="1">
        <v>143.87674544700371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66324.350334367075</v>
      </c>
      <c r="O113" s="1">
        <v>11088.843803958962</v>
      </c>
      <c r="P113" s="1">
        <v>1654.6276139585273</v>
      </c>
      <c r="Q113" s="1"/>
      <c r="R113" s="1" t="s">
        <v>5</v>
      </c>
      <c r="S113" s="1" t="str">
        <f t="shared" si="2"/>
        <v>.</v>
      </c>
      <c r="T113" s="1" t="s">
        <v>5</v>
      </c>
      <c r="U113" s="1" t="s">
        <v>5</v>
      </c>
      <c r="V113" s="1" t="s">
        <v>5</v>
      </c>
      <c r="W113" s="1" t="s">
        <v>5</v>
      </c>
      <c r="X113" s="1" t="s">
        <v>5</v>
      </c>
      <c r="Y113" s="1" t="s">
        <v>5</v>
      </c>
      <c r="Z113" s="1" t="s">
        <v>5</v>
      </c>
      <c r="AA113" s="1" t="s">
        <v>5</v>
      </c>
      <c r="AB113" s="1" t="s">
        <v>5</v>
      </c>
      <c r="AC113" s="1" t="s">
        <v>5</v>
      </c>
      <c r="AD113" s="1" t="s">
        <v>5</v>
      </c>
      <c r="AE113" s="1" t="s">
        <v>5</v>
      </c>
      <c r="AF113" s="1" t="s">
        <v>5</v>
      </c>
      <c r="AG113" s="1"/>
    </row>
    <row r="114" spans="1:33" x14ac:dyDescent="0.3">
      <c r="A114" s="4">
        <v>1909</v>
      </c>
      <c r="B114" s="1">
        <v>191972.81270272366</v>
      </c>
      <c r="C114" s="1">
        <v>185745.22928176576</v>
      </c>
      <c r="D114" s="1">
        <v>13724.740247447859</v>
      </c>
      <c r="E114" s="1">
        <v>200676.17288330127</v>
      </c>
      <c r="F114" s="1">
        <v>32345.100585926419</v>
      </c>
      <c r="G114" s="1">
        <v>895.89624783072554</v>
      </c>
      <c r="H114" s="1">
        <v>107.90755908525279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64461.418319373952</v>
      </c>
      <c r="O114" s="1">
        <v>10782.032917672705</v>
      </c>
      <c r="P114" s="1">
        <v>1608.8466674786889</v>
      </c>
      <c r="Q114" s="1"/>
      <c r="R114" s="1" t="s">
        <v>5</v>
      </c>
      <c r="S114" s="1" t="str">
        <f t="shared" si="2"/>
        <v>.</v>
      </c>
      <c r="T114" s="1" t="s">
        <v>5</v>
      </c>
      <c r="U114" s="1" t="s">
        <v>5</v>
      </c>
      <c r="V114" s="1" t="s">
        <v>5</v>
      </c>
      <c r="W114" s="1" t="s">
        <v>5</v>
      </c>
      <c r="X114" s="1" t="s">
        <v>5</v>
      </c>
      <c r="Y114" s="1" t="s">
        <v>5</v>
      </c>
      <c r="Z114" s="1" t="s">
        <v>5</v>
      </c>
      <c r="AA114" s="1" t="s">
        <v>5</v>
      </c>
      <c r="AB114" s="1" t="s">
        <v>5</v>
      </c>
      <c r="AC114" s="1" t="s">
        <v>5</v>
      </c>
      <c r="AD114" s="1" t="s">
        <v>5</v>
      </c>
      <c r="AE114" s="1" t="s">
        <v>5</v>
      </c>
      <c r="AF114" s="1" t="s">
        <v>5</v>
      </c>
      <c r="AG114" s="1"/>
    </row>
    <row r="115" spans="1:33" x14ac:dyDescent="0.3">
      <c r="A115" s="4">
        <v>1908</v>
      </c>
      <c r="B115" s="1">
        <v>177159.44562216755</v>
      </c>
      <c r="C115" s="1">
        <v>171412.40670092631</v>
      </c>
      <c r="D115" s="1">
        <v>12761.282450413446</v>
      </c>
      <c r="E115" s="1">
        <v>186670.5845876431</v>
      </c>
      <c r="F115" s="1">
        <v>30087.671835520778</v>
      </c>
      <c r="G115" s="1">
        <v>757.65319424749919</v>
      </c>
      <c r="H115" s="1">
        <v>80.930669313939589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59911.031895701875</v>
      </c>
      <c r="O115" s="1">
        <v>10025.149108207153</v>
      </c>
      <c r="P115" s="1">
        <v>1495.9078549351573</v>
      </c>
      <c r="Q115" s="1"/>
      <c r="R115" s="1" t="s">
        <v>5</v>
      </c>
      <c r="S115" s="1" t="str">
        <f t="shared" si="2"/>
        <v>.</v>
      </c>
      <c r="T115" s="1" t="s">
        <v>5</v>
      </c>
      <c r="U115" s="1" t="s">
        <v>5</v>
      </c>
      <c r="V115" s="1" t="s">
        <v>5</v>
      </c>
      <c r="W115" s="1" t="s">
        <v>5</v>
      </c>
      <c r="X115" s="1" t="s">
        <v>5</v>
      </c>
      <c r="Y115" s="1" t="s">
        <v>5</v>
      </c>
      <c r="Z115" s="1" t="s">
        <v>5</v>
      </c>
      <c r="AA115" s="1" t="s">
        <v>5</v>
      </c>
      <c r="AB115" s="1" t="s">
        <v>5</v>
      </c>
      <c r="AC115" s="1" t="s">
        <v>5</v>
      </c>
      <c r="AD115" s="1" t="s">
        <v>5</v>
      </c>
      <c r="AE115" s="1" t="s">
        <v>5</v>
      </c>
      <c r="AF115" s="1" t="s">
        <v>5</v>
      </c>
      <c r="AG115" s="1"/>
    </row>
    <row r="116" spans="1:33" x14ac:dyDescent="0.3">
      <c r="A116" s="4">
        <v>1907</v>
      </c>
      <c r="B116" s="1">
        <v>162411.29247859161</v>
      </c>
      <c r="C116" s="1">
        <v>157142.68252191896</v>
      </c>
      <c r="D116" s="1">
        <v>11788.298028226867</v>
      </c>
      <c r="E116" s="1">
        <v>172500.92385820378</v>
      </c>
      <c r="F116" s="1">
        <v>27803.797796181338</v>
      </c>
      <c r="G116" s="1">
        <v>640.742010186318</v>
      </c>
      <c r="H116" s="1">
        <v>60.698001985454695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55320.301130963002</v>
      </c>
      <c r="O116" s="1">
        <v>9260.7812674132838</v>
      </c>
      <c r="P116" s="1">
        <v>1381.8523087520782</v>
      </c>
      <c r="Q116" s="1"/>
      <c r="R116" s="1" t="s">
        <v>5</v>
      </c>
      <c r="S116" s="1" t="str">
        <f t="shared" si="2"/>
        <v>.</v>
      </c>
      <c r="T116" s="1" t="s">
        <v>5</v>
      </c>
      <c r="U116" s="1" t="s">
        <v>5</v>
      </c>
      <c r="V116" s="1" t="s">
        <v>5</v>
      </c>
      <c r="W116" s="1" t="s">
        <v>5</v>
      </c>
      <c r="X116" s="1" t="s">
        <v>5</v>
      </c>
      <c r="Y116" s="1" t="s">
        <v>5</v>
      </c>
      <c r="Z116" s="1" t="s">
        <v>5</v>
      </c>
      <c r="AA116" s="1" t="s">
        <v>5</v>
      </c>
      <c r="AB116" s="1" t="s">
        <v>5</v>
      </c>
      <c r="AC116" s="1" t="s">
        <v>5</v>
      </c>
      <c r="AD116" s="1" t="s">
        <v>5</v>
      </c>
      <c r="AE116" s="1" t="s">
        <v>5</v>
      </c>
      <c r="AF116" s="1" t="s">
        <v>5</v>
      </c>
      <c r="AG116" s="1"/>
    </row>
    <row r="117" spans="1:33" x14ac:dyDescent="0.3">
      <c r="A117" s="4">
        <v>1906</v>
      </c>
      <c r="B117" s="1">
        <v>152494.35989663855</v>
      </c>
      <c r="C117" s="1">
        <v>147547.45447752334</v>
      </c>
      <c r="D117" s="1">
        <v>11152.849501814275</v>
      </c>
      <c r="E117" s="1">
        <v>163267.90928943775</v>
      </c>
      <c r="F117" s="1">
        <v>26315.615215024918</v>
      </c>
      <c r="G117" s="1">
        <v>541.87103906472942</v>
      </c>
      <c r="H117" s="1">
        <v>45.523501489091018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52317.179197243961</v>
      </c>
      <c r="O117" s="1">
        <v>8761.5786008607265</v>
      </c>
      <c r="P117" s="1">
        <v>1307.3635223968502</v>
      </c>
      <c r="Q117" s="1"/>
      <c r="R117" s="1" t="s">
        <v>5</v>
      </c>
      <c r="S117" s="1" t="str">
        <f t="shared" si="2"/>
        <v>.</v>
      </c>
      <c r="T117" s="1" t="s">
        <v>5</v>
      </c>
      <c r="U117" s="1" t="s">
        <v>5</v>
      </c>
      <c r="V117" s="1" t="s">
        <v>5</v>
      </c>
      <c r="W117" s="1" t="s">
        <v>5</v>
      </c>
      <c r="X117" s="1" t="s">
        <v>5</v>
      </c>
      <c r="Y117" s="1" t="s">
        <v>5</v>
      </c>
      <c r="Z117" s="1" t="s">
        <v>5</v>
      </c>
      <c r="AA117" s="1" t="s">
        <v>5</v>
      </c>
      <c r="AB117" s="1" t="s">
        <v>5</v>
      </c>
      <c r="AC117" s="1" t="s">
        <v>5</v>
      </c>
      <c r="AD117" s="1" t="s">
        <v>5</v>
      </c>
      <c r="AE117" s="1" t="s">
        <v>5</v>
      </c>
      <c r="AF117" s="1" t="s">
        <v>5</v>
      </c>
      <c r="AG117" s="1"/>
    </row>
    <row r="118" spans="1:33" x14ac:dyDescent="0.3">
      <c r="A118" s="4">
        <v>1905</v>
      </c>
      <c r="B118" s="1">
        <v>147374.95627095687</v>
      </c>
      <c r="C118" s="1">
        <v>142594.12391549911</v>
      </c>
      <c r="D118" s="1">
        <v>10860.471880742291</v>
      </c>
      <c r="E118" s="1">
        <v>159056.30594758713</v>
      </c>
      <c r="F118" s="1">
        <v>25636.786574021291</v>
      </c>
      <c r="G118" s="1">
        <v>458.25654992047117</v>
      </c>
      <c r="H118" s="1">
        <v>34.142626116818263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50925.608957362412</v>
      </c>
      <c r="O118" s="1">
        <v>8531.8893624523589</v>
      </c>
      <c r="P118" s="1">
        <v>1273.0903228443501</v>
      </c>
      <c r="Q118" s="1"/>
      <c r="R118" s="1" t="s">
        <v>5</v>
      </c>
      <c r="S118" s="1" t="str">
        <f t="shared" si="2"/>
        <v>.</v>
      </c>
      <c r="T118" s="1" t="s">
        <v>5</v>
      </c>
      <c r="U118" s="1" t="s">
        <v>5</v>
      </c>
      <c r="V118" s="1" t="s">
        <v>5</v>
      </c>
      <c r="W118" s="1" t="s">
        <v>5</v>
      </c>
      <c r="X118" s="1" t="s">
        <v>5</v>
      </c>
      <c r="Y118" s="1" t="s">
        <v>5</v>
      </c>
      <c r="Z118" s="1" t="s">
        <v>5</v>
      </c>
      <c r="AA118" s="1" t="s">
        <v>5</v>
      </c>
      <c r="AB118" s="1" t="s">
        <v>5</v>
      </c>
      <c r="AC118" s="1" t="s">
        <v>5</v>
      </c>
      <c r="AD118" s="1" t="s">
        <v>5</v>
      </c>
      <c r="AE118" s="1" t="s">
        <v>5</v>
      </c>
      <c r="AF118" s="1" t="s">
        <v>5</v>
      </c>
      <c r="AG118" s="1"/>
    </row>
    <row r="119" spans="1:33" x14ac:dyDescent="0.3">
      <c r="A119" s="4">
        <v>1904</v>
      </c>
      <c r="B119" s="1">
        <v>142276.45986230663</v>
      </c>
      <c r="C119" s="1">
        <v>137661.02234197842</v>
      </c>
      <c r="D119" s="1">
        <v>10565.435735194411</v>
      </c>
      <c r="E119" s="1">
        <v>154792.10191728256</v>
      </c>
      <c r="F119" s="1">
        <v>24949.479723898505</v>
      </c>
      <c r="G119" s="1">
        <v>387.5443609377466</v>
      </c>
      <c r="H119" s="1">
        <v>25.606969587613698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49523.11144161602</v>
      </c>
      <c r="O119" s="1">
        <v>8300.1116110452203</v>
      </c>
      <c r="P119" s="1">
        <v>1238.5054847350293</v>
      </c>
      <c r="Q119" s="1"/>
      <c r="R119" s="1" t="s">
        <v>5</v>
      </c>
      <c r="S119" s="1" t="str">
        <f t="shared" si="2"/>
        <v>.</v>
      </c>
      <c r="T119" s="1" t="s">
        <v>5</v>
      </c>
      <c r="U119" s="1" t="s">
        <v>5</v>
      </c>
      <c r="V119" s="1" t="s">
        <v>5</v>
      </c>
      <c r="W119" s="1" t="s">
        <v>5</v>
      </c>
      <c r="X119" s="1" t="s">
        <v>5</v>
      </c>
      <c r="Y119" s="1" t="s">
        <v>5</v>
      </c>
      <c r="Z119" s="1" t="s">
        <v>5</v>
      </c>
      <c r="AA119" s="1" t="s">
        <v>5</v>
      </c>
      <c r="AB119" s="1" t="s">
        <v>5</v>
      </c>
      <c r="AC119" s="1" t="s">
        <v>5</v>
      </c>
      <c r="AD119" s="1" t="s">
        <v>5</v>
      </c>
      <c r="AE119" s="1" t="s">
        <v>5</v>
      </c>
      <c r="AF119" s="1" t="s">
        <v>5</v>
      </c>
      <c r="AG119" s="1"/>
    </row>
    <row r="120" spans="1:33" x14ac:dyDescent="0.3">
      <c r="A120" s="4">
        <v>1903</v>
      </c>
      <c r="B120" s="1">
        <v>123006.04754622617</v>
      </c>
      <c r="C120" s="1">
        <v>119015.74073354919</v>
      </c>
      <c r="D120" s="1">
        <v>9207.4957559593677</v>
      </c>
      <c r="E120" s="1">
        <v>134908.47580056867</v>
      </c>
      <c r="F120" s="1">
        <v>21744.625467822647</v>
      </c>
      <c r="G120" s="1">
        <v>327.74355701126689</v>
      </c>
      <c r="H120" s="1">
        <v>19.205227190710271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43141.857595637019</v>
      </c>
      <c r="O120" s="1">
        <v>7233.326135155532</v>
      </c>
      <c r="P120" s="1">
        <v>1079.3245333407301</v>
      </c>
      <c r="Q120" s="1"/>
      <c r="R120" s="1" t="s">
        <v>5</v>
      </c>
      <c r="S120" s="1" t="str">
        <f t="shared" si="2"/>
        <v>.</v>
      </c>
      <c r="T120" s="1" t="s">
        <v>5</v>
      </c>
      <c r="U120" s="1" t="s">
        <v>5</v>
      </c>
      <c r="V120" s="1" t="s">
        <v>5</v>
      </c>
      <c r="W120" s="1" t="s">
        <v>5</v>
      </c>
      <c r="X120" s="1" t="s">
        <v>5</v>
      </c>
      <c r="Y120" s="1" t="s">
        <v>5</v>
      </c>
      <c r="Z120" s="1" t="s">
        <v>5</v>
      </c>
      <c r="AA120" s="1" t="s">
        <v>5</v>
      </c>
      <c r="AB120" s="1" t="s">
        <v>5</v>
      </c>
      <c r="AC120" s="1" t="s">
        <v>5</v>
      </c>
      <c r="AD120" s="1" t="s">
        <v>5</v>
      </c>
      <c r="AE120" s="1" t="s">
        <v>5</v>
      </c>
      <c r="AF120" s="1" t="s">
        <v>5</v>
      </c>
      <c r="AG120" s="1"/>
    </row>
    <row r="121" spans="1:33" x14ac:dyDescent="0.3">
      <c r="A121" s="4">
        <v>1902</v>
      </c>
      <c r="B121" s="1">
        <v>108545.96961672214</v>
      </c>
      <c r="C121" s="1">
        <v>105024.74663061276</v>
      </c>
      <c r="D121" s="1">
        <v>8189.9505206004014</v>
      </c>
      <c r="E121" s="1">
        <v>120014.04359322935</v>
      </c>
      <c r="F121" s="1">
        <v>19343.93234618926</v>
      </c>
      <c r="G121" s="1">
        <v>277.17043515349292</v>
      </c>
      <c r="H121" s="1">
        <v>14.403920393032703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38360.047636424628</v>
      </c>
      <c r="O121" s="1">
        <v>6433.9517189510798</v>
      </c>
      <c r="P121" s="1">
        <v>960.04546274261759</v>
      </c>
      <c r="Q121" s="1"/>
      <c r="R121" s="1" t="s">
        <v>5</v>
      </c>
      <c r="S121" s="1" t="str">
        <f t="shared" si="2"/>
        <v>.</v>
      </c>
      <c r="T121" s="1" t="s">
        <v>5</v>
      </c>
      <c r="U121" s="1" t="s">
        <v>5</v>
      </c>
      <c r="V121" s="1" t="s">
        <v>5</v>
      </c>
      <c r="W121" s="1" t="s">
        <v>5</v>
      </c>
      <c r="X121" s="1" t="s">
        <v>5</v>
      </c>
      <c r="Y121" s="1" t="s">
        <v>5</v>
      </c>
      <c r="Z121" s="1" t="s">
        <v>5</v>
      </c>
      <c r="AA121" s="1" t="s">
        <v>5</v>
      </c>
      <c r="AB121" s="1" t="s">
        <v>5</v>
      </c>
      <c r="AC121" s="1" t="s">
        <v>5</v>
      </c>
      <c r="AD121" s="1" t="s">
        <v>5</v>
      </c>
      <c r="AE121" s="1" t="s">
        <v>5</v>
      </c>
      <c r="AF121" s="1" t="s">
        <v>5</v>
      </c>
      <c r="AG121" s="1"/>
    </row>
    <row r="122" spans="1:33" x14ac:dyDescent="0.3">
      <c r="A122" s="4">
        <v>1901</v>
      </c>
      <c r="B122" s="1">
        <v>94154.255198898623</v>
      </c>
      <c r="C122" s="1">
        <v>91099.898332245371</v>
      </c>
      <c r="D122" s="1">
        <v>7161.2205354895405</v>
      </c>
      <c r="E122" s="1">
        <v>104947.61490380904</v>
      </c>
      <c r="F122" s="1">
        <v>16915.516732974531</v>
      </c>
      <c r="G122" s="1">
        <v>234.40109951737554</v>
      </c>
      <c r="H122" s="1">
        <v>10.802940294774526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33529.657139797673</v>
      </c>
      <c r="O122" s="1">
        <v>5625.7906635952377</v>
      </c>
      <c r="P122" s="1">
        <v>839.4552891989855</v>
      </c>
      <c r="Q122" s="1"/>
      <c r="R122" s="1" t="s">
        <v>5</v>
      </c>
      <c r="S122" s="1" t="str">
        <f t="shared" si="2"/>
        <v>.</v>
      </c>
      <c r="T122" s="1" t="s">
        <v>5</v>
      </c>
      <c r="U122" s="1" t="s">
        <v>5</v>
      </c>
      <c r="V122" s="1" t="s">
        <v>5</v>
      </c>
      <c r="W122" s="1" t="s">
        <v>5</v>
      </c>
      <c r="X122" s="1" t="s">
        <v>5</v>
      </c>
      <c r="Y122" s="1" t="s">
        <v>5</v>
      </c>
      <c r="Z122" s="1" t="s">
        <v>5</v>
      </c>
      <c r="AA122" s="1" t="s">
        <v>5</v>
      </c>
      <c r="AB122" s="1" t="s">
        <v>5</v>
      </c>
      <c r="AC122" s="1" t="s">
        <v>5</v>
      </c>
      <c r="AD122" s="1" t="s">
        <v>5</v>
      </c>
      <c r="AE122" s="1" t="s">
        <v>5</v>
      </c>
      <c r="AF122" s="1" t="s">
        <v>5</v>
      </c>
      <c r="AG122" s="1"/>
    </row>
    <row r="123" spans="1:33" x14ac:dyDescent="0.3">
      <c r="A123" s="4">
        <v>1900</v>
      </c>
      <c r="B123" s="1">
        <v>84527.456227766845</v>
      </c>
      <c r="C123" s="1">
        <v>81785.391986436298</v>
      </c>
      <c r="D123" s="1">
        <v>6480.4717891231621</v>
      </c>
      <c r="E123" s="1">
        <v>94984.6501149908</v>
      </c>
      <c r="F123" s="1">
        <v>15309.680356895311</v>
      </c>
      <c r="G123" s="1">
        <v>198.23137133845998</v>
      </c>
      <c r="H123" s="1">
        <v>8.1022052210808955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30331.680196690108</v>
      </c>
      <c r="O123" s="1">
        <v>5091.0005502922504</v>
      </c>
      <c r="P123" s="1">
        <v>759.65630340867142</v>
      </c>
      <c r="Q123" s="1"/>
      <c r="R123" s="1" t="s">
        <v>5</v>
      </c>
      <c r="S123" s="1" t="str">
        <f t="shared" si="2"/>
        <v>.</v>
      </c>
      <c r="T123" s="1" t="s">
        <v>5</v>
      </c>
      <c r="U123" s="1" t="s">
        <v>5</v>
      </c>
      <c r="V123" s="1" t="s">
        <v>5</v>
      </c>
      <c r="W123" s="1" t="s">
        <v>5</v>
      </c>
      <c r="X123" s="1" t="s">
        <v>5</v>
      </c>
      <c r="Y123" s="1" t="s">
        <v>5</v>
      </c>
      <c r="Z123" s="1" t="s">
        <v>5</v>
      </c>
      <c r="AA123" s="1" t="s">
        <v>5</v>
      </c>
      <c r="AB123" s="1" t="s">
        <v>5</v>
      </c>
      <c r="AC123" s="1" t="s">
        <v>5</v>
      </c>
      <c r="AD123" s="1" t="s">
        <v>5</v>
      </c>
      <c r="AE123" s="1" t="s">
        <v>5</v>
      </c>
      <c r="AF123" s="1" t="s">
        <v>5</v>
      </c>
      <c r="AG123" s="1"/>
    </row>
  </sheetData>
  <mergeCells count="2">
    <mergeCell ref="B1:P1"/>
    <mergeCell ref="R1:AF1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BB73-FDE9-4912-BFA6-108E6C6411BB}">
  <sheetPr codeName="Sheet1"/>
  <dimension ref="A1:AF125"/>
  <sheetViews>
    <sheetView workbookViewId="0">
      <selection activeCell="C1" sqref="C1:O1048576"/>
    </sheetView>
  </sheetViews>
  <sheetFormatPr defaultRowHeight="14.4" x14ac:dyDescent="0.3"/>
  <cols>
    <col min="1" max="1" width="8.88671875" style="4"/>
    <col min="2" max="2" width="13" style="4" customWidth="1"/>
    <col min="3" max="9" width="8.88671875" style="4"/>
    <col min="11" max="14" width="8.88671875" style="4"/>
    <col min="16" max="16384" width="8.88671875" style="4"/>
  </cols>
  <sheetData>
    <row r="1" spans="1:32" x14ac:dyDescent="0.3">
      <c r="B1" s="4" t="s">
        <v>289</v>
      </c>
      <c r="C1" s="4" t="s">
        <v>254</v>
      </c>
      <c r="D1" s="4" t="s">
        <v>255</v>
      </c>
      <c r="E1" s="4" t="s">
        <v>219</v>
      </c>
      <c r="F1" s="4" t="s">
        <v>230</v>
      </c>
      <c r="G1" s="4" t="s">
        <v>123</v>
      </c>
      <c r="H1" s="4" t="s">
        <v>10</v>
      </c>
      <c r="I1" s="4" t="s">
        <v>229</v>
      </c>
      <c r="K1" s="4" t="s">
        <v>124</v>
      </c>
      <c r="L1" s="4" t="s">
        <v>125</v>
      </c>
      <c r="M1" s="4" t="s">
        <v>120</v>
      </c>
      <c r="N1" s="4" t="s">
        <v>121</v>
      </c>
      <c r="O1" t="s">
        <v>122</v>
      </c>
      <c r="T1" s="25" t="s">
        <v>193</v>
      </c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x14ac:dyDescent="0.3">
      <c r="A2" s="4">
        <v>2020</v>
      </c>
      <c r="B2" s="1">
        <f>(E2*G2*0.01+H2)*100*C2/((E$2*G$2*0.01+H$2)*C$2)</f>
        <v>100</v>
      </c>
      <c r="C2" s="4">
        <v>331.44928099999998</v>
      </c>
      <c r="D2" s="4">
        <v>18.402334630350193</v>
      </c>
      <c r="E2" s="4">
        <v>214</v>
      </c>
      <c r="G2" s="5">
        <v>78.038680630574959</v>
      </c>
      <c r="H2" s="4">
        <v>133</v>
      </c>
      <c r="K2" s="4">
        <v>4.2879499217527428E-2</v>
      </c>
      <c r="O2" s="4"/>
    </row>
    <row r="3" spans="1:32" x14ac:dyDescent="0.3">
      <c r="A3" s="4">
        <v>2019</v>
      </c>
      <c r="B3" s="1">
        <f>(E3*G3*0.01+H3)*100*C3/((E$2*G$2*0.01+H$2)*C$2)</f>
        <v>86.350335342666199</v>
      </c>
      <c r="C3" s="4">
        <v>329.10572873903209</v>
      </c>
      <c r="D3" s="4">
        <v>18.554737751424618</v>
      </c>
      <c r="E3" s="4">
        <v>207</v>
      </c>
      <c r="G3" s="5">
        <v>74.830007387361036</v>
      </c>
      <c r="H3" s="4">
        <v>106</v>
      </c>
    </row>
    <row r="4" spans="1:32" x14ac:dyDescent="0.3">
      <c r="A4" s="4">
        <v>2018</v>
      </c>
      <c r="B4" s="1">
        <f>(E4*G4*0.01+H4)*100*C4/((E$2*G$2*0.01+H$2)*C$2)</f>
        <v>81.139184867276541</v>
      </c>
      <c r="C4" s="4">
        <v>326.77874684799622</v>
      </c>
      <c r="D4" s="4">
        <v>18.708403033620428</v>
      </c>
      <c r="E4" s="4">
        <v>222</v>
      </c>
      <c r="G4" s="5">
        <v>72.476991668960139</v>
      </c>
      <c r="H4" s="4">
        <v>86</v>
      </c>
      <c r="L4" s="25">
        <v>0.23333333333333339</v>
      </c>
      <c r="M4" s="4">
        <v>205.98</v>
      </c>
      <c r="O4" s="1">
        <v>276</v>
      </c>
    </row>
    <row r="5" spans="1:32" x14ac:dyDescent="0.3">
      <c r="A5" s="4">
        <v>2017</v>
      </c>
      <c r="B5" s="1">
        <f>(E5*G5*0.01+H5)*100*C5/((E$2*G$2*0.01+H$2)*C$2)</f>
        <v>78.748431652802836</v>
      </c>
      <c r="C5" s="4">
        <v>324.46821816408612</v>
      </c>
      <c r="D5" s="4">
        <v>18.863340929812118</v>
      </c>
      <c r="E5" s="5">
        <v>228.9375</v>
      </c>
      <c r="F5" s="5">
        <v>0.30385877155906749</v>
      </c>
      <c r="G5" s="5">
        <v>70.906007109170858</v>
      </c>
      <c r="H5" s="5">
        <v>79</v>
      </c>
      <c r="I5" s="5">
        <v>1.3948513696862832</v>
      </c>
      <c r="L5" s="25"/>
      <c r="O5" s="1">
        <v>282</v>
      </c>
    </row>
    <row r="6" spans="1:32" x14ac:dyDescent="0.3">
      <c r="A6" s="4">
        <v>2016</v>
      </c>
      <c r="B6" s="1">
        <f>(E$5*(F6/F$5)*G6*0.01+H$5*(I6/I$5))*100*C6/((E$2*G$2*0.01+H$2)*C$2)</f>
        <v>74.271191763318967</v>
      </c>
      <c r="C6" s="4">
        <v>322.17402635290921</v>
      </c>
      <c r="D6" s="4">
        <v>19.019561979442035</v>
      </c>
      <c r="F6" s="5">
        <v>0.30924633843068217</v>
      </c>
      <c r="G6" s="5">
        <v>69.369074631708187</v>
      </c>
      <c r="I6" s="5">
        <v>1.1936178958781896</v>
      </c>
      <c r="L6" s="25"/>
      <c r="O6" s="1">
        <v>287</v>
      </c>
      <c r="P6" s="5"/>
      <c r="Q6" s="5"/>
      <c r="R6" s="5"/>
      <c r="S6" s="5"/>
    </row>
    <row r="7" spans="1:32" x14ac:dyDescent="0.3">
      <c r="A7" s="4">
        <v>2015</v>
      </c>
      <c r="B7" s="1">
        <f t="shared" ref="B7:B70" si="0">(E$5*(F7/F$5)*G7*0.01+H$5*(I7/I$5))*100*C7/((E$2*G$2*0.01+H$2)*C$2)</f>
        <v>69.647712592958129</v>
      </c>
      <c r="C7" s="4">
        <v>319.89605590262937</v>
      </c>
      <c r="D7" s="4">
        <v>19.177076809237313</v>
      </c>
      <c r="F7" s="5">
        <v>0.30993860862045425</v>
      </c>
      <c r="G7" s="5">
        <v>67.865456136185614</v>
      </c>
      <c r="I7" s="5">
        <v>1.0242978142317913</v>
      </c>
      <c r="L7" s="25"/>
      <c r="O7" s="1">
        <v>289</v>
      </c>
      <c r="P7" s="5"/>
      <c r="Q7" s="5"/>
      <c r="R7" s="5"/>
    </row>
    <row r="8" spans="1:32" x14ac:dyDescent="0.3">
      <c r="A8" s="4">
        <v>2014</v>
      </c>
      <c r="B8" s="1">
        <f t="shared" si="0"/>
        <v>65.163906359293335</v>
      </c>
      <c r="C8" s="4">
        <v>317.63419211815091</v>
      </c>
      <c r="D8" s="4">
        <v>19.335896133932749</v>
      </c>
      <c r="F8" s="5">
        <v>0.32067640134331199</v>
      </c>
      <c r="G8" s="5">
        <v>66.39442952100859</v>
      </c>
      <c r="I8" s="5">
        <v>0.76949359285018404</v>
      </c>
      <c r="L8" s="25"/>
      <c r="O8" s="1">
        <v>297</v>
      </c>
      <c r="P8" s="5"/>
      <c r="Q8" s="5"/>
      <c r="R8" s="5"/>
    </row>
    <row r="9" spans="1:32" x14ac:dyDescent="0.3">
      <c r="A9" s="4">
        <v>2013</v>
      </c>
      <c r="B9" s="1">
        <f t="shared" si="0"/>
        <v>61.018792408979856</v>
      </c>
      <c r="C9" s="4">
        <v>315.38832111534367</v>
      </c>
      <c r="D9" s="4">
        <v>19.496030756999655</v>
      </c>
      <c r="F9" s="5">
        <v>0.32574459542298456</v>
      </c>
      <c r="G9" s="5">
        <v>64.95528833659057</v>
      </c>
      <c r="I9" s="5">
        <v>0.58199491249378166</v>
      </c>
      <c r="L9" s="25"/>
      <c r="M9" s="4">
        <v>204</v>
      </c>
      <c r="O9" s="1">
        <v>305</v>
      </c>
      <c r="P9" s="5"/>
      <c r="Q9" s="5"/>
      <c r="R9" s="5"/>
    </row>
    <row r="10" spans="1:32" x14ac:dyDescent="0.3">
      <c r="A10" s="4">
        <v>2012</v>
      </c>
      <c r="B10" s="1">
        <f t="shared" si="0"/>
        <v>56.305654478162211</v>
      </c>
      <c r="C10" s="4">
        <v>313.158329815309</v>
      </c>
      <c r="D10" s="4">
        <v>19.657491571380746</v>
      </c>
      <c r="F10" s="5">
        <v>0.31847296037177264</v>
      </c>
      <c r="G10" s="5">
        <v>62.806038882589739</v>
      </c>
      <c r="I10" s="5">
        <v>0.49583755065730606</v>
      </c>
      <c r="L10" s="25"/>
      <c r="O10" s="1">
        <v>313</v>
      </c>
      <c r="P10" s="5"/>
      <c r="Q10" s="5"/>
      <c r="R10" s="5"/>
    </row>
    <row r="11" spans="1:32" x14ac:dyDescent="0.3">
      <c r="A11" s="4">
        <v>2011</v>
      </c>
      <c r="B11" s="1">
        <f t="shared" si="0"/>
        <v>51.258304516278898</v>
      </c>
      <c r="C11" s="4">
        <v>310.94410593868639</v>
      </c>
      <c r="D11" s="4">
        <v>19.820289560231117</v>
      </c>
      <c r="F11" s="5">
        <v>0.31491234869535256</v>
      </c>
      <c r="G11" s="5">
        <v>60.727904088131098</v>
      </c>
      <c r="I11" s="5">
        <v>0.35013683252963457</v>
      </c>
      <c r="L11" s="25"/>
      <c r="O11" s="1">
        <v>314</v>
      </c>
      <c r="P11" s="5"/>
      <c r="Q11" s="5"/>
      <c r="R11" s="5"/>
    </row>
    <row r="12" spans="1:32" x14ac:dyDescent="0.3">
      <c r="A12" s="4">
        <v>2010</v>
      </c>
      <c r="B12" s="1">
        <f t="shared" si="0"/>
        <v>47.830276760826798</v>
      </c>
      <c r="C12" s="4">
        <v>308.74553800000001</v>
      </c>
      <c r="D12" s="4">
        <v>19.984435797665366</v>
      </c>
      <c r="F12" s="5">
        <v>0.30791428365427215</v>
      </c>
      <c r="G12" s="5">
        <v>58.71853090164479</v>
      </c>
      <c r="I12" s="5">
        <v>0.31465379203057364</v>
      </c>
      <c r="L12" s="25"/>
      <c r="O12" s="1">
        <v>314</v>
      </c>
      <c r="P12" s="5"/>
      <c r="Q12" s="5"/>
      <c r="R12" s="5"/>
    </row>
    <row r="13" spans="1:32" x14ac:dyDescent="0.3">
      <c r="A13" s="4">
        <v>2009</v>
      </c>
      <c r="B13" s="1">
        <f t="shared" si="0"/>
        <v>42.625465732477046</v>
      </c>
      <c r="C13" s="4">
        <v>305.89784037524367</v>
      </c>
      <c r="D13" s="4">
        <v>20.121672673259901</v>
      </c>
      <c r="F13" s="5">
        <v>0.29489770853515318</v>
      </c>
      <c r="G13" s="5">
        <v>56.775644129652726</v>
      </c>
      <c r="I13" s="5">
        <v>0.2191437789174692</v>
      </c>
      <c r="L13" s="25"/>
      <c r="O13" s="1">
        <v>300.99605258948071</v>
      </c>
      <c r="P13" s="5"/>
      <c r="Q13" s="5"/>
      <c r="R13" s="5"/>
    </row>
    <row r="14" spans="1:32" x14ac:dyDescent="0.3">
      <c r="A14" s="4">
        <v>2008</v>
      </c>
      <c r="B14" s="1">
        <f t="shared" si="0"/>
        <v>39.767786844229107</v>
      </c>
      <c r="C14" s="4">
        <v>303.07640833416031</v>
      </c>
      <c r="D14" s="4">
        <v>20.259851980265246</v>
      </c>
      <c r="F14" s="5">
        <v>0.29622711974728738</v>
      </c>
      <c r="G14" s="5">
        <v>54.897043860589434</v>
      </c>
      <c r="I14" s="5">
        <v>0.14036671516770977</v>
      </c>
      <c r="L14" s="25"/>
      <c r="M14" s="4">
        <v>171</v>
      </c>
      <c r="N14" s="4">
        <v>891</v>
      </c>
      <c r="O14" s="1">
        <v>302.50415095727993</v>
      </c>
      <c r="P14" s="5"/>
      <c r="Q14" s="5"/>
      <c r="R14" s="5"/>
    </row>
    <row r="15" spans="1:32" x14ac:dyDescent="0.3">
      <c r="A15" s="4">
        <v>2007</v>
      </c>
      <c r="B15" s="1">
        <f t="shared" si="0"/>
        <v>35.782172474559268</v>
      </c>
      <c r="C15" s="4">
        <v>300.28099961757209</v>
      </c>
      <c r="D15" s="4">
        <v>20.398980190534971</v>
      </c>
      <c r="F15" s="5">
        <v>0.29068231544117096</v>
      </c>
      <c r="G15" s="5">
        <v>52.752174481195503</v>
      </c>
      <c r="I15" s="5">
        <v>5.2216440833096053E-2</v>
      </c>
      <c r="L15" s="25"/>
      <c r="N15" s="4">
        <v>840</v>
      </c>
      <c r="O15" s="1">
        <v>296.78470329217919</v>
      </c>
      <c r="P15" s="5"/>
      <c r="Q15" s="5"/>
      <c r="R15" s="5"/>
    </row>
    <row r="16" spans="1:32" x14ac:dyDescent="0.3">
      <c r="A16" s="4">
        <v>2006</v>
      </c>
      <c r="B16" s="1">
        <f t="shared" si="0"/>
        <v>33.745662656589325</v>
      </c>
      <c r="C16" s="4">
        <v>297.51137420076537</v>
      </c>
      <c r="D16" s="4">
        <v>20.539063820366088</v>
      </c>
      <c r="F16" s="5">
        <v>0.27988167674984815</v>
      </c>
      <c r="G16" s="5">
        <v>52.778840762481742</v>
      </c>
      <c r="I16" s="5">
        <v>2.631543077361554E-2</v>
      </c>
      <c r="L16" s="25"/>
      <c r="N16" s="4">
        <v>809</v>
      </c>
      <c r="O16" s="1">
        <v>285.68751913012767</v>
      </c>
      <c r="P16" s="5"/>
      <c r="Q16" s="5"/>
      <c r="R16" s="5"/>
    </row>
    <row r="17" spans="1:18" x14ac:dyDescent="0.3">
      <c r="A17" s="4">
        <v>2005</v>
      </c>
      <c r="B17" s="1">
        <f t="shared" si="0"/>
        <v>32.137986018646643</v>
      </c>
      <c r="C17" s="4">
        <v>294.76729427288137</v>
      </c>
      <c r="D17" s="4">
        <v>20.680109430804247</v>
      </c>
      <c r="F17" s="5">
        <v>0.27018126918113111</v>
      </c>
      <c r="G17" s="5">
        <v>52.801348183917973</v>
      </c>
      <c r="I17" s="5">
        <v>1.6397377975124083E-2</v>
      </c>
      <c r="L17" s="25"/>
      <c r="N17" s="4">
        <v>781</v>
      </c>
      <c r="O17" s="1">
        <v>275.68212995080989</v>
      </c>
      <c r="P17" s="5"/>
      <c r="Q17" s="5"/>
      <c r="R17" s="5"/>
    </row>
    <row r="18" spans="1:18" x14ac:dyDescent="0.3">
      <c r="A18" s="4">
        <v>2004</v>
      </c>
      <c r="B18" s="1">
        <f t="shared" si="0"/>
        <v>29.365898492924039</v>
      </c>
      <c r="C18" s="4">
        <v>292.04852421649667</v>
      </c>
      <c r="D18" s="4">
        <v>20.822123627951022</v>
      </c>
      <c r="F18" s="5">
        <v>0.26206260415797733</v>
      </c>
      <c r="G18" s="5">
        <v>50.322247663485861</v>
      </c>
      <c r="I18" s="5">
        <v>1.1023488340826986E-2</v>
      </c>
      <c r="L18" s="25"/>
      <c r="N18" s="4">
        <v>722</v>
      </c>
      <c r="O18" s="1">
        <v>267.41130288540529</v>
      </c>
      <c r="P18" s="5"/>
      <c r="Q18" s="5"/>
      <c r="R18" s="5"/>
    </row>
    <row r="19" spans="1:18" x14ac:dyDescent="0.3">
      <c r="A19" s="4">
        <v>2003</v>
      </c>
      <c r="B19" s="1">
        <f t="shared" si="0"/>
        <v>28.079495078421662</v>
      </c>
      <c r="C19" s="4">
        <v>289.35483058739248</v>
      </c>
      <c r="D19" s="4">
        <v>20.965113063273336</v>
      </c>
      <c r="F19" s="5">
        <v>0.25389872701007637</v>
      </c>
      <c r="G19" s="5">
        <v>50.213192199701659</v>
      </c>
      <c r="I19" s="5">
        <v>7.7396883035528545E-3</v>
      </c>
      <c r="L19" s="25"/>
      <c r="N19" s="4">
        <v>698</v>
      </c>
      <c r="O19" s="1">
        <v>259.08375583350858</v>
      </c>
      <c r="P19" s="5"/>
      <c r="Q19" s="5"/>
      <c r="R19" s="5"/>
    </row>
    <row r="20" spans="1:18" x14ac:dyDescent="0.3">
      <c r="A20" s="4">
        <v>2002</v>
      </c>
      <c r="B20" s="1">
        <f t="shared" si="0"/>
        <v>26.370444264028958</v>
      </c>
      <c r="C20" s="4">
        <v>286.68598209450988</v>
      </c>
      <c r="D20" s="4">
        <v>21.109084433914983</v>
      </c>
      <c r="F20" s="5">
        <v>0.24813004416302106</v>
      </c>
      <c r="G20" s="5">
        <v>48.771432378157641</v>
      </c>
      <c r="I20" s="5">
        <v>5.0615886684964254E-3</v>
      </c>
      <c r="N20" s="4">
        <v>663</v>
      </c>
      <c r="O20" s="1">
        <v>253.36732774629141</v>
      </c>
      <c r="P20" s="5"/>
      <c r="Q20" s="5"/>
      <c r="R20" s="5"/>
    </row>
    <row r="21" spans="1:18" x14ac:dyDescent="0.3">
      <c r="A21" s="4">
        <v>2001</v>
      </c>
      <c r="B21" s="1">
        <f t="shared" si="0"/>
        <v>23.85313861673135</v>
      </c>
      <c r="C21" s="4">
        <v>284.04174958009048</v>
      </c>
      <c r="D21" s="4">
        <v>21.254044483010301</v>
      </c>
      <c r="F21" s="5">
        <v>0.23899505555113057</v>
      </c>
      <c r="G21" s="5">
        <v>46.3</v>
      </c>
      <c r="I21" s="5">
        <v>2.342774709771516E-3</v>
      </c>
      <c r="O21" s="1">
        <v>244.03666424521816</v>
      </c>
      <c r="P21" s="5"/>
      <c r="Q21" s="5"/>
      <c r="R21" s="5"/>
    </row>
    <row r="22" spans="1:18" x14ac:dyDescent="0.3">
      <c r="A22" s="4">
        <v>2000</v>
      </c>
      <c r="B22" s="1">
        <f t="shared" si="0"/>
        <v>21.592557038076382</v>
      </c>
      <c r="C22" s="4">
        <v>281.42190599999998</v>
      </c>
      <c r="D22" s="4">
        <v>21.4</v>
      </c>
      <c r="F22" s="5">
        <v>0.23552064218498781</v>
      </c>
      <c r="G22" s="5">
        <v>42.96</v>
      </c>
      <c r="I22" s="5">
        <v>1.0855521711684265E-3</v>
      </c>
      <c r="O22" s="1">
        <v>240.33721672180886</v>
      </c>
      <c r="P22" s="5"/>
      <c r="Q22" s="5"/>
      <c r="R22" s="5"/>
    </row>
    <row r="23" spans="1:18" x14ac:dyDescent="0.3">
      <c r="A23" s="4">
        <v>1999</v>
      </c>
      <c r="B23" s="1">
        <f t="shared" si="0"/>
        <v>19.130416750253644</v>
      </c>
      <c r="C23" s="4">
        <v>277.96583047179496</v>
      </c>
      <c r="D23" s="4">
        <v>21.40997903398506</v>
      </c>
      <c r="F23" s="5">
        <v>0.22988519257687268</v>
      </c>
      <c r="G23" s="5">
        <v>39.479075361495902</v>
      </c>
      <c r="I23" s="5">
        <v>9.7962621780062382E-4</v>
      </c>
      <c r="O23" s="1">
        <v>234.86360375860102</v>
      </c>
      <c r="P23" s="5"/>
      <c r="Q23" s="5"/>
      <c r="R23" s="5"/>
    </row>
    <row r="24" spans="1:18" x14ac:dyDescent="0.3">
      <c r="A24" s="4">
        <v>1998</v>
      </c>
      <c r="B24" s="1">
        <f t="shared" si="0"/>
        <v>17.188206146240297</v>
      </c>
      <c r="C24" s="4">
        <v>274.55219818557629</v>
      </c>
      <c r="D24" s="4">
        <v>21.419962721293448</v>
      </c>
      <c r="F24" s="5">
        <v>0.22395124093112842</v>
      </c>
      <c r="G24" s="5">
        <v>36.859060225713492</v>
      </c>
      <c r="I24" s="5">
        <v>1.0247506254555223E-3</v>
      </c>
      <c r="O24" s="1">
        <v>229.00845790052136</v>
      </c>
      <c r="P24" s="5"/>
      <c r="Q24" s="5"/>
      <c r="R24" s="5"/>
    </row>
    <row r="25" spans="1:18" x14ac:dyDescent="0.3">
      <c r="A25" s="4">
        <v>1997</v>
      </c>
      <c r="B25" s="1">
        <f t="shared" si="0"/>
        <v>15.624815181193567</v>
      </c>
      <c r="C25" s="4">
        <v>271.18048790597885</v>
      </c>
      <c r="D25" s="4">
        <v>21.429951064095057</v>
      </c>
      <c r="F25" s="5">
        <v>0.22143919812923696</v>
      </c>
      <c r="G25" s="5">
        <v>34.31047327507838</v>
      </c>
      <c r="I25" s="5">
        <v>8.6713135668674019E-4</v>
      </c>
      <c r="O25" s="1">
        <v>226.59570214521779</v>
      </c>
      <c r="P25" s="5"/>
      <c r="Q25" s="5"/>
      <c r="R25" s="5"/>
    </row>
    <row r="26" spans="1:18" x14ac:dyDescent="0.3">
      <c r="A26" s="4">
        <v>1996</v>
      </c>
      <c r="B26" s="1">
        <f t="shared" si="0"/>
        <v>14.42167704879939</v>
      </c>
      <c r="C26" s="4">
        <v>267.850184798805</v>
      </c>
      <c r="D26" s="4">
        <v>21.439944064560791</v>
      </c>
      <c r="F26" s="5">
        <v>0.22030729646974828</v>
      </c>
      <c r="G26" s="5">
        <v>32.233173802484529</v>
      </c>
      <c r="I26" s="5">
        <v>6.2896860289681693E-4</v>
      </c>
      <c r="O26" s="1">
        <v>225.52656657672341</v>
      </c>
      <c r="P26" s="5"/>
      <c r="Q26" s="5"/>
      <c r="R26" s="5"/>
    </row>
    <row r="27" spans="1:18" x14ac:dyDescent="0.3">
      <c r="A27" s="4">
        <v>1995</v>
      </c>
      <c r="B27" s="1">
        <f t="shared" si="0"/>
        <v>13.525297220367369</v>
      </c>
      <c r="C27" s="4">
        <v>264.56078035241347</v>
      </c>
      <c r="D27" s="4">
        <v>21.449941724862565</v>
      </c>
      <c r="F27" s="5">
        <v>0.22480812920152096</v>
      </c>
      <c r="G27" s="5">
        <v>30</v>
      </c>
      <c r="I27" s="5">
        <v>3.8285045393719291E-4</v>
      </c>
      <c r="O27" s="1">
        <v>230.30831314448955</v>
      </c>
      <c r="P27" s="5"/>
      <c r="Q27" s="5"/>
      <c r="R27" s="5"/>
    </row>
    <row r="28" spans="1:18" x14ac:dyDescent="0.3">
      <c r="A28" s="4">
        <v>1994</v>
      </c>
      <c r="B28" s="1">
        <f t="shared" si="0"/>
        <v>12.662543319772634</v>
      </c>
      <c r="C28" s="4">
        <v>261.31177230007359</v>
      </c>
      <c r="D28" s="4">
        <v>21.459944047173309</v>
      </c>
      <c r="F28" s="5">
        <v>0.2272436596676678</v>
      </c>
      <c r="G28" s="5">
        <v>28.142805617332634</v>
      </c>
      <c r="I28" s="5"/>
      <c r="O28" s="1">
        <v>232.93829731505667</v>
      </c>
      <c r="P28" s="5"/>
      <c r="Q28" s="5"/>
      <c r="R28" s="5"/>
    </row>
    <row r="29" spans="1:18" x14ac:dyDescent="0.3">
      <c r="A29" s="4">
        <v>1993</v>
      </c>
      <c r="B29" s="1">
        <f t="shared" si="0"/>
        <v>11.293932296725155</v>
      </c>
      <c r="C29" s="4">
        <v>258.10266454327302</v>
      </c>
      <c r="D29" s="4">
        <v>21.469951033666963</v>
      </c>
      <c r="F29" s="5">
        <v>0.21941793415680719</v>
      </c>
      <c r="G29" s="5">
        <v>26.31950804056617</v>
      </c>
      <c r="I29" s="5"/>
      <c r="O29" s="1">
        <v>224.96330800223075</v>
      </c>
      <c r="P29" s="5"/>
      <c r="Q29" s="5"/>
      <c r="R29" s="5"/>
    </row>
    <row r="30" spans="1:18" x14ac:dyDescent="0.3">
      <c r="A30" s="4">
        <v>1992</v>
      </c>
      <c r="B30" s="1">
        <f t="shared" si="0"/>
        <v>10.091870119914564</v>
      </c>
      <c r="C30" s="4">
        <v>254.9329670759673</v>
      </c>
      <c r="D30" s="4">
        <v>21.47996268651848</v>
      </c>
      <c r="F30" s="5">
        <v>0.20947787787071123</v>
      </c>
      <c r="G30" s="5">
        <v>24.940472877827386</v>
      </c>
      <c r="O30" s="1">
        <v>214.63428692303367</v>
      </c>
      <c r="P30" s="5"/>
      <c r="Q30" s="5"/>
      <c r="R30" s="5"/>
    </row>
    <row r="31" spans="1:18" x14ac:dyDescent="0.3">
      <c r="A31" s="4">
        <v>1991</v>
      </c>
      <c r="B31" s="1">
        <f t="shared" si="0"/>
        <v>9.2409407186484653</v>
      </c>
      <c r="C31" s="4">
        <v>251.80219590975969</v>
      </c>
      <c r="D31" s="4">
        <v>21.48997900790383</v>
      </c>
      <c r="F31" s="5">
        <v>0.20917186068278493</v>
      </c>
      <c r="G31" s="5">
        <v>23.15531047370694</v>
      </c>
      <c r="O31" s="1">
        <v>214.11282989524224</v>
      </c>
    </row>
    <row r="32" spans="1:18" x14ac:dyDescent="0.3">
      <c r="A32" s="4">
        <v>1990</v>
      </c>
      <c r="B32" s="1">
        <f t="shared" si="0"/>
        <v>8.1872740059666427</v>
      </c>
      <c r="C32" s="4">
        <v>248.70987299999999</v>
      </c>
      <c r="D32" s="4">
        <v>21.5</v>
      </c>
      <c r="F32" s="5">
        <v>0.19856201850803598</v>
      </c>
      <c r="G32" s="5">
        <v>21.88</v>
      </c>
      <c r="O32" s="1">
        <v>203.05111695180713</v>
      </c>
    </row>
    <row r="33" spans="1:15" x14ac:dyDescent="0.3">
      <c r="A33" s="4">
        <v>1989</v>
      </c>
      <c r="B33" s="1">
        <f t="shared" si="0"/>
        <v>6.6326050835719785</v>
      </c>
      <c r="C33" s="4">
        <v>246.39921826135347</v>
      </c>
      <c r="D33" s="4">
        <v>21.607546577251174</v>
      </c>
      <c r="F33" s="5">
        <v>0.19539104562096071</v>
      </c>
      <c r="G33" s="5">
        <v>18.181820001767584</v>
      </c>
      <c r="O33" s="1">
        <v>199.43261019472192</v>
      </c>
    </row>
    <row r="34" spans="1:15" x14ac:dyDescent="0.3">
      <c r="A34" s="4">
        <v>1988</v>
      </c>
      <c r="B34" s="1">
        <f t="shared" si="0"/>
        <v>5.63958990537001</v>
      </c>
      <c r="C34" s="4">
        <v>244.11003080607924</v>
      </c>
      <c r="D34" s="4">
        <v>21.715631120375757</v>
      </c>
      <c r="F34" s="5">
        <v>0.19948688349473351</v>
      </c>
      <c r="G34" s="5">
        <v>15.284271744417557</v>
      </c>
      <c r="O34" s="1">
        <v>203.59401261218267</v>
      </c>
    </row>
    <row r="35" spans="1:15" x14ac:dyDescent="0.3">
      <c r="A35" s="4">
        <v>1987</v>
      </c>
      <c r="B35" s="1">
        <f t="shared" si="0"/>
        <v>4.8013161965573667</v>
      </c>
      <c r="C35" s="4">
        <v>241.84211119102935</v>
      </c>
      <c r="D35" s="4">
        <v>21.824256320368566</v>
      </c>
      <c r="F35" s="5">
        <v>0.20464132792072523</v>
      </c>
      <c r="G35" s="5">
        <v>12.803604026060009</v>
      </c>
      <c r="O35" s="1">
        <v>208.90567160081179</v>
      </c>
    </row>
    <row r="36" spans="1:15" x14ac:dyDescent="0.3">
      <c r="A36" s="4">
        <v>1986</v>
      </c>
      <c r="B36" s="1">
        <f t="shared" si="0"/>
        <v>3.7909544613131008</v>
      </c>
      <c r="C36" s="4">
        <v>239.59526182599475</v>
      </c>
      <c r="D36" s="4">
        <v>21.933424881685209</v>
      </c>
      <c r="F36" s="5">
        <v>0.19486199672967619</v>
      </c>
      <c r="G36" s="5">
        <v>10.716189650422537</v>
      </c>
      <c r="O36" s="1">
        <v>199.00755666260119</v>
      </c>
    </row>
    <row r="37" spans="1:15" x14ac:dyDescent="0.3">
      <c r="A37" s="4">
        <v>1985</v>
      </c>
      <c r="B37" s="1">
        <f t="shared" si="0"/>
        <v>3.1834494419255601</v>
      </c>
      <c r="C37" s="4">
        <v>237.3692869564907</v>
      </c>
      <c r="D37" s="4">
        <v>22.043139522309435</v>
      </c>
      <c r="F37" s="5">
        <v>0.1999987854294</v>
      </c>
      <c r="G37" s="5">
        <v>8.85</v>
      </c>
      <c r="O37" s="1">
        <v>204.2971338740108</v>
      </c>
    </row>
    <row r="38" spans="1:15" x14ac:dyDescent="0.3">
      <c r="A38" s="4">
        <v>1984</v>
      </c>
      <c r="B38" s="1">
        <f t="shared" si="0"/>
        <v>2.6424226076688431</v>
      </c>
      <c r="C38" s="4">
        <v>235.16399264670181</v>
      </c>
      <c r="D38" s="4">
        <v>22.1534029738208</v>
      </c>
      <c r="F38" s="5">
        <v>0.19786530597245497</v>
      </c>
      <c r="G38" s="5">
        <v>7.4947818684841581</v>
      </c>
      <c r="O38" s="1">
        <v>202.20120125267331</v>
      </c>
    </row>
    <row r="39" spans="1:15" x14ac:dyDescent="0.3">
      <c r="A39" s="4">
        <v>1983</v>
      </c>
      <c r="B39" s="1">
        <f t="shared" si="0"/>
        <v>2.403850855083395</v>
      </c>
      <c r="C39" s="4">
        <v>232.97918676258561</v>
      </c>
      <c r="D39" s="4">
        <v>22.264217981462672</v>
      </c>
      <c r="F39" s="5">
        <v>0.18822837298124856</v>
      </c>
      <c r="G39" s="5">
        <v>7.2343997466788457</v>
      </c>
      <c r="O39" s="1">
        <v>192.48026177179833</v>
      </c>
    </row>
    <row r="40" spans="1:15" x14ac:dyDescent="0.3">
      <c r="A40" s="4">
        <v>1982</v>
      </c>
      <c r="B40" s="1">
        <f t="shared" si="0"/>
        <v>1.8418975843689318</v>
      </c>
      <c r="C40" s="4">
        <v>230.81467895513305</v>
      </c>
      <c r="D40" s="4">
        <v>22.37558730421059</v>
      </c>
      <c r="F40" s="5">
        <v>0.18955653340773579</v>
      </c>
      <c r="G40" s="5">
        <v>5.5559776857820466</v>
      </c>
      <c r="O40" s="1">
        <v>193.88672611843648</v>
      </c>
    </row>
    <row r="41" spans="1:15" x14ac:dyDescent="0.3">
      <c r="A41" s="4">
        <v>1981</v>
      </c>
      <c r="B41" s="1">
        <f t="shared" si="0"/>
        <v>1.2658915329957265</v>
      </c>
      <c r="C41" s="4">
        <v>228.67028064378454</v>
      </c>
      <c r="D41" s="4">
        <v>22.48751371484094</v>
      </c>
      <c r="F41" s="5">
        <v>0.19214319990594791</v>
      </c>
      <c r="G41" s="5">
        <v>3.8024100433338774</v>
      </c>
      <c r="O41" s="1">
        <v>196.4770819228186</v>
      </c>
    </row>
    <row r="42" spans="1:15" x14ac:dyDescent="0.3">
      <c r="A42" s="4">
        <v>1980</v>
      </c>
      <c r="B42" s="1">
        <f t="shared" si="0"/>
        <v>0.74303680168397135</v>
      </c>
      <c r="C42" s="4">
        <v>226.545805</v>
      </c>
      <c r="D42" s="4">
        <v>22.6</v>
      </c>
      <c r="F42" s="5">
        <v>0.18465956935968292</v>
      </c>
      <c r="G42" s="5">
        <v>2.3441191264160888</v>
      </c>
      <c r="O42" s="1">
        <v>188.73888516999946</v>
      </c>
    </row>
    <row r="43" spans="1:15" x14ac:dyDescent="0.3">
      <c r="A43" s="4">
        <v>1979</v>
      </c>
      <c r="B43" s="1">
        <f t="shared" si="0"/>
        <v>0.34733501589115495</v>
      </c>
      <c r="C43" s="4">
        <v>224.10657270735817</v>
      </c>
      <c r="D43" s="4">
        <v>23.130343439901367</v>
      </c>
      <c r="F43" s="5">
        <v>0.18441312629055961</v>
      </c>
      <c r="G43" s="5">
        <v>1.1091731320555502</v>
      </c>
      <c r="O43" s="1">
        <v>188.30370983809385</v>
      </c>
    </row>
    <row r="44" spans="1:15" x14ac:dyDescent="0.3">
      <c r="A44" s="4">
        <v>1978</v>
      </c>
      <c r="B44" s="1">
        <f t="shared" si="0"/>
        <v>4.2757438443211775E-3</v>
      </c>
      <c r="C44" s="4">
        <v>221.69360377535315</v>
      </c>
      <c r="D44" s="4">
        <v>23.673132196804787</v>
      </c>
      <c r="F44" s="5">
        <v>0.18618415954750564</v>
      </c>
      <c r="G44" s="5">
        <v>1.3671399820961137E-2</v>
      </c>
      <c r="O44" s="1">
        <v>190.07212634932341</v>
      </c>
    </row>
    <row r="45" spans="1:15" x14ac:dyDescent="0.3">
      <c r="A45" s="4">
        <v>1977</v>
      </c>
      <c r="B45" s="1">
        <f t="shared" si="0"/>
        <v>4.1199070921578863E-3</v>
      </c>
      <c r="C45" s="4">
        <v>219.30661542480314</v>
      </c>
      <c r="D45" s="4">
        <v>24.228658319039003</v>
      </c>
      <c r="F45" s="5">
        <v>0.18135097826157437</v>
      </c>
      <c r="G45" s="5">
        <v>1.3671399820961137E-2</v>
      </c>
      <c r="O45" s="1">
        <v>185.1805503678992</v>
      </c>
    </row>
    <row r="46" spans="1:15" x14ac:dyDescent="0.3">
      <c r="A46" s="4">
        <v>1976</v>
      </c>
      <c r="B46" s="1">
        <f t="shared" si="0"/>
        <v>4.0163303314369276E-3</v>
      </c>
      <c r="C46" s="4">
        <v>216.94532792122675</v>
      </c>
      <c r="D46" s="4">
        <v>24.797220708291835</v>
      </c>
      <c r="F46" s="5">
        <v>0.17871595905141252</v>
      </c>
      <c r="G46" s="5">
        <v>1.3671399820961137E-2</v>
      </c>
      <c r="O46" s="1">
        <v>182.63004342438245</v>
      </c>
    </row>
    <row r="47" spans="1:15" x14ac:dyDescent="0.3">
      <c r="A47" s="4">
        <v>1975</v>
      </c>
      <c r="B47" s="1">
        <f t="shared" si="0"/>
        <v>3.9765062774217404E-3</v>
      </c>
      <c r="C47" s="4">
        <v>214.60946454206058</v>
      </c>
      <c r="D47" s="4">
        <v>25.379125280434707</v>
      </c>
      <c r="F47" s="5">
        <v>0.17886979699771904</v>
      </c>
      <c r="G47" s="5">
        <v>1.3671399820961137E-2</v>
      </c>
      <c r="O47" s="1">
        <v>183.02928280015942</v>
      </c>
    </row>
    <row r="48" spans="1:15" x14ac:dyDescent="0.3">
      <c r="A48" s="4">
        <v>1974</v>
      </c>
      <c r="B48" s="1">
        <f t="shared" si="0"/>
        <v>3.7114477821313893E-3</v>
      </c>
      <c r="C48" s="4">
        <v>212.2987515442297</v>
      </c>
      <c r="D48" s="4">
        <v>25.974685130121145</v>
      </c>
      <c r="F48" s="5">
        <v>0.16876412309145009</v>
      </c>
      <c r="G48" s="5">
        <v>1.3671399820961137E-2</v>
      </c>
      <c r="O48" s="1">
        <v>172.85543469458665</v>
      </c>
    </row>
    <row r="49" spans="1:15" x14ac:dyDescent="0.3">
      <c r="A49" s="4">
        <v>1973</v>
      </c>
      <c r="B49" s="1">
        <f t="shared" si="0"/>
        <v>3.6654564588374807E-3</v>
      </c>
      <c r="C49" s="4">
        <v>210.01291813206731</v>
      </c>
      <c r="D49" s="4">
        <v>26.58422069924784</v>
      </c>
      <c r="F49" s="5">
        <v>0.16848694982390056</v>
      </c>
      <c r="G49" s="5">
        <v>1.3671399820961137E-2</v>
      </c>
      <c r="O49" s="1">
        <v>172.86323435024767</v>
      </c>
    </row>
    <row r="50" spans="1:15" x14ac:dyDescent="0.3">
      <c r="A50" s="4">
        <v>1972</v>
      </c>
      <c r="B50" s="1">
        <f t="shared" si="0"/>
        <v>3.4405028763855217E-3</v>
      </c>
      <c r="C50" s="4">
        <v>207.75169642557984</v>
      </c>
      <c r="D50" s="4">
        <v>27.208059949368913</v>
      </c>
      <c r="F50" s="5">
        <v>0.15986800639505355</v>
      </c>
      <c r="G50" s="5">
        <v>1.3671399820961137E-2</v>
      </c>
      <c r="O50" s="1">
        <v>164.23061400995311</v>
      </c>
    </row>
    <row r="51" spans="1:15" x14ac:dyDescent="0.3">
      <c r="A51" s="4">
        <v>1971</v>
      </c>
      <c r="B51" s="1">
        <f t="shared" si="0"/>
        <v>3.33964801766633E-3</v>
      </c>
      <c r="C51" s="4">
        <v>205.51482142905368</v>
      </c>
      <c r="D51" s="4">
        <v>27.846538538156121</v>
      </c>
      <c r="F51" s="5">
        <v>0.15687067360202442</v>
      </c>
      <c r="G51" s="5">
        <v>1.3671399820961137E-2</v>
      </c>
      <c r="O51" s="1">
        <v>161.17086185439419</v>
      </c>
    </row>
    <row r="52" spans="1:15" x14ac:dyDescent="0.3">
      <c r="A52" s="4">
        <v>1970</v>
      </c>
      <c r="B52" s="1">
        <f t="shared" si="0"/>
        <v>3.1549202127041974E-3</v>
      </c>
      <c r="C52" s="4">
        <v>203.302031</v>
      </c>
      <c r="D52" s="4">
        <v>28.5</v>
      </c>
      <c r="F52" s="5">
        <v>0.14980657533560127</v>
      </c>
      <c r="G52" s="5">
        <v>1.3671399820961137E-2</v>
      </c>
      <c r="O52" s="1">
        <v>153.63357695048174</v>
      </c>
    </row>
    <row r="53" spans="1:15" x14ac:dyDescent="0.3">
      <c r="A53" s="4">
        <v>1969</v>
      </c>
      <c r="B53" s="1">
        <f t="shared" si="0"/>
        <v>3.0822477813543048E-3</v>
      </c>
      <c r="C53" s="4">
        <v>200.76647207994739</v>
      </c>
      <c r="D53" s="4">
        <v>28.749904930298424</v>
      </c>
      <c r="F53" s="5">
        <v>0.14820422129640601</v>
      </c>
      <c r="G53" s="5">
        <v>1.3671399820961137E-2</v>
      </c>
      <c r="O53" s="1">
        <v>152.12718443809942</v>
      </c>
    </row>
    <row r="54" spans="1:15" x14ac:dyDescent="0.3">
      <c r="A54" s="4">
        <v>1968</v>
      </c>
      <c r="B54" s="1">
        <f t="shared" si="0"/>
        <v>3.0097079227238616E-3</v>
      </c>
      <c r="C54" s="4">
        <v>198.26253635128865</v>
      </c>
      <c r="D54" s="4">
        <v>29.002001175480615</v>
      </c>
      <c r="F54" s="5">
        <v>0.14654395436928555</v>
      </c>
      <c r="G54" s="5">
        <v>1.3671399820961137E-2</v>
      </c>
      <c r="O54" s="1">
        <v>150.84140822135916</v>
      </c>
    </row>
    <row r="55" spans="1:15" x14ac:dyDescent="0.3">
      <c r="A55" s="4">
        <v>1967</v>
      </c>
      <c r="B55" s="1">
        <f t="shared" si="0"/>
        <v>2.8952570837702915E-3</v>
      </c>
      <c r="C55" s="4">
        <v>195.7898294133154</v>
      </c>
      <c r="D55" s="4">
        <v>29.256307950297217</v>
      </c>
      <c r="F55" s="5">
        <v>0.14275167656335469</v>
      </c>
      <c r="G55" s="5">
        <v>1.3671399820961137E-2</v>
      </c>
      <c r="O55" s="1">
        <v>147.31540290941516</v>
      </c>
    </row>
    <row r="56" spans="1:15" x14ac:dyDescent="0.3">
      <c r="A56" s="4">
        <v>1966</v>
      </c>
      <c r="B56" s="1">
        <f t="shared" si="0"/>
        <v>2.729164901776133E-3</v>
      </c>
      <c r="C56" s="4">
        <v>193.34796178423846</v>
      </c>
      <c r="D56" s="4">
        <v>29.512844637985221</v>
      </c>
      <c r="F56" s="5">
        <v>0.13626188480317264</v>
      </c>
      <c r="G56" s="5">
        <v>1.3671399820961137E-2</v>
      </c>
      <c r="O56" s="1">
        <v>140.85196528186862</v>
      </c>
    </row>
    <row r="57" spans="1:15" x14ac:dyDescent="0.3">
      <c r="A57" s="4">
        <v>1965</v>
      </c>
      <c r="B57" s="1">
        <f t="shared" si="0"/>
        <v>2.6573550725820625E-3</v>
      </c>
      <c r="C57" s="4">
        <v>190.93654883983947</v>
      </c>
      <c r="D57" s="4">
        <v>29.771630791745356</v>
      </c>
      <c r="F57" s="5">
        <v>0.13435218455674389</v>
      </c>
      <c r="G57" s="5">
        <v>1.3671399820961137E-2</v>
      </c>
      <c r="O57" s="1">
        <v>139.01707417561616</v>
      </c>
    </row>
    <row r="58" spans="1:15" x14ac:dyDescent="0.3">
      <c r="A58" s="4">
        <v>1964</v>
      </c>
      <c r="B58" s="1">
        <f t="shared" si="0"/>
        <v>2.6324469668870063E-3</v>
      </c>
      <c r="C58" s="4">
        <v>188.55521075288794</v>
      </c>
      <c r="D58" s="4">
        <v>30.032686136232421</v>
      </c>
      <c r="F58" s="5">
        <v>0.13477374756302735</v>
      </c>
      <c r="G58" s="5">
        <v>1.3671399820961137E-2</v>
      </c>
      <c r="O58" s="1">
        <v>139.46005091577481</v>
      </c>
    </row>
    <row r="59" spans="1:15" x14ac:dyDescent="0.3">
      <c r="A59" s="4">
        <v>1963</v>
      </c>
      <c r="B59" s="1">
        <f t="shared" si="0"/>
        <v>2.5515843333825503E-3</v>
      </c>
      <c r="C59" s="4">
        <v>186.2035724333137</v>
      </c>
      <c r="D59" s="4">
        <v>30.296030569058718</v>
      </c>
      <c r="F59" s="5">
        <v>0.13228363816309235</v>
      </c>
      <c r="G59" s="5">
        <v>1.3671399820961137E-2</v>
      </c>
      <c r="O59" s="1">
        <v>136.70003471194025</v>
      </c>
    </row>
    <row r="60" spans="1:15" x14ac:dyDescent="0.3">
      <c r="A60" s="4">
        <v>1962</v>
      </c>
      <c r="B60" s="1">
        <f t="shared" si="0"/>
        <v>2.5174196374948355E-3</v>
      </c>
      <c r="C60" s="4">
        <v>183.88126346912566</v>
      </c>
      <c r="D60" s="4">
        <v>30.561684162310627</v>
      </c>
      <c r="F60" s="5">
        <v>0.13216070575604894</v>
      </c>
      <c r="G60" s="5">
        <v>1.3671399820961137E-2</v>
      </c>
      <c r="O60" s="1">
        <v>136.32175229983392</v>
      </c>
    </row>
    <row r="61" spans="1:15" x14ac:dyDescent="0.3">
      <c r="A61" s="4">
        <v>1961</v>
      </c>
      <c r="B61" s="1">
        <f t="shared" si="0"/>
        <v>2.3986528411060722E-3</v>
      </c>
      <c r="C61" s="4">
        <v>181.5879180680673</v>
      </c>
      <c r="D61" s="4">
        <v>30.829667164078508</v>
      </c>
      <c r="F61" s="5">
        <v>0.12751599382645173</v>
      </c>
      <c r="G61" s="5">
        <v>1.3671399820961137E-2</v>
      </c>
      <c r="O61" s="1">
        <v>131.15914076324606</v>
      </c>
    </row>
    <row r="62" spans="1:15" x14ac:dyDescent="0.3">
      <c r="A62" s="4">
        <v>1960</v>
      </c>
      <c r="B62" s="1">
        <f t="shared" si="0"/>
        <v>2.3207820636960345E-3</v>
      </c>
      <c r="C62" s="4">
        <v>179.32317499999999</v>
      </c>
      <c r="D62" s="4">
        <v>31.1</v>
      </c>
      <c r="F62" s="5">
        <v>0.12493443364336732</v>
      </c>
      <c r="G62" s="5">
        <v>1.3671399820961137E-2</v>
      </c>
      <c r="O62" s="1">
        <v>127.9873818078912</v>
      </c>
    </row>
    <row r="63" spans="1:15" x14ac:dyDescent="0.3">
      <c r="A63" s="4">
        <v>1959</v>
      </c>
      <c r="B63" s="1">
        <f t="shared" si="0"/>
        <v>2.0479823375186062E-3</v>
      </c>
      <c r="C63" s="4">
        <v>176.23142072395933</v>
      </c>
      <c r="D63" s="4">
        <v>30.652053727464015</v>
      </c>
      <c r="F63" s="5">
        <v>0.11218300707519351</v>
      </c>
      <c r="G63" s="5">
        <v>1.3671399820961137E-2</v>
      </c>
      <c r="O63" s="1">
        <v>115.10169975566754</v>
      </c>
    </row>
    <row r="64" spans="1:15" x14ac:dyDescent="0.3">
      <c r="A64" s="4">
        <v>1958</v>
      </c>
      <c r="B64" s="1">
        <f t="shared" si="0"/>
        <v>1.8537390555329796E-3</v>
      </c>
      <c r="C64" s="4">
        <v>173.19297213193539</v>
      </c>
      <c r="D64" s="4">
        <v>30.210559411940192</v>
      </c>
      <c r="F64" s="5">
        <v>0.10332431804097816</v>
      </c>
      <c r="G64" s="5">
        <v>1.3671399820961137E-2</v>
      </c>
      <c r="O64" s="1">
        <v>106.08411743330845</v>
      </c>
    </row>
    <row r="65" spans="1:15" x14ac:dyDescent="0.3">
      <c r="A65" s="4">
        <v>1957</v>
      </c>
      <c r="B65" s="1">
        <f t="shared" si="0"/>
        <v>1.6686735127298884E-3</v>
      </c>
      <c r="C65" s="4">
        <v>170.20691016772417</v>
      </c>
      <c r="D65" s="4">
        <v>29.775424123200445</v>
      </c>
      <c r="F65" s="5">
        <v>9.4640798786746458E-2</v>
      </c>
      <c r="G65" s="5">
        <v>1.3671399820961137E-2</v>
      </c>
      <c r="O65" s="1">
        <v>97.23491271824436</v>
      </c>
    </row>
    <row r="66" spans="1:15" x14ac:dyDescent="0.3">
      <c r="A66" s="4">
        <v>1956</v>
      </c>
      <c r="B66" s="1">
        <f t="shared" si="0"/>
        <v>1.5569344887548526E-3</v>
      </c>
      <c r="C66" s="4">
        <v>167.27233162079224</v>
      </c>
      <c r="D66" s="4">
        <v>29.346556269529504</v>
      </c>
      <c r="F66" s="5">
        <v>8.9852557112736015E-2</v>
      </c>
      <c r="G66" s="5">
        <v>1.3671399820961137E-2</v>
      </c>
      <c r="O66" s="1">
        <v>92.252186409807052</v>
      </c>
    </row>
    <row r="67" spans="1:15" x14ac:dyDescent="0.3">
      <c r="A67" s="4">
        <v>1955</v>
      </c>
      <c r="B67" s="1">
        <f t="shared" si="0"/>
        <v>1.4503377326325344E-3</v>
      </c>
      <c r="C67" s="4">
        <v>164.38834885307767</v>
      </c>
      <c r="D67" s="4">
        <v>28.923865578445778</v>
      </c>
      <c r="F67" s="5">
        <v>8.5169152415860067E-2</v>
      </c>
      <c r="G67" s="5">
        <v>1.3671399820961137E-2</v>
      </c>
      <c r="O67" s="1">
        <v>87.412148785106623</v>
      </c>
    </row>
    <row r="68" spans="1:15" x14ac:dyDescent="0.3">
      <c r="A68" s="4">
        <v>1954</v>
      </c>
      <c r="B68" s="1">
        <f t="shared" si="0"/>
        <v>9.5757813254275471E-4</v>
      </c>
      <c r="C68" s="4">
        <v>161.55408953050122</v>
      </c>
      <c r="D68" s="4">
        <v>28.507263077699886</v>
      </c>
      <c r="F68" s="5">
        <v>5.7219028060938093E-2</v>
      </c>
      <c r="G68" s="5">
        <v>1.3671399820961137E-2</v>
      </c>
      <c r="O68" s="1">
        <v>58.710038759694967</v>
      </c>
    </row>
    <row r="69" spans="1:15" x14ac:dyDescent="0.3">
      <c r="A69" s="4">
        <v>1953</v>
      </c>
      <c r="B69" s="1">
        <f t="shared" si="0"/>
        <v>6.6588830758362936E-4</v>
      </c>
      <c r="C69" s="4">
        <v>158.76869635910677</v>
      </c>
      <c r="D69" s="4">
        <v>28.096661076546866</v>
      </c>
      <c r="F69" s="5">
        <v>4.0487477810208887E-2</v>
      </c>
      <c r="G69" s="5">
        <v>1.3671399820961137E-2</v>
      </c>
      <c r="O69" s="1">
        <v>41.534401079427077</v>
      </c>
    </row>
    <row r="70" spans="1:15" x14ac:dyDescent="0.3">
      <c r="A70" s="4">
        <v>1952</v>
      </c>
      <c r="B70" s="1">
        <f t="shared" si="0"/>
        <v>4.543857616660632E-4</v>
      </c>
      <c r="C70" s="4">
        <v>156.0313268257508</v>
      </c>
      <c r="D70" s="4">
        <v>27.691973147288131</v>
      </c>
      <c r="F70" s="5">
        <v>2.8112348323910168E-2</v>
      </c>
      <c r="G70" s="5">
        <v>1.3671399820961137E-2</v>
      </c>
      <c r="O70" s="1">
        <v>28.863232960074779</v>
      </c>
    </row>
    <row r="71" spans="1:15" x14ac:dyDescent="0.3">
      <c r="A71" s="4">
        <v>1951</v>
      </c>
      <c r="B71" s="1">
        <f t="shared" ref="B71:B125" si="1">(E$5*(F71/F$5)*G71*0.01+H$5*(I71/I$5))*100*C71/((E$2*G$2*0.01+H$2)*C$2)</f>
        <v>3.0053432135033705E-4</v>
      </c>
      <c r="C71" s="4">
        <v>153.34115294326293</v>
      </c>
      <c r="D71" s="4">
        <v>27.293114107079294</v>
      </c>
      <c r="F71" s="5">
        <v>1.8919931707794754E-2</v>
      </c>
      <c r="G71" s="5">
        <v>1.3671399820961137E-2</v>
      </c>
      <c r="O71" s="1">
        <v>19.430480737917577</v>
      </c>
    </row>
    <row r="72" spans="1:15" x14ac:dyDescent="0.3">
      <c r="A72" s="4">
        <v>1950</v>
      </c>
      <c r="B72" s="1">
        <f t="shared" si="1"/>
        <v>2.0430538372162064E-4</v>
      </c>
      <c r="C72" s="4">
        <v>150.697361</v>
      </c>
      <c r="D72" s="4">
        <v>26.9</v>
      </c>
      <c r="F72" s="5">
        <v>1.3087550686914863E-2</v>
      </c>
      <c r="G72" s="5">
        <v>1.3671399820961137E-2</v>
      </c>
      <c r="O72" s="1">
        <v>13.446303306160848</v>
      </c>
    </row>
    <row r="73" spans="1:15" x14ac:dyDescent="0.3">
      <c r="A73" s="4">
        <v>1949</v>
      </c>
      <c r="B73" s="1">
        <f t="shared" si="1"/>
        <v>1.4494516719323045E-4</v>
      </c>
      <c r="C73" s="4">
        <v>148.73274275017829</v>
      </c>
      <c r="D73" s="4">
        <v>26.703676176290738</v>
      </c>
      <c r="F73" s="5">
        <v>9.4076546325628195E-3</v>
      </c>
      <c r="G73" s="5">
        <v>1.3671399820961137E-2</v>
      </c>
      <c r="O73" s="1">
        <v>9.5949263283609376</v>
      </c>
    </row>
    <row r="74" spans="1:15" x14ac:dyDescent="0.3">
      <c r="A74" s="4">
        <v>1948</v>
      </c>
      <c r="B74" s="1">
        <f t="shared" si="1"/>
        <v>9.3077048057210653E-5</v>
      </c>
      <c r="C74" s="4">
        <v>146.79373692543095</v>
      </c>
      <c r="D74" s="4">
        <v>26.508785179486921</v>
      </c>
      <c r="F74" s="5">
        <v>6.12095641994572E-3</v>
      </c>
      <c r="G74" s="5">
        <v>1.3671399820961137E-2</v>
      </c>
      <c r="O74" s="1">
        <v>6.2168520381404369</v>
      </c>
    </row>
    <row r="75" spans="1:15" x14ac:dyDescent="0.3">
      <c r="A75" s="4">
        <v>1947</v>
      </c>
      <c r="B75" s="1">
        <f t="shared" si="1"/>
        <v>5.8505569275328682E-5</v>
      </c>
      <c r="C75" s="4">
        <v>144.88000962052317</v>
      </c>
      <c r="D75" s="4">
        <v>26.315316552411691</v>
      </c>
      <c r="F75" s="5">
        <v>3.8982793383343533E-3</v>
      </c>
      <c r="G75" s="5">
        <v>1.3671399820961137E-2</v>
      </c>
      <c r="O75" s="1">
        <v>3.9431182144019337</v>
      </c>
    </row>
    <row r="76" spans="1:15" x14ac:dyDescent="0.3">
      <c r="A76" s="4">
        <v>1946</v>
      </c>
      <c r="B76" s="1">
        <f t="shared" si="1"/>
        <v>3.9258969353216235E-5</v>
      </c>
      <c r="C76" s="4">
        <v>142.99123128329111</v>
      </c>
      <c r="D76" s="4">
        <v>26.123259914207658</v>
      </c>
      <c r="F76" s="5">
        <v>2.6504139025906675E-3</v>
      </c>
      <c r="G76" s="5">
        <v>1.3671399820961137E-2</v>
      </c>
      <c r="O76" s="1">
        <v>2.6647280396608135</v>
      </c>
    </row>
    <row r="77" spans="1:15" x14ac:dyDescent="0.3">
      <c r="A77" s="4">
        <v>1945</v>
      </c>
      <c r="B77" s="1">
        <f t="shared" si="1"/>
        <v>0</v>
      </c>
      <c r="C77" s="4">
        <v>141.12707665789162</v>
      </c>
      <c r="D77" s="4">
        <v>25.932604959779869</v>
      </c>
      <c r="F77" s="5">
        <v>1.7862355608493951E-3</v>
      </c>
      <c r="G77" s="5"/>
      <c r="O77" s="1">
        <v>1.8008020909491207</v>
      </c>
    </row>
    <row r="78" spans="1:15" x14ac:dyDescent="0.3">
      <c r="A78" s="4">
        <v>1944</v>
      </c>
      <c r="B78" s="1">
        <f t="shared" si="1"/>
        <v>0</v>
      </c>
      <c r="C78" s="4">
        <v>139.28722472879184</v>
      </c>
      <c r="D78" s="4">
        <v>25.743341459242874</v>
      </c>
      <c r="F78" s="5">
        <v>0</v>
      </c>
      <c r="G78" s="5"/>
      <c r="O78" s="1">
        <v>0</v>
      </c>
    </row>
    <row r="79" spans="1:15" x14ac:dyDescent="0.3">
      <c r="A79" s="4">
        <v>1943</v>
      </c>
      <c r="B79" s="1">
        <f t="shared" si="1"/>
        <v>0</v>
      </c>
      <c r="C79" s="4">
        <v>137.47135866548888</v>
      </c>
      <c r="D79" s="4">
        <v>25.55545925737183</v>
      </c>
      <c r="F79" s="5">
        <v>0</v>
      </c>
      <c r="G79" s="5"/>
      <c r="O79" s="1"/>
    </row>
    <row r="80" spans="1:15" x14ac:dyDescent="0.3">
      <c r="A80" s="4">
        <v>1942</v>
      </c>
      <c r="B80" s="1">
        <f t="shared" si="1"/>
        <v>0</v>
      </c>
      <c r="C80" s="4">
        <v>135.67916576795022</v>
      </c>
      <c r="D80" s="4">
        <v>25.368948273057594</v>
      </c>
      <c r="F80" s="5">
        <v>0</v>
      </c>
      <c r="G80" s="5"/>
      <c r="O80" s="1"/>
    </row>
    <row r="81" spans="1:15" x14ac:dyDescent="0.3">
      <c r="A81" s="4">
        <v>1941</v>
      </c>
      <c r="B81" s="1">
        <f t="shared" si="1"/>
        <v>0</v>
      </c>
      <c r="C81" s="4">
        <v>133.91033741276547</v>
      </c>
      <c r="D81" s="4">
        <v>25.183798498765825</v>
      </c>
      <c r="F81" s="5">
        <v>0</v>
      </c>
      <c r="G81" s="5"/>
      <c r="O81" s="1"/>
    </row>
    <row r="82" spans="1:15" x14ac:dyDescent="0.3">
      <c r="A82" s="4">
        <v>1940</v>
      </c>
      <c r="B82" s="1">
        <f t="shared" si="1"/>
        <v>0</v>
      </c>
      <c r="C82" s="4">
        <v>132.164569</v>
      </c>
      <c r="D82" s="4">
        <v>25</v>
      </c>
      <c r="F82" s="5">
        <v>0</v>
      </c>
      <c r="G82" s="5"/>
      <c r="O82" s="1"/>
    </row>
    <row r="83" spans="1:15" x14ac:dyDescent="0.3">
      <c r="A83" s="4">
        <v>1939</v>
      </c>
      <c r="B83" s="1">
        <f t="shared" si="1"/>
        <v>0</v>
      </c>
      <c r="C83" s="4">
        <v>131.1941741887735</v>
      </c>
      <c r="D83" s="4">
        <v>25.408600264766964</v>
      </c>
      <c r="F83" s="5">
        <v>0</v>
      </c>
      <c r="G83" s="5"/>
      <c r="O83" s="1"/>
    </row>
    <row r="84" spans="1:15" x14ac:dyDescent="0.3">
      <c r="A84" s="4">
        <v>1938</v>
      </c>
      <c r="B84" s="1">
        <f t="shared" si="1"/>
        <v>0</v>
      </c>
      <c r="C84" s="4">
        <v>130.23090432863478</v>
      </c>
      <c r="D84" s="4">
        <v>25.823878696588626</v>
      </c>
      <c r="F84" s="5">
        <v>0</v>
      </c>
      <c r="G84" s="5"/>
      <c r="O84" s="1"/>
    </row>
    <row r="85" spans="1:15" x14ac:dyDescent="0.3">
      <c r="A85" s="4">
        <v>1937</v>
      </c>
      <c r="B85" s="1">
        <f t="shared" si="1"/>
        <v>0</v>
      </c>
      <c r="C85" s="4">
        <v>129.2747071058993</v>
      </c>
      <c r="D85" s="4">
        <v>26.245944443498061</v>
      </c>
      <c r="F85" s="5">
        <v>0</v>
      </c>
      <c r="G85" s="5"/>
      <c r="O85" s="1"/>
    </row>
    <row r="86" spans="1:15" x14ac:dyDescent="0.3">
      <c r="A86" s="4">
        <v>1936</v>
      </c>
      <c r="B86" s="1">
        <f t="shared" si="1"/>
        <v>0</v>
      </c>
      <c r="C86" s="4">
        <v>128.32553059098643</v>
      </c>
      <c r="D86" s="4">
        <v>26.674908437444948</v>
      </c>
      <c r="F86" s="5">
        <v>0</v>
      </c>
      <c r="G86" s="5"/>
      <c r="O86" s="1"/>
    </row>
    <row r="87" spans="1:15" x14ac:dyDescent="0.3">
      <c r="A87" s="4">
        <v>1935</v>
      </c>
      <c r="B87" s="1">
        <f t="shared" si="1"/>
        <v>0</v>
      </c>
      <c r="C87" s="4">
        <v>127.38332323559928</v>
      </c>
      <c r="D87" s="4">
        <v>27.11088342345192</v>
      </c>
      <c r="F87" s="5">
        <v>0</v>
      </c>
      <c r="G87" s="5"/>
      <c r="O87" s="1"/>
    </row>
    <row r="88" spans="1:15" x14ac:dyDescent="0.3">
      <c r="A88" s="4">
        <v>1934</v>
      </c>
      <c r="B88" s="1">
        <f t="shared" si="1"/>
        <v>0</v>
      </c>
      <c r="C88" s="4">
        <v>126.44803386992514</v>
      </c>
      <c r="D88" s="4">
        <v>27.553983989247463</v>
      </c>
      <c r="F88" s="5">
        <v>0</v>
      </c>
      <c r="G88" s="5"/>
      <c r="O88" s="1"/>
    </row>
    <row r="89" spans="1:15" x14ac:dyDescent="0.3">
      <c r="A89" s="4">
        <v>1933</v>
      </c>
      <c r="B89" s="1">
        <f t="shared" si="1"/>
        <v>0</v>
      </c>
      <c r="C89" s="4">
        <v>125.51961169985655</v>
      </c>
      <c r="D89" s="4">
        <v>28.004326595383102</v>
      </c>
      <c r="F89" s="5">
        <v>0</v>
      </c>
      <c r="G89" s="5"/>
      <c r="O89" s="1"/>
    </row>
    <row r="90" spans="1:15" x14ac:dyDescent="0.3">
      <c r="A90" s="4">
        <v>1932</v>
      </c>
      <c r="B90" s="1">
        <f t="shared" si="1"/>
        <v>0</v>
      </c>
      <c r="C90" s="4">
        <v>124.59800630423273</v>
      </c>
      <c r="D90" s="4">
        <v>28.462029605842858</v>
      </c>
      <c r="F90" s="5">
        <v>0</v>
      </c>
      <c r="G90" s="5"/>
      <c r="O90" s="1"/>
    </row>
    <row r="91" spans="1:15" x14ac:dyDescent="0.3">
      <c r="A91" s="4">
        <v>1931</v>
      </c>
      <c r="B91" s="1">
        <f t="shared" si="1"/>
        <v>0</v>
      </c>
      <c r="C91" s="4">
        <v>123.68316763210127</v>
      </c>
      <c r="D91" s="4">
        <v>28.927213319152951</v>
      </c>
      <c r="F91" s="5">
        <v>0</v>
      </c>
      <c r="G91" s="5"/>
      <c r="O91" s="1"/>
    </row>
    <row r="92" spans="1:15" x14ac:dyDescent="0.3">
      <c r="A92" s="4">
        <v>1930</v>
      </c>
      <c r="B92" s="1">
        <f t="shared" si="1"/>
        <v>0</v>
      </c>
      <c r="C92" s="4">
        <v>122.775046</v>
      </c>
      <c r="D92" s="4">
        <v>29.4</v>
      </c>
      <c r="F92" s="5">
        <v>0</v>
      </c>
      <c r="G92" s="5"/>
      <c r="O92" s="1"/>
    </row>
    <row r="93" spans="1:15" x14ac:dyDescent="0.3">
      <c r="A93" s="4">
        <v>1929</v>
      </c>
      <c r="B93" s="1">
        <f t="shared" si="1"/>
        <v>0</v>
      </c>
      <c r="C93" s="4">
        <v>120.98694330532393</v>
      </c>
      <c r="D93" s="4">
        <v>29.631614117570692</v>
      </c>
      <c r="F93" s="5">
        <v>0</v>
      </c>
      <c r="G93" s="5"/>
      <c r="O93" s="1"/>
    </row>
    <row r="94" spans="1:15" x14ac:dyDescent="0.3">
      <c r="A94" s="4">
        <v>1928</v>
      </c>
      <c r="B94" s="1">
        <f t="shared" si="1"/>
        <v>0</v>
      </c>
      <c r="C94" s="4">
        <v>119.22488263914531</v>
      </c>
      <c r="D94" s="4">
        <v>29.865052898388253</v>
      </c>
      <c r="F94" s="5">
        <v>0</v>
      </c>
      <c r="G94" s="5"/>
      <c r="O94" s="1"/>
    </row>
    <row r="95" spans="1:15" x14ac:dyDescent="0.3">
      <c r="A95" s="4">
        <v>1927</v>
      </c>
      <c r="B95" s="1">
        <f t="shared" si="1"/>
        <v>0</v>
      </c>
      <c r="C95" s="4">
        <v>117.48848472389228</v>
      </c>
      <c r="D95" s="4">
        <v>30.100330717206692</v>
      </c>
      <c r="F95" s="5">
        <v>0</v>
      </c>
      <c r="G95" s="5"/>
      <c r="O95" s="1"/>
    </row>
    <row r="96" spans="1:15" x14ac:dyDescent="0.3">
      <c r="A96" s="4">
        <v>1926</v>
      </c>
      <c r="B96" s="1">
        <f t="shared" si="1"/>
        <v>0</v>
      </c>
      <c r="C96" s="4">
        <v>115.77737580581295</v>
      </c>
      <c r="D96" s="4">
        <v>30.337462062024777</v>
      </c>
      <c r="F96" s="5">
        <v>0</v>
      </c>
      <c r="G96" s="5"/>
      <c r="O96" s="1"/>
    </row>
    <row r="97" spans="1:15" x14ac:dyDescent="0.3">
      <c r="A97" s="4">
        <v>1925</v>
      </c>
      <c r="B97" s="1">
        <f t="shared" si="1"/>
        <v>0</v>
      </c>
      <c r="C97" s="4">
        <v>114.09118757452612</v>
      </c>
      <c r="D97" s="4">
        <v>30.576461534978179</v>
      </c>
      <c r="F97" s="5">
        <v>0</v>
      </c>
      <c r="G97" s="5"/>
      <c r="O97" s="1"/>
    </row>
    <row r="98" spans="1:15" x14ac:dyDescent="0.3">
      <c r="A98" s="4">
        <v>1924</v>
      </c>
      <c r="B98" s="1">
        <f t="shared" si="1"/>
        <v>0</v>
      </c>
      <c r="C98" s="4">
        <v>112.42955708374379</v>
      </c>
      <c r="D98" s="4">
        <v>30.817343853238658</v>
      </c>
      <c r="F98" s="5">
        <v>0</v>
      </c>
      <c r="G98" s="5"/>
      <c r="O98" s="1"/>
    </row>
    <row r="99" spans="1:15" x14ac:dyDescent="0.3">
      <c r="A99" s="4">
        <v>1923</v>
      </c>
      <c r="B99" s="1">
        <f t="shared" si="1"/>
        <v>0</v>
      </c>
      <c r="C99" s="4">
        <v>110.79212667314813</v>
      </c>
      <c r="D99" s="4">
        <v>31.060123849920302</v>
      </c>
      <c r="F99" s="5">
        <v>0</v>
      </c>
      <c r="G99" s="5"/>
      <c r="O99" s="1"/>
    </row>
    <row r="100" spans="1:15" x14ac:dyDescent="0.3">
      <c r="A100" s="4">
        <v>1922</v>
      </c>
      <c r="B100" s="1" t="e">
        <f t="shared" si="1"/>
        <v>#DIV/0!</v>
      </c>
      <c r="C100" s="4">
        <v>109.17854389140639</v>
      </c>
      <c r="D100" s="4">
        <v>31.30481647499294</v>
      </c>
      <c r="F100" s="5" t="e">
        <v>#DIV/0!</v>
      </c>
      <c r="G100" s="5"/>
      <c r="O100" s="1"/>
    </row>
    <row r="101" spans="1:15" x14ac:dyDescent="0.3">
      <c r="A101" s="4">
        <v>1921</v>
      </c>
      <c r="B101" s="1" t="e">
        <f t="shared" si="1"/>
        <v>#DIV/0!</v>
      </c>
      <c r="C101" s="4">
        <v>107.5884614203069</v>
      </c>
      <c r="D101" s="4">
        <v>31.551436796202729</v>
      </c>
      <c r="F101" s="5" t="e">
        <v>#DIV/0!</v>
      </c>
      <c r="G101" s="5"/>
      <c r="O101" s="1"/>
    </row>
    <row r="102" spans="1:15" x14ac:dyDescent="0.3">
      <c r="A102" s="4">
        <v>1920</v>
      </c>
      <c r="B102" s="1" t="e">
        <f t="shared" si="1"/>
        <v>#DIV/0!</v>
      </c>
      <c r="C102" s="4">
        <v>106.021537</v>
      </c>
      <c r="D102" s="4">
        <v>31.8</v>
      </c>
      <c r="F102" s="5" t="e">
        <v>#DIV/0!</v>
      </c>
      <c r="G102" s="5"/>
      <c r="O102" s="1"/>
    </row>
    <row r="103" spans="1:15" x14ac:dyDescent="0.3">
      <c r="A103" s="4">
        <v>1919</v>
      </c>
      <c r="B103" s="1" t="e">
        <f t="shared" si="1"/>
        <v>#DIV/0!</v>
      </c>
      <c r="C103" s="4">
        <v>104.55413153989278</v>
      </c>
      <c r="D103" s="4">
        <v>31.829873397289791</v>
      </c>
      <c r="F103" s="5" t="e">
        <v>#DIV/0!</v>
      </c>
      <c r="G103" s="5"/>
      <c r="O103" s="1"/>
    </row>
    <row r="104" spans="1:15" x14ac:dyDescent="0.3">
      <c r="A104" s="4">
        <v>1918</v>
      </c>
      <c r="B104" s="1" t="e">
        <f t="shared" si="1"/>
        <v>#DIV/0!</v>
      </c>
      <c r="C104" s="4">
        <v>103.10703590404651</v>
      </c>
      <c r="D104" s="4">
        <v>31.859774858097385</v>
      </c>
      <c r="F104" s="5" t="e">
        <v>#DIV/0!</v>
      </c>
      <c r="G104" s="5"/>
      <c r="O104" s="1"/>
    </row>
    <row r="105" spans="1:15" x14ac:dyDescent="0.3">
      <c r="A105" s="4">
        <v>1917</v>
      </c>
      <c r="B105" s="1" t="e">
        <f t="shared" si="1"/>
        <v>#DIV/0!</v>
      </c>
      <c r="C105" s="4">
        <v>101.67996899158442</v>
      </c>
      <c r="D105" s="4">
        <v>31.889704408786056</v>
      </c>
      <c r="F105" s="5" t="e">
        <v>#DIV/0!</v>
      </c>
      <c r="G105" s="5"/>
      <c r="O105" s="1"/>
    </row>
    <row r="106" spans="1:15" x14ac:dyDescent="0.3">
      <c r="A106" s="4">
        <v>1916</v>
      </c>
      <c r="B106" s="1" t="e">
        <f t="shared" si="1"/>
        <v>#DIV/0!</v>
      </c>
      <c r="C106" s="4">
        <v>100.27265359224447</v>
      </c>
      <c r="D106" s="4">
        <v>31.919662075743858</v>
      </c>
      <c r="F106" s="5" t="e">
        <v>#DIV/0!</v>
      </c>
      <c r="G106" s="5"/>
      <c r="O106" s="1"/>
    </row>
    <row r="107" spans="1:15" x14ac:dyDescent="0.3">
      <c r="A107" s="4">
        <v>1915</v>
      </c>
      <c r="B107" s="1" t="e">
        <f t="shared" si="1"/>
        <v>#DIV/0!</v>
      </c>
      <c r="C107" s="4">
        <v>98.884816332530846</v>
      </c>
      <c r="D107" s="4">
        <v>31.949647885383641</v>
      </c>
      <c r="F107" s="5" t="e">
        <v>#DIV/0!</v>
      </c>
      <c r="G107" s="5"/>
      <c r="O107" s="1"/>
    </row>
    <row r="108" spans="1:15" x14ac:dyDescent="0.3">
      <c r="A108" s="4">
        <v>1914</v>
      </c>
      <c r="B108" s="1" t="e">
        <f t="shared" si="1"/>
        <v>#DIV/0!</v>
      </c>
      <c r="C108" s="4">
        <v>97.516187622610687</v>
      </c>
      <c r="D108" s="4">
        <v>31.979661864143058</v>
      </c>
      <c r="F108" s="5" t="e">
        <v>#DIV/0!</v>
      </c>
      <c r="G108" s="5"/>
      <c r="O108" s="1"/>
    </row>
    <row r="109" spans="1:15" x14ac:dyDescent="0.3">
      <c r="A109" s="4">
        <v>1913</v>
      </c>
      <c r="B109" s="1" t="e">
        <f t="shared" si="1"/>
        <v>#DIV/0!</v>
      </c>
      <c r="C109" s="4">
        <v>96.166501603945761</v>
      </c>
      <c r="D109" s="4">
        <v>32.009704038484607</v>
      </c>
      <c r="F109" s="5" t="e">
        <v>#DIV/0!</v>
      </c>
      <c r="G109" s="5"/>
      <c r="O109" s="1"/>
    </row>
    <row r="110" spans="1:15" x14ac:dyDescent="0.3">
      <c r="A110" s="4">
        <v>1912</v>
      </c>
      <c r="B110" s="1" t="e">
        <f t="shared" si="1"/>
        <v>#DIV/0!</v>
      </c>
      <c r="C110" s="4">
        <v>94.835496097648999</v>
      </c>
      <c r="D110" s="4">
        <v>32.039774434895641</v>
      </c>
      <c r="F110" s="5" t="e">
        <v>#DIV/0!</v>
      </c>
      <c r="G110" s="5"/>
      <c r="O110" s="1"/>
    </row>
    <row r="111" spans="1:15" x14ac:dyDescent="0.3">
      <c r="A111" s="4">
        <v>1911</v>
      </c>
      <c r="B111" s="1" t="e">
        <f t="shared" si="1"/>
        <v>#DIV/0!</v>
      </c>
      <c r="C111" s="4">
        <v>93.522912553555756</v>
      </c>
      <c r="D111" s="4">
        <v>32.069873079888389</v>
      </c>
      <c r="F111" s="5" t="e">
        <v>#DIV/0!</v>
      </c>
      <c r="G111" s="5"/>
      <c r="O111" s="1"/>
    </row>
    <row r="112" spans="1:15" x14ac:dyDescent="0.3">
      <c r="A112" s="4">
        <v>1910</v>
      </c>
      <c r="B112" s="1" t="e">
        <f t="shared" si="1"/>
        <v>#DIV/0!</v>
      </c>
      <c r="C112" s="4">
        <v>92.228496000000007</v>
      </c>
      <c r="D112" s="4">
        <v>32.1</v>
      </c>
      <c r="F112" s="5" t="e">
        <v>#DIV/0!</v>
      </c>
      <c r="G112" s="5"/>
      <c r="O112" s="1"/>
    </row>
    <row r="113" spans="1:22" x14ac:dyDescent="0.3">
      <c r="A113" s="4">
        <v>1909</v>
      </c>
      <c r="B113" s="1" t="e">
        <f t="shared" si="1"/>
        <v>#DIV/0!</v>
      </c>
      <c r="C113" s="4">
        <v>90.485928148929617</v>
      </c>
      <c r="D113" s="4">
        <v>32.332288003568223</v>
      </c>
      <c r="F113" s="5" t="e">
        <v>#DIV/0!</v>
      </c>
      <c r="G113" s="5"/>
      <c r="O113" s="1"/>
      <c r="V113" s="17"/>
    </row>
    <row r="114" spans="1:22" x14ac:dyDescent="0.3">
      <c r="A114" s="4">
        <v>1908</v>
      </c>
      <c r="B114" s="1" t="e">
        <f t="shared" si="1"/>
        <v>#DIV/0!</v>
      </c>
      <c r="C114" s="4">
        <v>88.776284424861984</v>
      </c>
      <c r="D114" s="4">
        <v>32.566256932887278</v>
      </c>
      <c r="F114" s="5" t="e">
        <v>#DIV/0!</v>
      </c>
      <c r="G114" s="5"/>
      <c r="O114" s="1"/>
    </row>
    <row r="115" spans="1:22" x14ac:dyDescent="0.3">
      <c r="A115" s="4">
        <v>1907</v>
      </c>
      <c r="B115" s="1" t="e">
        <f t="shared" si="1"/>
        <v>#DIV/0!</v>
      </c>
      <c r="C115" s="4">
        <v>87.098942758396419</v>
      </c>
      <c r="D115" s="4">
        <v>32.801918951785417</v>
      </c>
      <c r="F115" s="5" t="e">
        <v>#DIV/0!</v>
      </c>
      <c r="G115" s="5"/>
      <c r="O115" s="1"/>
    </row>
    <row r="116" spans="1:22" x14ac:dyDescent="0.3">
      <c r="A116" s="4">
        <v>1906</v>
      </c>
      <c r="B116" s="1" t="e">
        <f t="shared" si="1"/>
        <v>#DIV/0!</v>
      </c>
      <c r="C116" s="4">
        <v>85.453292833529289</v>
      </c>
      <c r="D116" s="4">
        <v>33.039286312113049</v>
      </c>
      <c r="F116" s="5" t="e">
        <v>#DIV/0!</v>
      </c>
      <c r="G116" s="5"/>
      <c r="O116" s="1"/>
    </row>
    <row r="117" spans="1:22" x14ac:dyDescent="0.3">
      <c r="A117" s="4">
        <v>1905</v>
      </c>
      <c r="B117" s="1" t="e">
        <f t="shared" si="1"/>
        <v>#DIV/0!</v>
      </c>
      <c r="C117" s="4">
        <v>83.838735865585036</v>
      </c>
      <c r="D117" s="4">
        <v>33.278371354379708</v>
      </c>
      <c r="F117" s="5" t="e">
        <v>#DIV/0!</v>
      </c>
      <c r="G117" s="5"/>
      <c r="O117" s="1"/>
    </row>
    <row r="118" spans="1:22" x14ac:dyDescent="0.3">
      <c r="A118" s="4">
        <v>1904</v>
      </c>
      <c r="B118" s="1" t="e">
        <f t="shared" si="1"/>
        <v>#DIV/0!</v>
      </c>
      <c r="C118" s="4">
        <v>82.254684383342962</v>
      </c>
      <c r="D118" s="4">
        <v>33.51918650839562</v>
      </c>
      <c r="F118" s="5" t="e">
        <v>#DIV/0!</v>
      </c>
      <c r="G118" s="5"/>
      <c r="O118" s="1"/>
    </row>
    <row r="119" spans="1:22" x14ac:dyDescent="0.3">
      <c r="A119" s="4">
        <v>1903</v>
      </c>
      <c r="B119" s="1" t="e">
        <f t="shared" si="1"/>
        <v>#DIV/0!</v>
      </c>
      <c r="C119" s="4">
        <v>80.700562015280482</v>
      </c>
      <c r="D119" s="4">
        <v>33.761744293917936</v>
      </c>
      <c r="F119" s="5" t="e">
        <v>#DIV/0!</v>
      </c>
      <c r="G119" s="5"/>
      <c r="O119" s="1"/>
    </row>
    <row r="120" spans="1:22" x14ac:dyDescent="0.3">
      <c r="A120" s="4">
        <v>1902</v>
      </c>
      <c r="B120" s="1" t="e">
        <f t="shared" si="1"/>
        <v>#DIV/0!</v>
      </c>
      <c r="C120" s="4">
        <v>79.175803279855089</v>
      </c>
      <c r="D120" s="4">
        <v>34.006057321301583</v>
      </c>
      <c r="F120" s="5" t="e">
        <v>#DIV/0!</v>
      </c>
      <c r="G120" s="5"/>
      <c r="O120" s="1"/>
    </row>
    <row r="121" spans="1:22" x14ac:dyDescent="0.3">
      <c r="A121" s="4">
        <v>1901</v>
      </c>
      <c r="B121" s="1" t="e">
        <f t="shared" si="1"/>
        <v>#DIV/0!</v>
      </c>
      <c r="C121" s="4">
        <v>77.679853379748778</v>
      </c>
      <c r="D121" s="4">
        <v>34.25213829215491</v>
      </c>
      <c r="F121" s="5" t="e">
        <v>#DIV/0!</v>
      </c>
      <c r="G121" s="5"/>
      <c r="K121" s="2"/>
      <c r="L121" s="2"/>
      <c r="M121" s="2"/>
      <c r="N121" s="2"/>
      <c r="O121" s="1"/>
    </row>
    <row r="122" spans="1:22" x14ac:dyDescent="0.3">
      <c r="A122" s="4">
        <v>1900</v>
      </c>
      <c r="B122" s="1" t="e">
        <f t="shared" si="1"/>
        <v>#DIV/0!</v>
      </c>
      <c r="C122" s="3">
        <v>76.212168000000005</v>
      </c>
      <c r="D122" s="3">
        <v>34.5</v>
      </c>
      <c r="F122" s="5" t="e">
        <v>#DIV/0!</v>
      </c>
      <c r="G122" s="5"/>
      <c r="K122" s="2"/>
      <c r="L122" s="2"/>
      <c r="M122" s="2"/>
      <c r="N122" s="2"/>
      <c r="O122" s="1"/>
    </row>
    <row r="123" spans="1:22" x14ac:dyDescent="0.3">
      <c r="B123" s="1">
        <f t="shared" si="1"/>
        <v>0</v>
      </c>
      <c r="C123" s="4">
        <v>74.768708808246345</v>
      </c>
      <c r="D123" s="3">
        <v>34.616575575720127</v>
      </c>
      <c r="F123" s="3"/>
      <c r="G123" s="3"/>
      <c r="K123" s="3"/>
      <c r="L123" s="3"/>
      <c r="M123" s="3"/>
      <c r="N123" s="3"/>
    </row>
    <row r="124" spans="1:22" x14ac:dyDescent="0.3">
      <c r="B124" s="1">
        <f t="shared" si="1"/>
        <v>0</v>
      </c>
      <c r="C124" s="4">
        <v>73.352588747407538</v>
      </c>
      <c r="D124" s="3">
        <v>34.73354506056647</v>
      </c>
      <c r="F124" s="3"/>
      <c r="G124" s="3"/>
      <c r="K124" s="3"/>
      <c r="L124" s="3"/>
      <c r="M124" s="3"/>
      <c r="N124" s="3"/>
    </row>
    <row r="125" spans="1:22" x14ac:dyDescent="0.3">
      <c r="B125" s="1">
        <f t="shared" si="1"/>
        <v>0</v>
      </c>
      <c r="C125" s="4">
        <v>71.963290014082276</v>
      </c>
      <c r="D125" s="3">
        <v>34.850909785558834</v>
      </c>
      <c r="F125" s="3"/>
      <c r="G125" s="3"/>
      <c r="K125" s="3"/>
      <c r="L125" s="3"/>
      <c r="M125" s="3"/>
      <c r="N125" s="3"/>
    </row>
  </sheetData>
  <mergeCells count="2">
    <mergeCell ref="T1:AF1"/>
    <mergeCell ref="L4:L19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E88A-9AD4-449C-A3B9-CAA0A016A1A5}">
  <dimension ref="A1:M43"/>
  <sheetViews>
    <sheetView topLeftCell="A15" workbookViewId="0">
      <selection activeCell="M20" sqref="M20"/>
    </sheetView>
  </sheetViews>
  <sheetFormatPr defaultRowHeight="14.4" x14ac:dyDescent="0.3"/>
  <cols>
    <col min="1" max="16384" width="8.88671875" style="4"/>
  </cols>
  <sheetData>
    <row r="1" spans="1:13" x14ac:dyDescent="0.3">
      <c r="A1" s="4" t="s">
        <v>21</v>
      </c>
      <c r="B1" s="4" t="s">
        <v>197</v>
      </c>
    </row>
    <row r="2" spans="1:13" x14ac:dyDescent="0.3">
      <c r="A2" s="4" t="s">
        <v>24</v>
      </c>
      <c r="B2" s="4" t="s">
        <v>198</v>
      </c>
    </row>
    <row r="3" spans="1:13" x14ac:dyDescent="0.3">
      <c r="A3" s="4" t="s">
        <v>52</v>
      </c>
      <c r="B3" s="4" t="s">
        <v>75</v>
      </c>
    </row>
    <row r="4" spans="1:13" x14ac:dyDescent="0.3">
      <c r="A4" s="4" t="s">
        <v>54</v>
      </c>
      <c r="B4" s="4" t="s">
        <v>199</v>
      </c>
    </row>
    <row r="5" spans="1:13" x14ac:dyDescent="0.3">
      <c r="A5" s="4" t="s">
        <v>30</v>
      </c>
      <c r="B5" s="4">
        <v>200912</v>
      </c>
    </row>
    <row r="7" spans="1:13" x14ac:dyDescent="0.3">
      <c r="A7" s="4" t="s">
        <v>31</v>
      </c>
    </row>
    <row r="8" spans="1:13" x14ac:dyDescent="0.3">
      <c r="A8" s="4" t="s">
        <v>32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40</v>
      </c>
      <c r="J8" s="4" t="s">
        <v>41</v>
      </c>
      <c r="K8" s="4" t="s">
        <v>42</v>
      </c>
      <c r="L8" s="4" t="s">
        <v>43</v>
      </c>
      <c r="M8" s="4" t="s">
        <v>44</v>
      </c>
    </row>
    <row r="9" spans="1:13" x14ac:dyDescent="0.3">
      <c r="A9" s="4">
        <v>2009</v>
      </c>
      <c r="M9" s="4">
        <v>100</v>
      </c>
    </row>
    <row r="10" spans="1:13" x14ac:dyDescent="0.3">
      <c r="A10" s="4">
        <v>2010</v>
      </c>
      <c r="B10" s="4">
        <v>99.6</v>
      </c>
      <c r="C10" s="4">
        <v>99.9</v>
      </c>
      <c r="D10" s="4">
        <v>100.4</v>
      </c>
      <c r="E10" s="4">
        <v>100.2</v>
      </c>
      <c r="F10" s="4">
        <v>99.7</v>
      </c>
      <c r="G10" s="4">
        <v>101.2</v>
      </c>
      <c r="H10" s="4">
        <v>99.6</v>
      </c>
      <c r="I10" s="4">
        <v>94.9</v>
      </c>
      <c r="J10" s="4">
        <v>98.7</v>
      </c>
      <c r="K10" s="4">
        <v>105.2</v>
      </c>
      <c r="L10" s="4">
        <v>109.6</v>
      </c>
      <c r="M10" s="4">
        <v>109.3</v>
      </c>
    </row>
    <row r="11" spans="1:13" x14ac:dyDescent="0.3">
      <c r="A11" s="4">
        <v>2011</v>
      </c>
      <c r="B11" s="4">
        <v>95.1</v>
      </c>
      <c r="C11" s="4">
        <v>99.7</v>
      </c>
      <c r="D11" s="4">
        <v>101.3</v>
      </c>
      <c r="E11" s="4">
        <v>103.2</v>
      </c>
      <c r="F11" s="4">
        <v>104.9</v>
      </c>
      <c r="G11" s="4">
        <v>96.1</v>
      </c>
      <c r="H11" s="4">
        <v>89.4</v>
      </c>
      <c r="I11" s="4">
        <v>81.900000000000006</v>
      </c>
      <c r="J11" s="4">
        <v>82.9</v>
      </c>
      <c r="K11" s="4">
        <v>96.3</v>
      </c>
      <c r="L11" s="4">
        <v>95.7</v>
      </c>
      <c r="M11" s="4">
        <v>90.3</v>
      </c>
    </row>
    <row r="12" spans="1:13" x14ac:dyDescent="0.3">
      <c r="A12" s="4">
        <v>2012</v>
      </c>
      <c r="B12" s="4">
        <v>80.8</v>
      </c>
      <c r="C12" s="4">
        <v>89.7</v>
      </c>
      <c r="D12" s="4">
        <v>83.6</v>
      </c>
      <c r="E12" s="4">
        <v>90.2</v>
      </c>
      <c r="F12" s="4">
        <v>93.9</v>
      </c>
      <c r="G12" s="4">
        <v>92.9</v>
      </c>
      <c r="H12" s="4">
        <v>92.7</v>
      </c>
      <c r="I12" s="4">
        <v>92.5</v>
      </c>
      <c r="J12" s="4">
        <v>88.6</v>
      </c>
      <c r="K12" s="4">
        <v>85.9</v>
      </c>
      <c r="L12" s="4">
        <v>88.4</v>
      </c>
      <c r="M12" s="4">
        <v>84.8</v>
      </c>
    </row>
    <row r="13" spans="1:13" x14ac:dyDescent="0.3">
      <c r="A13" s="4">
        <v>2013</v>
      </c>
      <c r="B13" s="4">
        <v>76.400000000000006</v>
      </c>
      <c r="C13" s="4">
        <v>74.400000000000006</v>
      </c>
      <c r="D13" s="4">
        <v>76.5</v>
      </c>
      <c r="E13" s="4">
        <v>77.5</v>
      </c>
      <c r="F13" s="4">
        <v>74.599999999999994</v>
      </c>
      <c r="G13" s="4">
        <v>73.599999999999994</v>
      </c>
      <c r="H13" s="4">
        <v>77.8</v>
      </c>
      <c r="I13" s="4">
        <v>75.7</v>
      </c>
      <c r="J13" s="4">
        <v>73.900000000000006</v>
      </c>
      <c r="K13" s="4">
        <v>72.8</v>
      </c>
      <c r="L13" s="4">
        <v>71.099999999999994</v>
      </c>
      <c r="M13" s="4">
        <v>73</v>
      </c>
    </row>
    <row r="14" spans="1:13" x14ac:dyDescent="0.3">
      <c r="A14" s="4">
        <v>2014</v>
      </c>
      <c r="B14" s="4">
        <v>73</v>
      </c>
      <c r="C14" s="4">
        <v>73.8</v>
      </c>
      <c r="D14" s="4">
        <v>72.400000000000006</v>
      </c>
      <c r="E14" s="4">
        <v>68.599999999999994</v>
      </c>
      <c r="F14" s="4">
        <v>68.900000000000006</v>
      </c>
      <c r="G14" s="4">
        <v>72.900000000000006</v>
      </c>
      <c r="H14" s="4">
        <v>71.5</v>
      </c>
      <c r="I14" s="4">
        <v>72.599999999999994</v>
      </c>
      <c r="J14" s="4">
        <v>73.900000000000006</v>
      </c>
      <c r="K14" s="4">
        <v>78.099999999999994</v>
      </c>
      <c r="L14" s="4">
        <v>81.8</v>
      </c>
      <c r="M14" s="4">
        <v>78.400000000000006</v>
      </c>
    </row>
    <row r="15" spans="1:13" x14ac:dyDescent="0.3">
      <c r="A15" s="4">
        <v>2015</v>
      </c>
      <c r="B15" s="4">
        <v>80.2</v>
      </c>
      <c r="C15" s="4">
        <v>80.900000000000006</v>
      </c>
      <c r="D15" s="4">
        <v>82</v>
      </c>
      <c r="E15" s="4">
        <v>83.6</v>
      </c>
      <c r="F15" s="4">
        <v>85.7</v>
      </c>
      <c r="G15" s="4">
        <v>81.3</v>
      </c>
      <c r="H15" s="4">
        <v>81.5</v>
      </c>
      <c r="I15" s="4">
        <v>83.3</v>
      </c>
      <c r="J15" s="4">
        <v>85.2</v>
      </c>
      <c r="K15" s="4">
        <v>83.7</v>
      </c>
      <c r="L15" s="4">
        <v>87.7</v>
      </c>
      <c r="M15" s="4">
        <v>81.3</v>
      </c>
    </row>
    <row r="16" spans="1:13" x14ac:dyDescent="0.3">
      <c r="A16" s="4">
        <v>2016</v>
      </c>
      <c r="B16" s="4">
        <v>81.599999999999994</v>
      </c>
      <c r="C16" s="4">
        <v>84.4</v>
      </c>
      <c r="D16" s="4">
        <v>79.099999999999994</v>
      </c>
      <c r="E16" s="4">
        <v>76.3</v>
      </c>
      <c r="F16" s="4">
        <v>74.2</v>
      </c>
      <c r="G16" s="4">
        <v>73.7</v>
      </c>
      <c r="H16" s="4">
        <v>72</v>
      </c>
      <c r="I16" s="4">
        <v>72.099999999999994</v>
      </c>
      <c r="J16" s="4">
        <v>74.8</v>
      </c>
      <c r="K16" s="4">
        <v>74.3</v>
      </c>
      <c r="L16" s="4">
        <v>75.2</v>
      </c>
      <c r="M16" s="4">
        <v>75.599999999999994</v>
      </c>
    </row>
    <row r="17" spans="1:13" x14ac:dyDescent="0.3">
      <c r="A17" s="4">
        <v>2017</v>
      </c>
      <c r="B17" s="4">
        <v>71.3</v>
      </c>
      <c r="C17" s="4">
        <v>75.099999999999994</v>
      </c>
      <c r="D17" s="4">
        <v>75.7</v>
      </c>
      <c r="E17" s="4">
        <v>75.7</v>
      </c>
      <c r="F17" s="4">
        <v>75.599999999999994</v>
      </c>
      <c r="G17" s="4">
        <v>77.3</v>
      </c>
      <c r="H17" s="4">
        <v>76.3</v>
      </c>
      <c r="I17" s="4">
        <v>78.400000000000006</v>
      </c>
      <c r="J17" s="4">
        <v>76.8</v>
      </c>
      <c r="K17" s="4">
        <v>78.2</v>
      </c>
      <c r="L17" s="4">
        <v>80.3</v>
      </c>
      <c r="M17" s="4">
        <v>83</v>
      </c>
    </row>
    <row r="18" spans="1:13" x14ac:dyDescent="0.3">
      <c r="A18" s="4">
        <v>2018</v>
      </c>
      <c r="B18" s="4">
        <v>73.599999999999994</v>
      </c>
      <c r="C18" s="4">
        <v>74.2</v>
      </c>
      <c r="D18" s="4">
        <v>79.099999999999994</v>
      </c>
      <c r="E18" s="4">
        <v>73.7</v>
      </c>
      <c r="F18" s="4">
        <v>74</v>
      </c>
      <c r="G18" s="4">
        <v>75.7</v>
      </c>
      <c r="H18" s="4">
        <v>77.7</v>
      </c>
      <c r="I18" s="4">
        <v>74.5</v>
      </c>
      <c r="J18" s="4">
        <v>77</v>
      </c>
      <c r="K18" s="4">
        <v>77</v>
      </c>
      <c r="L18" s="4">
        <v>77.2</v>
      </c>
      <c r="M18" s="4">
        <v>79.5</v>
      </c>
    </row>
    <row r="19" spans="1:13" x14ac:dyDescent="0.3">
      <c r="A19" s="4">
        <v>2019</v>
      </c>
      <c r="B19" s="4">
        <v>78</v>
      </c>
      <c r="C19" s="4">
        <v>77.400000000000006</v>
      </c>
      <c r="D19" s="4">
        <v>76.2</v>
      </c>
      <c r="E19" s="4">
        <v>75.7</v>
      </c>
      <c r="F19" s="4">
        <v>77.400000000000006</v>
      </c>
      <c r="G19" s="4">
        <v>74.8</v>
      </c>
      <c r="H19" s="4">
        <v>77.3</v>
      </c>
      <c r="I19" s="4">
        <v>79.599999999999994</v>
      </c>
      <c r="J19" s="4">
        <v>77.900000000000006</v>
      </c>
      <c r="K19" s="4">
        <v>78.5</v>
      </c>
      <c r="L19" s="4">
        <v>78.3</v>
      </c>
      <c r="M19" s="4">
        <v>76.2</v>
      </c>
    </row>
    <row r="20" spans="1:13" x14ac:dyDescent="0.3">
      <c r="A20" s="4">
        <v>2020</v>
      </c>
      <c r="B20" s="4">
        <v>85.1</v>
      </c>
      <c r="C20" s="4">
        <v>71.900000000000006</v>
      </c>
      <c r="D20" s="4">
        <v>75.5</v>
      </c>
      <c r="E20" s="4">
        <v>83</v>
      </c>
      <c r="F20" s="4">
        <v>74.7</v>
      </c>
      <c r="G20" s="4">
        <v>69.900000000000006</v>
      </c>
      <c r="H20" s="4">
        <v>79.2</v>
      </c>
      <c r="I20" s="4">
        <v>86.4</v>
      </c>
      <c r="J20" s="4">
        <v>85</v>
      </c>
      <c r="K20" s="4">
        <v>87.2</v>
      </c>
      <c r="L20" s="4">
        <f>K20*L41/K41</f>
        <v>87.727206771463131</v>
      </c>
      <c r="M20" s="4">
        <f>L20*M41/L41</f>
        <v>86.989117291414757</v>
      </c>
    </row>
    <row r="22" spans="1:13" x14ac:dyDescent="0.3">
      <c r="A22" s="4" t="s">
        <v>21</v>
      </c>
      <c r="B22" s="4" t="s">
        <v>203</v>
      </c>
    </row>
    <row r="23" spans="1:13" x14ac:dyDescent="0.3">
      <c r="A23" s="4" t="s">
        <v>24</v>
      </c>
      <c r="B23" s="4" t="s">
        <v>204</v>
      </c>
    </row>
    <row r="24" spans="1:13" x14ac:dyDescent="0.3">
      <c r="A24" s="4" t="s">
        <v>52</v>
      </c>
      <c r="B24" s="4" t="s">
        <v>75</v>
      </c>
    </row>
    <row r="25" spans="1:13" x14ac:dyDescent="0.3">
      <c r="A25" s="4" t="s">
        <v>54</v>
      </c>
      <c r="B25" s="4" t="s">
        <v>75</v>
      </c>
    </row>
    <row r="26" spans="1:13" x14ac:dyDescent="0.3">
      <c r="A26" s="4" t="s">
        <v>30</v>
      </c>
      <c r="B26" s="4">
        <v>200912</v>
      </c>
    </row>
    <row r="28" spans="1:13" x14ac:dyDescent="0.3">
      <c r="A28" s="4" t="s">
        <v>31</v>
      </c>
    </row>
    <row r="29" spans="1:13" x14ac:dyDescent="0.3">
      <c r="A29" s="4" t="s">
        <v>32</v>
      </c>
      <c r="B29" s="4" t="s">
        <v>33</v>
      </c>
      <c r="C29" s="4" t="s">
        <v>34</v>
      </c>
      <c r="D29" s="4" t="s">
        <v>35</v>
      </c>
      <c r="E29" s="4" t="s">
        <v>36</v>
      </c>
      <c r="F29" s="4" t="s">
        <v>37</v>
      </c>
      <c r="G29" s="4" t="s">
        <v>38</v>
      </c>
      <c r="H29" s="4" t="s">
        <v>39</v>
      </c>
      <c r="I29" s="4" t="s">
        <v>40</v>
      </c>
      <c r="J29" s="4" t="s">
        <v>41</v>
      </c>
      <c r="K29" s="4" t="s">
        <v>42</v>
      </c>
      <c r="L29" s="4" t="s">
        <v>43</v>
      </c>
      <c r="M29" s="4" t="s">
        <v>44</v>
      </c>
    </row>
    <row r="30" spans="1:13" x14ac:dyDescent="0.3">
      <c r="A30" s="4">
        <v>2009</v>
      </c>
      <c r="M30" s="4">
        <v>100</v>
      </c>
    </row>
    <row r="31" spans="1:13" x14ac:dyDescent="0.3">
      <c r="A31" s="4">
        <v>2010</v>
      </c>
      <c r="B31" s="4">
        <v>98.4</v>
      </c>
      <c r="C31" s="4">
        <v>98.9</v>
      </c>
      <c r="D31" s="4">
        <v>99</v>
      </c>
      <c r="E31" s="4">
        <v>100</v>
      </c>
      <c r="F31" s="4">
        <v>99.7</v>
      </c>
      <c r="G31" s="4">
        <v>100.2</v>
      </c>
      <c r="H31" s="4">
        <v>100.2</v>
      </c>
      <c r="I31" s="4">
        <v>98.5</v>
      </c>
      <c r="J31" s="4">
        <v>99.5</v>
      </c>
      <c r="K31" s="4">
        <v>102.5</v>
      </c>
      <c r="L31" s="4">
        <v>104</v>
      </c>
      <c r="M31" s="4">
        <v>103.9</v>
      </c>
    </row>
    <row r="32" spans="1:13" x14ac:dyDescent="0.3">
      <c r="A32" s="4">
        <v>2011</v>
      </c>
      <c r="B32" s="4">
        <v>98.6</v>
      </c>
      <c r="C32" s="4">
        <v>100.2</v>
      </c>
      <c r="D32" s="4">
        <v>100.5</v>
      </c>
      <c r="E32" s="4">
        <v>103</v>
      </c>
      <c r="F32" s="4">
        <v>103.9</v>
      </c>
      <c r="G32" s="4">
        <v>101.3</v>
      </c>
      <c r="H32" s="4">
        <v>97.6</v>
      </c>
      <c r="I32" s="4">
        <v>95</v>
      </c>
      <c r="J32" s="4">
        <v>95.3</v>
      </c>
      <c r="K32" s="4">
        <v>97.2</v>
      </c>
      <c r="L32" s="4">
        <v>96.8</v>
      </c>
      <c r="M32" s="4">
        <v>95.3</v>
      </c>
    </row>
    <row r="33" spans="1:13" x14ac:dyDescent="0.3">
      <c r="A33" s="4">
        <v>2012</v>
      </c>
      <c r="B33" s="4">
        <v>92.5</v>
      </c>
      <c r="C33" s="4">
        <v>94.7</v>
      </c>
      <c r="D33" s="4">
        <v>93.2</v>
      </c>
      <c r="E33" s="4">
        <v>96.2</v>
      </c>
      <c r="F33" s="4">
        <v>97.3</v>
      </c>
      <c r="G33" s="4">
        <v>97</v>
      </c>
      <c r="H33" s="4">
        <v>97.3</v>
      </c>
      <c r="I33" s="4">
        <v>97.2</v>
      </c>
      <c r="J33" s="4">
        <v>96.4</v>
      </c>
      <c r="K33" s="4">
        <v>96.7</v>
      </c>
      <c r="L33" s="4">
        <v>97.3</v>
      </c>
      <c r="M33" s="4">
        <v>96.3</v>
      </c>
    </row>
    <row r="34" spans="1:13" x14ac:dyDescent="0.3">
      <c r="A34" s="4">
        <v>2013</v>
      </c>
      <c r="B34" s="4">
        <v>94.5</v>
      </c>
      <c r="C34" s="4">
        <v>93.9</v>
      </c>
      <c r="D34" s="4">
        <v>94.3</v>
      </c>
      <c r="E34" s="4">
        <v>94.6</v>
      </c>
      <c r="F34" s="4">
        <v>94</v>
      </c>
      <c r="G34" s="4">
        <v>93.9</v>
      </c>
      <c r="H34" s="4">
        <v>93.4</v>
      </c>
      <c r="I34" s="4">
        <v>93</v>
      </c>
      <c r="J34" s="4">
        <v>93</v>
      </c>
      <c r="K34" s="4">
        <v>92.1</v>
      </c>
      <c r="L34" s="4">
        <v>91.7</v>
      </c>
      <c r="M34" s="4">
        <v>92.4</v>
      </c>
    </row>
    <row r="35" spans="1:13" x14ac:dyDescent="0.3">
      <c r="A35" s="4">
        <v>2014</v>
      </c>
      <c r="B35" s="4">
        <v>92.8</v>
      </c>
      <c r="C35" s="4">
        <v>93</v>
      </c>
      <c r="D35" s="4">
        <v>92.7</v>
      </c>
      <c r="E35" s="4">
        <v>91.6</v>
      </c>
      <c r="F35" s="4">
        <v>91.6</v>
      </c>
      <c r="G35" s="4">
        <v>92.4</v>
      </c>
      <c r="H35" s="4">
        <v>91.7</v>
      </c>
      <c r="I35" s="4">
        <v>92.2</v>
      </c>
      <c r="J35" s="4">
        <v>92.4</v>
      </c>
      <c r="K35" s="4">
        <v>91.3</v>
      </c>
      <c r="L35" s="4">
        <v>92.3</v>
      </c>
      <c r="M35" s="4">
        <v>91.4</v>
      </c>
    </row>
    <row r="36" spans="1:13" x14ac:dyDescent="0.3">
      <c r="A36" s="4">
        <v>2015</v>
      </c>
      <c r="B36" s="4">
        <v>90.8</v>
      </c>
      <c r="C36" s="4">
        <v>90.9</v>
      </c>
      <c r="D36" s="4">
        <v>91.3</v>
      </c>
      <c r="E36" s="4">
        <v>90.4</v>
      </c>
      <c r="F36" s="4">
        <v>91.2</v>
      </c>
      <c r="G36" s="4">
        <v>90</v>
      </c>
      <c r="H36" s="4">
        <v>89.5</v>
      </c>
      <c r="I36" s="4">
        <v>90.1</v>
      </c>
      <c r="J36" s="4">
        <v>90.6</v>
      </c>
      <c r="K36" s="4">
        <v>90.4</v>
      </c>
      <c r="L36" s="4">
        <v>91.7</v>
      </c>
      <c r="M36" s="4">
        <v>90</v>
      </c>
    </row>
    <row r="37" spans="1:13" x14ac:dyDescent="0.3">
      <c r="A37" s="4">
        <v>2016</v>
      </c>
      <c r="B37" s="4">
        <v>90.2</v>
      </c>
      <c r="C37" s="4">
        <v>91</v>
      </c>
      <c r="D37" s="4">
        <v>89.5</v>
      </c>
      <c r="E37" s="4">
        <v>88.2</v>
      </c>
      <c r="F37" s="4">
        <v>87.6</v>
      </c>
      <c r="G37" s="4">
        <v>87.6</v>
      </c>
      <c r="H37" s="4">
        <v>85.4</v>
      </c>
      <c r="I37" s="4">
        <v>85.3</v>
      </c>
      <c r="J37" s="4">
        <v>86.5</v>
      </c>
      <c r="K37" s="4">
        <v>84.2</v>
      </c>
      <c r="L37" s="4">
        <v>84.4</v>
      </c>
      <c r="M37" s="4">
        <v>84.4</v>
      </c>
    </row>
    <row r="38" spans="1:13" x14ac:dyDescent="0.3">
      <c r="A38" s="4">
        <v>2017</v>
      </c>
      <c r="B38" s="4">
        <v>83.3</v>
      </c>
      <c r="C38" s="4">
        <v>84.4</v>
      </c>
      <c r="D38" s="4">
        <v>85.2</v>
      </c>
      <c r="E38" s="4">
        <v>83.6</v>
      </c>
      <c r="F38" s="4">
        <v>83.7</v>
      </c>
      <c r="G38" s="4">
        <v>84.1</v>
      </c>
      <c r="H38" s="4">
        <v>84</v>
      </c>
      <c r="I38" s="4">
        <v>85.1</v>
      </c>
      <c r="J38" s="4">
        <v>85.1</v>
      </c>
      <c r="K38" s="4">
        <v>84.2</v>
      </c>
      <c r="L38" s="4">
        <v>84.1</v>
      </c>
      <c r="M38" s="4">
        <v>84.5</v>
      </c>
    </row>
    <row r="39" spans="1:13" x14ac:dyDescent="0.3">
      <c r="A39" s="4">
        <v>2018</v>
      </c>
      <c r="B39" s="4">
        <v>81.5</v>
      </c>
      <c r="C39" s="4">
        <v>81.2</v>
      </c>
      <c r="D39" s="4">
        <v>82.4</v>
      </c>
      <c r="E39" s="4">
        <v>79.900000000000006</v>
      </c>
      <c r="F39" s="4">
        <v>80.099999999999994</v>
      </c>
      <c r="G39" s="4">
        <v>80.900000000000006</v>
      </c>
      <c r="H39" s="4">
        <v>80.400000000000006</v>
      </c>
      <c r="I39" s="4">
        <v>79.599999999999994</v>
      </c>
      <c r="J39" s="4">
        <v>80.5</v>
      </c>
      <c r="K39" s="4">
        <v>79.900000000000006</v>
      </c>
      <c r="L39" s="4">
        <v>80.3</v>
      </c>
      <c r="M39" s="4">
        <v>81.3</v>
      </c>
    </row>
    <row r="40" spans="1:13" x14ac:dyDescent="0.3">
      <c r="A40" s="4">
        <v>2019</v>
      </c>
      <c r="B40" s="4">
        <v>80.900000000000006</v>
      </c>
      <c r="C40" s="4">
        <v>80.2</v>
      </c>
      <c r="D40" s="4">
        <v>80.2</v>
      </c>
      <c r="E40" s="4">
        <v>80.5</v>
      </c>
      <c r="F40" s="4">
        <v>80.7</v>
      </c>
      <c r="G40" s="4">
        <v>80</v>
      </c>
      <c r="H40" s="4">
        <v>80.8</v>
      </c>
      <c r="I40" s="4">
        <v>81.099999999999994</v>
      </c>
      <c r="J40" s="4">
        <v>80.8</v>
      </c>
      <c r="K40" s="4">
        <v>81.2</v>
      </c>
      <c r="L40" s="4">
        <v>81.2</v>
      </c>
      <c r="M40" s="4">
        <v>80.599999999999994</v>
      </c>
    </row>
    <row r="41" spans="1:13" x14ac:dyDescent="0.3">
      <c r="A41" s="4">
        <v>2020</v>
      </c>
      <c r="B41" s="4">
        <v>81.599999999999994</v>
      </c>
      <c r="C41" s="4">
        <v>78.599999999999994</v>
      </c>
      <c r="D41" s="4">
        <v>79.8</v>
      </c>
      <c r="E41" s="4">
        <v>79.5</v>
      </c>
      <c r="F41" s="4">
        <v>77.2</v>
      </c>
      <c r="G41" s="4">
        <v>75.900000000000006</v>
      </c>
      <c r="H41" s="4">
        <v>80.099999999999994</v>
      </c>
      <c r="I41" s="4">
        <v>81.900000000000006</v>
      </c>
      <c r="J41" s="4">
        <v>81.2</v>
      </c>
      <c r="K41" s="4">
        <v>82.7</v>
      </c>
      <c r="L41" s="4">
        <v>83.2</v>
      </c>
      <c r="M41" s="4">
        <v>82.5</v>
      </c>
    </row>
    <row r="42" spans="1:13" x14ac:dyDescent="0.3">
      <c r="A42" s="4">
        <v>2021</v>
      </c>
      <c r="B42" s="4">
        <v>85.9</v>
      </c>
      <c r="C42" s="4">
        <v>85.6</v>
      </c>
      <c r="D42" s="4">
        <v>84.1</v>
      </c>
      <c r="E42" s="4">
        <v>89</v>
      </c>
      <c r="F42" s="4">
        <v>89.4</v>
      </c>
      <c r="G42" s="4">
        <v>89.2</v>
      </c>
      <c r="H42" s="4">
        <v>89.853999999999999</v>
      </c>
      <c r="I42" s="4">
        <v>89.350999999999999</v>
      </c>
      <c r="J42" s="4">
        <v>89.316000000000003</v>
      </c>
      <c r="K42" s="4">
        <v>90.263999999999996</v>
      </c>
      <c r="L42" s="4">
        <v>90.551000000000002</v>
      </c>
      <c r="M42" s="4">
        <v>90.864999999999995</v>
      </c>
    </row>
    <row r="43" spans="1:13" x14ac:dyDescent="0.3">
      <c r="A43" s="4">
        <v>2022</v>
      </c>
      <c r="B43" s="4">
        <v>90.183999999999997</v>
      </c>
      <c r="C43" s="4">
        <v>89.275999999999996</v>
      </c>
      <c r="D43" s="4">
        <v>91.391000000000005</v>
      </c>
      <c r="E43" s="4">
        <v>90.596000000000004</v>
      </c>
      <c r="F43" s="4">
        <v>90.759</v>
      </c>
      <c r="G43" s="4">
        <v>90.983000000000004</v>
      </c>
      <c r="H43" s="4">
        <v>87.51</v>
      </c>
      <c r="I43" s="4">
        <v>88.238</v>
      </c>
      <c r="J43" s="4">
        <v>88.323999999999998</v>
      </c>
      <c r="K43" s="4">
        <v>89.587000000000003</v>
      </c>
      <c r="L43" s="4">
        <v>89.834999999999994</v>
      </c>
      <c r="M43" s="4">
        <v>89.677000000000007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D83B-ECEE-4E44-B96F-60BF403A88BE}">
  <dimension ref="A1:F126"/>
  <sheetViews>
    <sheetView workbookViewId="0">
      <selection activeCell="C2" sqref="C2:F126"/>
    </sheetView>
  </sheetViews>
  <sheetFormatPr defaultRowHeight="14.4" x14ac:dyDescent="0.3"/>
  <cols>
    <col min="1" max="16384" width="8.88671875" style="4"/>
  </cols>
  <sheetData>
    <row r="1" spans="1:6" x14ac:dyDescent="0.3">
      <c r="B1" s="25" t="s">
        <v>195</v>
      </c>
      <c r="C1" s="25"/>
      <c r="D1" s="25"/>
      <c r="E1" s="25"/>
      <c r="F1" s="25"/>
    </row>
    <row r="2" spans="1:6" x14ac:dyDescent="0.3">
      <c r="B2" s="4" t="s">
        <v>228</v>
      </c>
      <c r="D2" s="4" t="s">
        <v>6</v>
      </c>
      <c r="E2" s="4" t="s">
        <v>7</v>
      </c>
      <c r="F2" s="4" t="s">
        <v>9</v>
      </c>
    </row>
    <row r="3" spans="1:6" x14ac:dyDescent="0.3">
      <c r="A3" s="4">
        <v>2020</v>
      </c>
      <c r="B3" s="4">
        <f>B4*F3*D3*(100-E3)/(D4*F4*(100-E4))</f>
        <v>179.28482289913325</v>
      </c>
      <c r="D3" s="4">
        <v>331.44928099999998</v>
      </c>
      <c r="E3" s="4">
        <v>18.402334630350193</v>
      </c>
      <c r="F3" s="4">
        <v>337</v>
      </c>
    </row>
    <row r="4" spans="1:6" x14ac:dyDescent="0.3">
      <c r="A4" s="4">
        <v>2019</v>
      </c>
      <c r="B4" s="4">
        <f>B5*F4*D4*(100-E4)/(D5*F5*(100-E5))</f>
        <v>159.7580341949463</v>
      </c>
      <c r="D4" s="4">
        <v>329.10572873903209</v>
      </c>
      <c r="E4" s="4">
        <v>18.554737751424618</v>
      </c>
      <c r="F4" s="4">
        <v>303</v>
      </c>
    </row>
    <row r="5" spans="1:6" x14ac:dyDescent="0.3">
      <c r="A5" s="4">
        <v>2018</v>
      </c>
      <c r="B5" s="4">
        <f>B6*F5*D5*(100-E5)/(D6*F6*(100-E6))</f>
        <v>153.10377180419894</v>
      </c>
      <c r="D5" s="4">
        <v>326.77874684799622</v>
      </c>
      <c r="E5" s="4">
        <v>18.708403033620428</v>
      </c>
      <c r="F5" s="4">
        <v>293</v>
      </c>
    </row>
    <row r="6" spans="1:6" x14ac:dyDescent="0.3">
      <c r="A6" s="4">
        <v>2017</v>
      </c>
      <c r="B6" s="5">
        <f>[7]Internet!$AI4*(1-[7]Internet!$AC4-[7]Internet!$AE4)*(1-[7]Internet!$X4)*100/([7]Internet!$AI$9*(1-[7]Internet!$AC$9-[7]Internet!$AE$9)*(1-[7]Internet!$X$9))</f>
        <v>147.0707936872968</v>
      </c>
      <c r="D6" s="4">
        <v>324.46821816408612</v>
      </c>
      <c r="E6" s="4">
        <v>18.863340929812118</v>
      </c>
      <c r="F6" s="5">
        <v>284</v>
      </c>
    </row>
    <row r="7" spans="1:6" x14ac:dyDescent="0.3">
      <c r="A7" s="4">
        <v>2016</v>
      </c>
      <c r="B7" s="5">
        <f>[7]Internet!$AI5*(1-[7]Internet!$AC5-[7]Internet!$AE5)*(1-[7]Internet!$X5)*100/([7]Internet!$AI$9*(1-[7]Internet!$AC$9-[7]Internet!$AE$9)*(1-[7]Internet!$X$9))</f>
        <v>127.86097848437069</v>
      </c>
      <c r="D7" s="4">
        <v>322.17402635290921</v>
      </c>
      <c r="E7" s="4">
        <v>19.019561979442035</v>
      </c>
      <c r="F7" s="5"/>
    </row>
    <row r="8" spans="1:6" x14ac:dyDescent="0.3">
      <c r="A8" s="4">
        <v>2015</v>
      </c>
      <c r="B8" s="5">
        <f>[7]Internet!$AI6*(1-[7]Internet!$AC6-[7]Internet!$AE6)*(1-[7]Internet!$X6)*100/([7]Internet!$AI$9*(1-[7]Internet!$AC$9-[7]Internet!$AE$9)*(1-[7]Internet!$X$9))</f>
        <v>123.98377907224258</v>
      </c>
      <c r="D8" s="4">
        <v>319.89605590262937</v>
      </c>
      <c r="E8" s="4">
        <v>19.177076809237313</v>
      </c>
      <c r="F8" s="5"/>
    </row>
    <row r="9" spans="1:6" x14ac:dyDescent="0.3">
      <c r="A9" s="4">
        <v>2014</v>
      </c>
      <c r="B9" s="5">
        <f>[7]Internet!$AI7*(1-[7]Internet!$AC7-[7]Internet!$AE7)*(1-[7]Internet!$X7)*100/([7]Internet!$AI$9*(1-[7]Internet!$AC$9-[7]Internet!$AE$9)*(1-[7]Internet!$X$9))</f>
        <v>109.21125336621172</v>
      </c>
      <c r="D9" s="4">
        <v>317.63419211815091</v>
      </c>
      <c r="E9" s="4">
        <v>19.335896133932749</v>
      </c>
      <c r="F9" s="5"/>
    </row>
    <row r="10" spans="1:6" x14ac:dyDescent="0.3">
      <c r="A10" s="4">
        <v>2013</v>
      </c>
      <c r="B10" s="5">
        <f>[7]Internet!$AI8*(1-[7]Internet!$AC8-[7]Internet!$AE8)*(1-[7]Internet!$X8)*100/([7]Internet!$AI$9*(1-[7]Internet!$AC$9-[7]Internet!$AE$9)*(1-[7]Internet!$X$9))</f>
        <v>108.22876951639284</v>
      </c>
      <c r="D10" s="4">
        <v>315.38832111534367</v>
      </c>
      <c r="E10" s="4">
        <v>19.496030756999655</v>
      </c>
      <c r="F10" s="5"/>
    </row>
    <row r="11" spans="1:6" x14ac:dyDescent="0.3">
      <c r="A11" s="4">
        <v>2012</v>
      </c>
      <c r="B11" s="5">
        <f>[7]Internet!$AI9*(1-[7]Internet!$AC9-[7]Internet!$AE9)*(1-[7]Internet!$X9)*100/([7]Internet!$AI$9*(1-[7]Internet!$AC$9-[7]Internet!$AE$9)*(1-[7]Internet!$X$9))</f>
        <v>100</v>
      </c>
      <c r="D11" s="4">
        <v>313.158329815309</v>
      </c>
      <c r="E11" s="4">
        <v>19.657491571380746</v>
      </c>
      <c r="F11" s="5"/>
    </row>
    <row r="12" spans="1:6" x14ac:dyDescent="0.3">
      <c r="A12" s="4">
        <v>2011</v>
      </c>
      <c r="B12" s="5">
        <f>[7]Internet!$AI10*(1-[7]Internet!$AC10-[7]Internet!$AE10)*(1-[7]Internet!$X10)*100/([7]Internet!$AI$9*(1-[7]Internet!$AC$9-[7]Internet!$AE$9)*(1-[7]Internet!$X$9))</f>
        <v>90.753939071107311</v>
      </c>
      <c r="D12" s="4">
        <v>310.94410593868639</v>
      </c>
      <c r="E12" s="4">
        <v>19.820289560231117</v>
      </c>
      <c r="F12" s="5"/>
    </row>
    <row r="13" spans="1:6" x14ac:dyDescent="0.3">
      <c r="A13" s="4">
        <v>2010</v>
      </c>
      <c r="B13" s="5">
        <f>[7]Internet!$AI11*(1-[7]Internet!$AC11-[7]Internet!$AE11)*(1-[7]Internet!$X11)*100/([7]Internet!$AI$9*(1-[7]Internet!$AC$9-[7]Internet!$AE$9)*(1-[7]Internet!$X$9))</f>
        <v>96.92291773502609</v>
      </c>
      <c r="D13" s="4">
        <v>308.74553800000001</v>
      </c>
      <c r="E13" s="4">
        <v>19.984435797665366</v>
      </c>
      <c r="F13" s="5"/>
    </row>
    <row r="14" spans="1:6" x14ac:dyDescent="0.3">
      <c r="A14" s="4">
        <v>2009</v>
      </c>
      <c r="B14" s="5">
        <f>[7]Internet!$AI12*(1-[7]Internet!$AC12-[7]Internet!$AE12)*(1-[7]Internet!$X12)*100/([7]Internet!$AI$9*(1-[7]Internet!$AC$9-[7]Internet!$AE$9)*(1-[7]Internet!$X$9))</f>
        <v>90.67858340231831</v>
      </c>
      <c r="D14" s="4">
        <v>305.89784037524367</v>
      </c>
      <c r="E14" s="4">
        <v>20.121672673259901</v>
      </c>
      <c r="F14" s="5"/>
    </row>
    <row r="15" spans="1:6" x14ac:dyDescent="0.3">
      <c r="A15" s="4">
        <v>2008</v>
      </c>
      <c r="B15" s="5">
        <f>[7]Internet!$AI13*(1-[7]Internet!$AC13-[7]Internet!$AE13)*(1-[7]Internet!$X13)*100/([7]Internet!$AI$9*(1-[7]Internet!$AC$9-[7]Internet!$AE$9)*(1-[7]Internet!$X$9))</f>
        <v>91.786426222443907</v>
      </c>
      <c r="D15" s="4">
        <v>303.07640833416031</v>
      </c>
      <c r="E15" s="4">
        <v>20.259851980265246</v>
      </c>
      <c r="F15" s="5"/>
    </row>
    <row r="16" spans="1:6" x14ac:dyDescent="0.3">
      <c r="A16" s="4">
        <v>2007</v>
      </c>
      <c r="B16" s="5">
        <f>[7]Internet!$AI14*(1-[7]Internet!$AC14-[7]Internet!$AE14)*(1-[7]Internet!$X14)*100/([7]Internet!$AI$9*(1-[7]Internet!$AC$9-[7]Internet!$AE$9)*(1-[7]Internet!$X$9))</f>
        <v>74.994111783623879</v>
      </c>
      <c r="D16" s="4">
        <v>300.28099961757209</v>
      </c>
      <c r="E16" s="4">
        <v>20.398980190534971</v>
      </c>
      <c r="F16" s="5"/>
    </row>
    <row r="17" spans="1:6" x14ac:dyDescent="0.3">
      <c r="A17" s="4">
        <v>2006</v>
      </c>
      <c r="B17" s="5">
        <f>[7]Internet!$AI15*(1-[7]Internet!$AC15-[7]Internet!$AE15)*(1-[7]Internet!$X15)*100/([7]Internet!$AI$9*(1-[7]Internet!$AC$9-[7]Internet!$AE$9)*(1-[7]Internet!$X$9))</f>
        <v>69.767803367517644</v>
      </c>
      <c r="D17" s="4">
        <v>297.51137420076537</v>
      </c>
      <c r="E17" s="4">
        <v>20.539063820366088</v>
      </c>
      <c r="F17" s="5"/>
    </row>
    <row r="18" spans="1:6" x14ac:dyDescent="0.3">
      <c r="A18" s="4">
        <v>2005</v>
      </c>
      <c r="B18" s="5">
        <f>[7]Internet!$AI16*(1-[7]Internet!$AC16-[7]Internet!$AE16)*(1-[7]Internet!$X16)*100/([7]Internet!$AI$9*(1-[7]Internet!$AC$9-[7]Internet!$AE$9)*(1-[7]Internet!$X$9))</f>
        <v>63.314747113284184</v>
      </c>
      <c r="D18" s="4">
        <v>294.76729427288137</v>
      </c>
      <c r="E18" s="4">
        <v>20.680109430804247</v>
      </c>
      <c r="F18" s="5"/>
    </row>
    <row r="19" spans="1:6" x14ac:dyDescent="0.3">
      <c r="A19" s="4">
        <v>2004</v>
      </c>
      <c r="B19" s="5">
        <f>[7]Internet!$AI17*(1-[7]Internet!$AC17-[7]Internet!$AE17)*(1-[7]Internet!$X17)*100/([7]Internet!$AI$9*(1-[7]Internet!$AC$9-[7]Internet!$AE$9)*(1-[7]Internet!$X$9))</f>
        <v>60.835347320321375</v>
      </c>
      <c r="D19" s="4">
        <v>292.04852421649667</v>
      </c>
      <c r="E19" s="4">
        <v>20.822123627951022</v>
      </c>
      <c r="F19" s="5"/>
    </row>
    <row r="20" spans="1:6" x14ac:dyDescent="0.3">
      <c r="A20" s="4">
        <v>2003</v>
      </c>
      <c r="B20" s="5">
        <f>[7]Internet!$AI18*(1-[7]Internet!$AC18-[7]Internet!$AE18)*(1-[7]Internet!$X18)*100/([7]Internet!$AI$9*(1-[7]Internet!$AC$9-[7]Internet!$AE$9)*(1-[7]Internet!$X$9))</f>
        <v>56.756536796548978</v>
      </c>
      <c r="D20" s="4">
        <v>289.35483058739248</v>
      </c>
      <c r="E20" s="4">
        <v>20.965113063273336</v>
      </c>
      <c r="F20" s="5"/>
    </row>
    <row r="21" spans="1:6" x14ac:dyDescent="0.3">
      <c r="A21" s="4">
        <v>2002</v>
      </c>
      <c r="B21" s="5">
        <f>[7]Internet!$AI19*(1-[7]Internet!$AC19-[7]Internet!$AE19)*(1-[7]Internet!$X19)*100/([7]Internet!$AI$9*(1-[7]Internet!$AC$9-[7]Internet!$AE$9)*(1-[7]Internet!$X$9))</f>
        <v>51.09613029887695</v>
      </c>
      <c r="D21" s="4">
        <v>286.68598209450988</v>
      </c>
      <c r="E21" s="4">
        <v>21.109084433914983</v>
      </c>
      <c r="F21" s="5"/>
    </row>
    <row r="22" spans="1:6" x14ac:dyDescent="0.3">
      <c r="A22" s="4">
        <v>2001</v>
      </c>
      <c r="B22" s="5">
        <f>[7]Internet!$AI20*(1-[7]Internet!$AC20-[7]Internet!$AE20)*(1-[7]Internet!$X20)*100/([7]Internet!$AI$9*(1-[7]Internet!$AC$9-[7]Internet!$AE$9)*(1-[7]Internet!$X$9))</f>
        <v>44.504306148978557</v>
      </c>
      <c r="D22" s="4">
        <v>284.04174958009048</v>
      </c>
      <c r="E22" s="4">
        <v>21.254044483010301</v>
      </c>
      <c r="F22" s="5"/>
    </row>
    <row r="23" spans="1:6" x14ac:dyDescent="0.3">
      <c r="A23" s="4">
        <v>2000</v>
      </c>
      <c r="B23" s="5">
        <f>[7]Internet!$AI21*(1-[7]Internet!$AC21-[7]Internet!$AE21)*(1-[7]Internet!$X21)*100/([7]Internet!$AI$9*(1-[7]Internet!$AC$9-[7]Internet!$AE$9)*(1-[7]Internet!$X$9))</f>
        <v>35.629290244994934</v>
      </c>
      <c r="D23" s="4">
        <v>281.42190599999998</v>
      </c>
      <c r="E23" s="4">
        <v>21.4</v>
      </c>
      <c r="F23" s="5"/>
    </row>
    <row r="24" spans="1:6" x14ac:dyDescent="0.3">
      <c r="A24" s="4">
        <v>1999</v>
      </c>
      <c r="B24" s="5">
        <f>[7]Internet!$AI22*(1-[7]Internet!$AC22-[7]Internet!$AE22)*(1-[7]Internet!$X22)*100/([7]Internet!$AI$9*(1-[7]Internet!$AC$9-[7]Internet!$AE$9)*(1-[7]Internet!$X$9))</f>
        <v>27.139442216021582</v>
      </c>
      <c r="D24" s="4">
        <v>277.96583047179496</v>
      </c>
      <c r="E24" s="4">
        <v>21.40997903398506</v>
      </c>
      <c r="F24" s="5"/>
    </row>
    <row r="25" spans="1:6" x14ac:dyDescent="0.3">
      <c r="A25" s="4">
        <v>1998</v>
      </c>
      <c r="B25" s="5">
        <f>[7]Internet!$AI23*(1-[7]Internet!$AC23-[7]Internet!$AE23)*(1-[7]Internet!$X23)*100/([7]Internet!$AI$9*(1-[7]Internet!$AC$9-[7]Internet!$AE$9)*(1-[7]Internet!$X$9))</f>
        <v>17.067793599746903</v>
      </c>
      <c r="D25" s="4">
        <v>274.55219818557629</v>
      </c>
      <c r="E25" s="4">
        <v>21.419962721293448</v>
      </c>
      <c r="F25" s="5"/>
    </row>
    <row r="26" spans="1:6" x14ac:dyDescent="0.3">
      <c r="A26" s="4">
        <v>1997</v>
      </c>
      <c r="B26" s="5">
        <f>[7]Internet!$AI24*(1-[7]Internet!$AC24-[7]Internet!$AE24)*(1-[7]Internet!$X24)*100/([7]Internet!$AI$9*(1-[7]Internet!$AC$9-[7]Internet!$AE$9)*(1-[7]Internet!$X$9))</f>
        <v>9.7335323317356774</v>
      </c>
      <c r="D26" s="4">
        <v>271.18048790597885</v>
      </c>
      <c r="E26" s="4">
        <v>21.429951064095057</v>
      </c>
      <c r="F26" s="5"/>
    </row>
    <row r="27" spans="1:6" x14ac:dyDescent="0.3">
      <c r="A27" s="4">
        <v>1996</v>
      </c>
      <c r="B27" s="5">
        <f>[7]Internet!$AI25*(1-[7]Internet!$AC25-[7]Internet!$AE25)*(1-[7]Internet!$X25)*100/([7]Internet!$AI$9*(1-[7]Internet!$AC$9-[7]Internet!$AE$9)*(1-[7]Internet!$X$9))</f>
        <v>2.9320462118179731</v>
      </c>
      <c r="D27" s="4">
        <v>267.850184798805</v>
      </c>
      <c r="E27" s="4">
        <v>21.439944064560791</v>
      </c>
      <c r="F27" s="5"/>
    </row>
    <row r="28" spans="1:6" x14ac:dyDescent="0.3">
      <c r="A28" s="4">
        <v>1995</v>
      </c>
      <c r="B28" s="5">
        <f>[7]Internet!$AI26*(1-[7]Internet!$AC26-[7]Internet!$AE26)*(1-[7]Internet!$X26)*100/([7]Internet!$AI$9*(1-[7]Internet!$AC$9-[7]Internet!$AE$9)*(1-[7]Internet!$X$9))</f>
        <v>1.7638272264453614</v>
      </c>
      <c r="D28" s="4">
        <v>264.56078035241347</v>
      </c>
      <c r="E28" s="4">
        <v>21.449941724862565</v>
      </c>
      <c r="F28" s="5"/>
    </row>
    <row r="29" spans="1:6" x14ac:dyDescent="0.3">
      <c r="A29" s="4">
        <v>1994</v>
      </c>
      <c r="B29" s="5">
        <f>[7]Internet!$AI27*(1-[7]Internet!$AC27-[7]Internet!$AE27)*(1-[7]Internet!$X27)*100/([7]Internet!$AI$9*(1-[7]Internet!$AC$9-[7]Internet!$AE$9)*(1-[7]Internet!$X$9))</f>
        <v>0</v>
      </c>
      <c r="D29" s="4">
        <v>261.31177230007359</v>
      </c>
      <c r="E29" s="4">
        <v>21.459944047173309</v>
      </c>
      <c r="F29" s="5"/>
    </row>
    <row r="30" spans="1:6" x14ac:dyDescent="0.3">
      <c r="A30" s="4">
        <v>1993</v>
      </c>
      <c r="B30" s="5">
        <f>[7]Internet!$AI28*(1-[7]Internet!$AC28-[7]Internet!$AE28)*(1-[7]Internet!$X28)*100/([7]Internet!$AI$9*(1-[7]Internet!$AC$9-[7]Internet!$AE$9)*(1-[7]Internet!$X$9))</f>
        <v>0</v>
      </c>
      <c r="D30" s="4">
        <v>258.10266454327302</v>
      </c>
      <c r="E30" s="4">
        <v>21.469951033666963</v>
      </c>
    </row>
    <row r="31" spans="1:6" x14ac:dyDescent="0.3">
      <c r="A31" s="4">
        <v>1992</v>
      </c>
      <c r="B31" s="5">
        <f>[7]Internet!$AI29*(1-[7]Internet!$AC29-[7]Internet!$AE29)*(1-[7]Internet!$X29)*100/([7]Internet!$AI$9*(1-[7]Internet!$AC$9-[7]Internet!$AE$9)*(1-[7]Internet!$X$9))</f>
        <v>0</v>
      </c>
      <c r="D31" s="4">
        <v>254.9329670759673</v>
      </c>
      <c r="E31" s="4">
        <v>21.47996268651848</v>
      </c>
    </row>
    <row r="32" spans="1:6" x14ac:dyDescent="0.3">
      <c r="A32" s="4">
        <v>1991</v>
      </c>
      <c r="B32" s="5">
        <f>[7]Internet!$AI30*(1-[7]Internet!$AC30-[7]Internet!$AE30)*(1-[7]Internet!$X30)*100/([7]Internet!$AI$9*(1-[7]Internet!$AC$9-[7]Internet!$AE$9)*(1-[7]Internet!$X$9))</f>
        <v>0</v>
      </c>
      <c r="D32" s="4">
        <v>251.80219590975969</v>
      </c>
      <c r="E32" s="4">
        <v>21.48997900790383</v>
      </c>
    </row>
    <row r="33" spans="1:5" x14ac:dyDescent="0.3">
      <c r="A33" s="4">
        <v>1990</v>
      </c>
      <c r="B33" s="5">
        <f>[7]Internet!$AI31*(1-[7]Internet!$AC31-[7]Internet!$AE31)*(1-[7]Internet!$X31)*100/([7]Internet!$AI$9*(1-[7]Internet!$AC$9-[7]Internet!$AE$9)*(1-[7]Internet!$X$9))</f>
        <v>0</v>
      </c>
      <c r="D33" s="4">
        <v>248.70987299999999</v>
      </c>
      <c r="E33" s="4">
        <v>21.5</v>
      </c>
    </row>
    <row r="34" spans="1:5" x14ac:dyDescent="0.3">
      <c r="A34" s="4">
        <v>1989</v>
      </c>
      <c r="B34" s="5">
        <f>[7]Internet!$AI32*(1-[7]Internet!$AC32-[7]Internet!$AE32)*(1-[7]Internet!$X32)*100/([7]Internet!$AI$9*(1-[7]Internet!$AC$9-[7]Internet!$AE$9)*(1-[7]Internet!$X$9))</f>
        <v>0</v>
      </c>
      <c r="D34" s="4">
        <v>246.39921826135347</v>
      </c>
      <c r="E34" s="4">
        <v>21.607546577251174</v>
      </c>
    </row>
    <row r="35" spans="1:5" x14ac:dyDescent="0.3">
      <c r="A35" s="4">
        <v>1988</v>
      </c>
      <c r="B35" s="5">
        <f>[7]Internet!$AI33*(1-[7]Internet!$AC33-[7]Internet!$AE33)*(1-[7]Internet!$X33)*100/([7]Internet!$AI$9*(1-[7]Internet!$AC$9-[7]Internet!$AE$9)*(1-[7]Internet!$X$9))</f>
        <v>0</v>
      </c>
      <c r="D35" s="4">
        <v>244.11003080607924</v>
      </c>
      <c r="E35" s="4">
        <v>21.715631120375757</v>
      </c>
    </row>
    <row r="36" spans="1:5" x14ac:dyDescent="0.3">
      <c r="A36" s="4">
        <v>1987</v>
      </c>
      <c r="B36" s="5">
        <f>[7]Internet!$AI34*(1-[7]Internet!$AC34-[7]Internet!$AE34)*(1-[7]Internet!$X34)*100/([7]Internet!$AI$9*(1-[7]Internet!$AC$9-[7]Internet!$AE$9)*(1-[7]Internet!$X$9))</f>
        <v>0</v>
      </c>
      <c r="D36" s="4">
        <v>241.84211119102935</v>
      </c>
      <c r="E36" s="4">
        <v>21.824256320368566</v>
      </c>
    </row>
    <row r="37" spans="1:5" x14ac:dyDescent="0.3">
      <c r="A37" s="4">
        <v>1986</v>
      </c>
      <c r="B37" s="5">
        <f>[7]Internet!$AI35*(1-[7]Internet!$AC35-[7]Internet!$AE35)*(1-[7]Internet!$X35)*100/([7]Internet!$AI$9*(1-[7]Internet!$AC$9-[7]Internet!$AE$9)*(1-[7]Internet!$X$9))</f>
        <v>0</v>
      </c>
      <c r="D37" s="4">
        <v>239.59526182599475</v>
      </c>
      <c r="E37" s="4">
        <v>21.933424881685209</v>
      </c>
    </row>
    <row r="38" spans="1:5" x14ac:dyDescent="0.3">
      <c r="A38" s="4">
        <v>1985</v>
      </c>
      <c r="B38" s="5">
        <f>[7]Internet!$AI36*(1-[7]Internet!$AC36-[7]Internet!$AE36)*(1-[7]Internet!$X36)*100/([7]Internet!$AI$9*(1-[7]Internet!$AC$9-[7]Internet!$AE$9)*(1-[7]Internet!$X$9))</f>
        <v>0</v>
      </c>
      <c r="D38" s="4">
        <v>237.3692869564907</v>
      </c>
      <c r="E38" s="4">
        <v>22.043139522309435</v>
      </c>
    </row>
    <row r="39" spans="1:5" x14ac:dyDescent="0.3">
      <c r="A39" s="4">
        <v>1984</v>
      </c>
      <c r="B39" s="5">
        <f>[7]Internet!$AI37*(1-[7]Internet!$AC37-[7]Internet!$AE37)*(1-[7]Internet!$X37)*100/([7]Internet!$AI$9*(1-[7]Internet!$AC$9-[7]Internet!$AE$9)*(1-[7]Internet!$X$9))</f>
        <v>0</v>
      </c>
      <c r="D39" s="4">
        <v>235.16399264670181</v>
      </c>
      <c r="E39" s="4">
        <v>22.1534029738208</v>
      </c>
    </row>
    <row r="40" spans="1:5" x14ac:dyDescent="0.3">
      <c r="A40" s="4">
        <v>1983</v>
      </c>
      <c r="B40" s="5">
        <f>[7]Internet!$AI38*(1-[7]Internet!$AC38-[7]Internet!$AE38)*(1-[7]Internet!$X38)*100/([7]Internet!$AI$9*(1-[7]Internet!$AC$9-[7]Internet!$AE$9)*(1-[7]Internet!$X$9))</f>
        <v>0</v>
      </c>
      <c r="D40" s="4">
        <v>232.97918676258561</v>
      </c>
      <c r="E40" s="4">
        <v>22.264217981462672</v>
      </c>
    </row>
    <row r="41" spans="1:5" x14ac:dyDescent="0.3">
      <c r="A41" s="4">
        <v>1982</v>
      </c>
      <c r="B41" s="5">
        <f>[7]Internet!$AI39*(1-[7]Internet!$AC39-[7]Internet!$AE39)*(1-[7]Internet!$X39)*100/([7]Internet!$AI$9*(1-[7]Internet!$AC$9-[7]Internet!$AE$9)*(1-[7]Internet!$X$9))</f>
        <v>0</v>
      </c>
      <c r="D41" s="4">
        <v>230.81467895513305</v>
      </c>
      <c r="E41" s="4">
        <v>22.37558730421059</v>
      </c>
    </row>
    <row r="42" spans="1:5" x14ac:dyDescent="0.3">
      <c r="A42" s="4">
        <v>1981</v>
      </c>
      <c r="B42" s="5">
        <f>[7]Internet!$AI40*(1-[7]Internet!$AC40-[7]Internet!$AE40)*(1-[7]Internet!$X40)*100/([7]Internet!$AI$9*(1-[7]Internet!$AC$9-[7]Internet!$AE$9)*(1-[7]Internet!$X$9))</f>
        <v>0</v>
      </c>
      <c r="D42" s="4">
        <v>228.67028064378454</v>
      </c>
      <c r="E42" s="4">
        <v>22.48751371484094</v>
      </c>
    </row>
    <row r="43" spans="1:5" x14ac:dyDescent="0.3">
      <c r="A43" s="4">
        <v>1980</v>
      </c>
      <c r="B43" s="5">
        <f>[7]Internet!$AI41*(1-[7]Internet!$AC41-[7]Internet!$AE41)*(1-[7]Internet!$X41)*100/([7]Internet!$AI$9*(1-[7]Internet!$AC$9-[7]Internet!$AE$9)*(1-[7]Internet!$X$9))</f>
        <v>0</v>
      </c>
      <c r="D43" s="4">
        <v>226.545805</v>
      </c>
      <c r="E43" s="4">
        <v>22.6</v>
      </c>
    </row>
    <row r="44" spans="1:5" x14ac:dyDescent="0.3">
      <c r="A44" s="4">
        <v>1979</v>
      </c>
      <c r="B44" s="5">
        <f>[7]Internet!$AI42*(1-[7]Internet!$AC42-[7]Internet!$AE42)*(1-[7]Internet!$X42)*100/([7]Internet!$AI$9*(1-[7]Internet!$AC$9-[7]Internet!$AE$9)*(1-[7]Internet!$X$9))</f>
        <v>0</v>
      </c>
      <c r="D44" s="4">
        <v>224.10657270735817</v>
      </c>
      <c r="E44" s="4">
        <v>23.130343439901367</v>
      </c>
    </row>
    <row r="45" spans="1:5" x14ac:dyDescent="0.3">
      <c r="A45" s="4">
        <v>1978</v>
      </c>
      <c r="B45" s="5">
        <f>[7]Internet!$AI43*(1-[7]Internet!$AC43-[7]Internet!$AE43)*(1-[7]Internet!$X43)*100/([7]Internet!$AI$9*(1-[7]Internet!$AC$9-[7]Internet!$AE$9)*(1-[7]Internet!$X$9))</f>
        <v>0</v>
      </c>
      <c r="D45" s="4">
        <v>221.69360377535315</v>
      </c>
      <c r="E45" s="4">
        <v>23.673132196804787</v>
      </c>
    </row>
    <row r="46" spans="1:5" x14ac:dyDescent="0.3">
      <c r="A46" s="4">
        <v>1977</v>
      </c>
      <c r="B46" s="5">
        <f>[7]Internet!$AI44*(1-[7]Internet!$AC44-[7]Internet!$AE44)*(1-[7]Internet!$X44)*100/([7]Internet!$AI$9*(1-[7]Internet!$AC$9-[7]Internet!$AE$9)*(1-[7]Internet!$X$9))</f>
        <v>0</v>
      </c>
      <c r="D46" s="4">
        <v>219.30661542480314</v>
      </c>
      <c r="E46" s="4">
        <v>24.228658319039003</v>
      </c>
    </row>
    <row r="47" spans="1:5" x14ac:dyDescent="0.3">
      <c r="A47" s="4">
        <v>1976</v>
      </c>
      <c r="B47" s="5">
        <f>[7]Internet!$AI45*(1-[7]Internet!$AC45-[7]Internet!$AE45)*(1-[7]Internet!$X45)*100/([7]Internet!$AI$9*(1-[7]Internet!$AC$9-[7]Internet!$AE$9)*(1-[7]Internet!$X$9))</f>
        <v>0</v>
      </c>
      <c r="D47" s="4">
        <v>216.94532792122675</v>
      </c>
      <c r="E47" s="4">
        <v>24.797220708291835</v>
      </c>
    </row>
    <row r="48" spans="1:5" x14ac:dyDescent="0.3">
      <c r="A48" s="4">
        <v>1975</v>
      </c>
      <c r="B48" s="5">
        <f>[7]Internet!$AI46*(1-[7]Internet!$AC46-[7]Internet!$AE46)*(1-[7]Internet!$X46)*100/([7]Internet!$AI$9*(1-[7]Internet!$AC$9-[7]Internet!$AE$9)*(1-[7]Internet!$X$9))</f>
        <v>0</v>
      </c>
      <c r="D48" s="4">
        <v>214.60946454206058</v>
      </c>
      <c r="E48" s="4">
        <v>25.379125280434707</v>
      </c>
    </row>
    <row r="49" spans="1:5" x14ac:dyDescent="0.3">
      <c r="A49" s="4">
        <v>1974</v>
      </c>
      <c r="B49" s="5">
        <f>[7]Internet!$AI47*(1-[7]Internet!$AC47-[7]Internet!$AE47)*(1-[7]Internet!$X47)*100/([7]Internet!$AI$9*(1-[7]Internet!$AC$9-[7]Internet!$AE$9)*(1-[7]Internet!$X$9))</f>
        <v>0</v>
      </c>
      <c r="D49" s="4">
        <v>212.2987515442297</v>
      </c>
      <c r="E49" s="4">
        <v>25.974685130121145</v>
      </c>
    </row>
    <row r="50" spans="1:5" x14ac:dyDescent="0.3">
      <c r="A50" s="4">
        <v>1973</v>
      </c>
      <c r="B50" s="5">
        <f>[7]Internet!$AI48*(1-[7]Internet!$AC48-[7]Internet!$AE48)*(1-[7]Internet!$X48)*100/([7]Internet!$AI$9*(1-[7]Internet!$AC$9-[7]Internet!$AE$9)*(1-[7]Internet!$X$9))</f>
        <v>0</v>
      </c>
      <c r="D50" s="4">
        <v>210.01291813206731</v>
      </c>
      <c r="E50" s="4">
        <v>26.58422069924784</v>
      </c>
    </row>
    <row r="51" spans="1:5" x14ac:dyDescent="0.3">
      <c r="A51" s="4">
        <v>1972</v>
      </c>
      <c r="B51" s="5">
        <f>[7]Internet!$AI49*(1-[7]Internet!$AC49-[7]Internet!$AE49)*(1-[7]Internet!$X49)*100/([7]Internet!$AI$9*(1-[7]Internet!$AC$9-[7]Internet!$AE$9)*(1-[7]Internet!$X$9))</f>
        <v>0</v>
      </c>
      <c r="D51" s="4">
        <v>207.75169642557984</v>
      </c>
      <c r="E51" s="4">
        <v>27.208059949368913</v>
      </c>
    </row>
    <row r="52" spans="1:5" x14ac:dyDescent="0.3">
      <c r="A52" s="4">
        <v>1971</v>
      </c>
      <c r="B52" s="5">
        <f>[7]Internet!$AI50*(1-[7]Internet!$AC50-[7]Internet!$AE50)*(1-[7]Internet!$X50)*100/([7]Internet!$AI$9*(1-[7]Internet!$AC$9-[7]Internet!$AE$9)*(1-[7]Internet!$X$9))</f>
        <v>0</v>
      </c>
      <c r="D52" s="4">
        <v>205.51482142905368</v>
      </c>
      <c r="E52" s="4">
        <v>27.846538538156121</v>
      </c>
    </row>
    <row r="53" spans="1:5" x14ac:dyDescent="0.3">
      <c r="A53" s="4">
        <v>1970</v>
      </c>
      <c r="B53" s="5">
        <f>[7]Internet!$AI51*(1-[7]Internet!$AC51-[7]Internet!$AE51)*(1-[7]Internet!$X51)*100/([7]Internet!$AI$9*(1-[7]Internet!$AC$9-[7]Internet!$AE$9)*(1-[7]Internet!$X$9))</f>
        <v>0</v>
      </c>
      <c r="D53" s="4">
        <v>203.302031</v>
      </c>
      <c r="E53" s="4">
        <v>28.5</v>
      </c>
    </row>
    <row r="54" spans="1:5" x14ac:dyDescent="0.3">
      <c r="A54" s="4">
        <v>1969</v>
      </c>
      <c r="B54" s="5">
        <f>[7]Internet!$AI52*(1-[7]Internet!$AC52-[7]Internet!$AE52)*(1-[7]Internet!$X52)*100/([7]Internet!$AI$9*(1-[7]Internet!$AC$9-[7]Internet!$AE$9)*(1-[7]Internet!$X$9))</f>
        <v>0</v>
      </c>
      <c r="D54" s="4">
        <v>200.76647207994739</v>
      </c>
      <c r="E54" s="4">
        <v>28.749904930298424</v>
      </c>
    </row>
    <row r="55" spans="1:5" x14ac:dyDescent="0.3">
      <c r="A55" s="4">
        <v>1968</v>
      </c>
      <c r="B55" s="5">
        <f>[7]Internet!$AI53*(1-[7]Internet!$AC53-[7]Internet!$AE53)*(1-[7]Internet!$X53)*100/([7]Internet!$AI$9*(1-[7]Internet!$AC$9-[7]Internet!$AE$9)*(1-[7]Internet!$X$9))</f>
        <v>0</v>
      </c>
      <c r="D55" s="4">
        <v>198.26253635128865</v>
      </c>
      <c r="E55" s="4">
        <v>29.002001175480615</v>
      </c>
    </row>
    <row r="56" spans="1:5" x14ac:dyDescent="0.3">
      <c r="A56" s="4">
        <v>1967</v>
      </c>
      <c r="B56" s="5">
        <f>[7]Internet!$AI54*(1-[7]Internet!$AC54-[7]Internet!$AE54)*(1-[7]Internet!$X54)*100/([7]Internet!$AI$9*(1-[7]Internet!$AC$9-[7]Internet!$AE$9)*(1-[7]Internet!$X$9))</f>
        <v>0</v>
      </c>
      <c r="D56" s="4">
        <v>195.7898294133154</v>
      </c>
      <c r="E56" s="4">
        <v>29.256307950297217</v>
      </c>
    </row>
    <row r="57" spans="1:5" x14ac:dyDescent="0.3">
      <c r="A57" s="4">
        <v>1966</v>
      </c>
      <c r="B57" s="5">
        <f>[7]Internet!$AI55*(1-[7]Internet!$AC55-[7]Internet!$AE55)*(1-[7]Internet!$X55)*100/([7]Internet!$AI$9*(1-[7]Internet!$AC$9-[7]Internet!$AE$9)*(1-[7]Internet!$X$9))</f>
        <v>0</v>
      </c>
      <c r="D57" s="4">
        <v>193.34796178423846</v>
      </c>
      <c r="E57" s="4">
        <v>29.512844637985221</v>
      </c>
    </row>
    <row r="58" spans="1:5" x14ac:dyDescent="0.3">
      <c r="A58" s="4">
        <v>1965</v>
      </c>
      <c r="B58" s="5">
        <f>[7]Internet!$AI56*(1-[7]Internet!$AC56-[7]Internet!$AE56)*(1-[7]Internet!$X56)*100/([7]Internet!$AI$9*(1-[7]Internet!$AC$9-[7]Internet!$AE$9)*(1-[7]Internet!$X$9))</f>
        <v>0</v>
      </c>
      <c r="D58" s="4">
        <v>190.93654883983947</v>
      </c>
      <c r="E58" s="4">
        <v>29.771630791745356</v>
      </c>
    </row>
    <row r="59" spans="1:5" x14ac:dyDescent="0.3">
      <c r="A59" s="4">
        <v>1964</v>
      </c>
      <c r="B59" s="5">
        <f>[7]Internet!$AI57*(1-[7]Internet!$AC57-[7]Internet!$AE57)*(1-[7]Internet!$X57)*100/([7]Internet!$AI$9*(1-[7]Internet!$AC$9-[7]Internet!$AE$9)*(1-[7]Internet!$X$9))</f>
        <v>0</v>
      </c>
      <c r="D59" s="4">
        <v>188.55521075288794</v>
      </c>
      <c r="E59" s="4">
        <v>30.032686136232421</v>
      </c>
    </row>
    <row r="60" spans="1:5" x14ac:dyDescent="0.3">
      <c r="A60" s="4">
        <v>1963</v>
      </c>
      <c r="B60" s="5">
        <f>[7]Internet!$AI58*(1-[7]Internet!$AC58-[7]Internet!$AE58)*(1-[7]Internet!$X58)*100/([7]Internet!$AI$9*(1-[7]Internet!$AC$9-[7]Internet!$AE$9)*(1-[7]Internet!$X$9))</f>
        <v>0</v>
      </c>
      <c r="D60" s="4">
        <v>186.2035724333137</v>
      </c>
      <c r="E60" s="4">
        <v>30.296030569058718</v>
      </c>
    </row>
    <row r="61" spans="1:5" x14ac:dyDescent="0.3">
      <c r="A61" s="4">
        <v>1962</v>
      </c>
      <c r="B61" s="5">
        <f>[7]Internet!$AI59*(1-[7]Internet!$AC59-[7]Internet!$AE59)*(1-[7]Internet!$X59)*100/([7]Internet!$AI$9*(1-[7]Internet!$AC$9-[7]Internet!$AE$9)*(1-[7]Internet!$X$9))</f>
        <v>0</v>
      </c>
      <c r="D61" s="4">
        <v>183.88126346912566</v>
      </c>
      <c r="E61" s="4">
        <v>30.561684162310627</v>
      </c>
    </row>
    <row r="62" spans="1:5" x14ac:dyDescent="0.3">
      <c r="A62" s="4">
        <v>1961</v>
      </c>
      <c r="B62" s="5">
        <f>[7]Internet!$AI60*(1-[7]Internet!$AC60-[7]Internet!$AE60)*(1-[7]Internet!$X60)*100/([7]Internet!$AI$9*(1-[7]Internet!$AC$9-[7]Internet!$AE$9)*(1-[7]Internet!$X$9))</f>
        <v>0</v>
      </c>
      <c r="D62" s="4">
        <v>181.5879180680673</v>
      </c>
      <c r="E62" s="4">
        <v>30.829667164078508</v>
      </c>
    </row>
    <row r="63" spans="1:5" x14ac:dyDescent="0.3">
      <c r="A63" s="4">
        <v>1960</v>
      </c>
      <c r="B63" s="5">
        <f>[7]Internet!$AI61*(1-[7]Internet!$AC61-[7]Internet!$AE61)*(1-[7]Internet!$X61)*100/([7]Internet!$AI$9*(1-[7]Internet!$AC$9-[7]Internet!$AE$9)*(1-[7]Internet!$X$9))</f>
        <v>0</v>
      </c>
      <c r="D63" s="4">
        <v>179.32317499999999</v>
      </c>
      <c r="E63" s="4">
        <v>31.1</v>
      </c>
    </row>
    <row r="64" spans="1:5" x14ac:dyDescent="0.3">
      <c r="A64" s="4">
        <v>1959</v>
      </c>
      <c r="B64" s="5">
        <f>[7]Internet!$AI62*(1-[7]Internet!$AC62-[7]Internet!$AE62)*(1-[7]Internet!$X62)*100/([7]Internet!$AI$9*(1-[7]Internet!$AC$9-[7]Internet!$AE$9)*(1-[7]Internet!$X$9))</f>
        <v>0</v>
      </c>
      <c r="D64" s="4">
        <v>176.23142072395933</v>
      </c>
      <c r="E64" s="4">
        <v>30.652053727464015</v>
      </c>
    </row>
    <row r="65" spans="1:5" x14ac:dyDescent="0.3">
      <c r="A65" s="4">
        <v>1958</v>
      </c>
      <c r="B65" s="5">
        <f>[7]Internet!$AI63*(1-[7]Internet!$AC63-[7]Internet!$AE63)*(1-[7]Internet!$X63)*100/([7]Internet!$AI$9*(1-[7]Internet!$AC$9-[7]Internet!$AE$9)*(1-[7]Internet!$X$9))</f>
        <v>0</v>
      </c>
      <c r="D65" s="4">
        <v>173.19297213193539</v>
      </c>
      <c r="E65" s="4">
        <v>30.210559411940192</v>
      </c>
    </row>
    <row r="66" spans="1:5" x14ac:dyDescent="0.3">
      <c r="A66" s="4">
        <v>1957</v>
      </c>
      <c r="B66" s="5">
        <f>[7]Internet!$AI64*(1-[7]Internet!$AC64-[7]Internet!$AE64)*(1-[7]Internet!$X64)*100/([7]Internet!$AI$9*(1-[7]Internet!$AC$9-[7]Internet!$AE$9)*(1-[7]Internet!$X$9))</f>
        <v>0</v>
      </c>
      <c r="D66" s="4">
        <v>170.20691016772417</v>
      </c>
      <c r="E66" s="4">
        <v>29.775424123200445</v>
      </c>
    </row>
    <row r="67" spans="1:5" x14ac:dyDescent="0.3">
      <c r="A67" s="4">
        <v>1956</v>
      </c>
      <c r="B67" s="5">
        <f>[7]Internet!$AI65*(1-[7]Internet!$AC65-[7]Internet!$AE65)*(1-[7]Internet!$X65)*100/([7]Internet!$AI$9*(1-[7]Internet!$AC$9-[7]Internet!$AE$9)*(1-[7]Internet!$X$9))</f>
        <v>0</v>
      </c>
      <c r="D67" s="4">
        <v>167.27233162079224</v>
      </c>
      <c r="E67" s="4">
        <v>29.346556269529504</v>
      </c>
    </row>
    <row r="68" spans="1:5" x14ac:dyDescent="0.3">
      <c r="A68" s="4">
        <v>1955</v>
      </c>
      <c r="B68" s="5">
        <f>[7]Internet!$AI66*(1-[7]Internet!$AC66-[7]Internet!$AE66)*(1-[7]Internet!$X66)*100/([7]Internet!$AI$9*(1-[7]Internet!$AC$9-[7]Internet!$AE$9)*(1-[7]Internet!$X$9))</f>
        <v>0</v>
      </c>
      <c r="D68" s="4">
        <v>164.38834885307767</v>
      </c>
      <c r="E68" s="4">
        <v>28.923865578445778</v>
      </c>
    </row>
    <row r="69" spans="1:5" x14ac:dyDescent="0.3">
      <c r="A69" s="4">
        <v>1954</v>
      </c>
      <c r="B69" s="5">
        <f>[7]Internet!$AI67*(1-[7]Internet!$AC67-[7]Internet!$AE67)*(1-[7]Internet!$X67)*100/([7]Internet!$AI$9*(1-[7]Internet!$AC$9-[7]Internet!$AE$9)*(1-[7]Internet!$X$9))</f>
        <v>0</v>
      </c>
      <c r="D69" s="4">
        <v>161.55408953050122</v>
      </c>
      <c r="E69" s="4">
        <v>28.507263077699886</v>
      </c>
    </row>
    <row r="70" spans="1:5" x14ac:dyDescent="0.3">
      <c r="A70" s="4">
        <v>1953</v>
      </c>
      <c r="B70" s="5">
        <f>[7]Internet!$AI68*(1-[7]Internet!$AC68-[7]Internet!$AE68)*(1-[7]Internet!$X68)*100/([7]Internet!$AI$9*(1-[7]Internet!$AC$9-[7]Internet!$AE$9)*(1-[7]Internet!$X$9))</f>
        <v>0</v>
      </c>
      <c r="D70" s="4">
        <v>158.76869635910677</v>
      </c>
      <c r="E70" s="4">
        <v>28.096661076546866</v>
      </c>
    </row>
    <row r="71" spans="1:5" x14ac:dyDescent="0.3">
      <c r="A71" s="4">
        <v>1952</v>
      </c>
      <c r="B71" s="5">
        <f>[7]Internet!$AI69*(1-[7]Internet!$AC69-[7]Internet!$AE69)*(1-[7]Internet!$X69)*100/([7]Internet!$AI$9*(1-[7]Internet!$AC$9-[7]Internet!$AE$9)*(1-[7]Internet!$X$9))</f>
        <v>0</v>
      </c>
      <c r="D71" s="4">
        <v>156.0313268257508</v>
      </c>
      <c r="E71" s="4">
        <v>27.691973147288131</v>
      </c>
    </row>
    <row r="72" spans="1:5" x14ac:dyDescent="0.3">
      <c r="A72" s="4">
        <v>1951</v>
      </c>
      <c r="B72" s="5">
        <f>[7]Internet!$AI70*(1-[7]Internet!$AC70-[7]Internet!$AE70)*(1-[7]Internet!$X70)*100/([7]Internet!$AI$9*(1-[7]Internet!$AC$9-[7]Internet!$AE$9)*(1-[7]Internet!$X$9))</f>
        <v>0</v>
      </c>
      <c r="D72" s="4">
        <v>153.34115294326293</v>
      </c>
      <c r="E72" s="4">
        <v>27.293114107079294</v>
      </c>
    </row>
    <row r="73" spans="1:5" x14ac:dyDescent="0.3">
      <c r="A73" s="4">
        <v>1950</v>
      </c>
      <c r="B73" s="5">
        <f>[7]Internet!$AI71*(1-[7]Internet!$AC71-[7]Internet!$AE71)*(1-[7]Internet!$X71)*100/([7]Internet!$AI$9*(1-[7]Internet!$AC$9-[7]Internet!$AE$9)*(1-[7]Internet!$X$9))</f>
        <v>0</v>
      </c>
      <c r="D73" s="4">
        <v>150.697361</v>
      </c>
      <c r="E73" s="4">
        <v>26.9</v>
      </c>
    </row>
    <row r="74" spans="1:5" x14ac:dyDescent="0.3">
      <c r="A74" s="4">
        <v>1949</v>
      </c>
      <c r="B74" s="5">
        <f>[7]Internet!$AI72*(1-[7]Internet!$AC72-[7]Internet!$AE72)*(1-[7]Internet!$X72)*100/([7]Internet!$AI$9*(1-[7]Internet!$AC$9-[7]Internet!$AE$9)*(1-[7]Internet!$X$9))</f>
        <v>0</v>
      </c>
      <c r="D74" s="4">
        <v>148.73274275017829</v>
      </c>
      <c r="E74" s="4">
        <v>26.703676176290738</v>
      </c>
    </row>
    <row r="75" spans="1:5" x14ac:dyDescent="0.3">
      <c r="A75" s="4">
        <v>1948</v>
      </c>
      <c r="B75" s="5">
        <f>[7]Internet!$AI73*(1-[7]Internet!$AC73-[7]Internet!$AE73)*(1-[7]Internet!$X73)*100/([7]Internet!$AI$9*(1-[7]Internet!$AC$9-[7]Internet!$AE$9)*(1-[7]Internet!$X$9))</f>
        <v>0</v>
      </c>
      <c r="D75" s="4">
        <v>146.79373692543095</v>
      </c>
      <c r="E75" s="4">
        <v>26.508785179486921</v>
      </c>
    </row>
    <row r="76" spans="1:5" x14ac:dyDescent="0.3">
      <c r="A76" s="4">
        <v>1947</v>
      </c>
      <c r="B76" s="5">
        <f>[7]Internet!$AI74*(1-[7]Internet!$AC74-[7]Internet!$AE74)*(1-[7]Internet!$X74)*100/([7]Internet!$AI$9*(1-[7]Internet!$AC$9-[7]Internet!$AE$9)*(1-[7]Internet!$X$9))</f>
        <v>0</v>
      </c>
      <c r="D76" s="4">
        <v>144.88000962052317</v>
      </c>
      <c r="E76" s="4">
        <v>26.315316552411691</v>
      </c>
    </row>
    <row r="77" spans="1:5" x14ac:dyDescent="0.3">
      <c r="A77" s="4">
        <v>1946</v>
      </c>
      <c r="B77" s="5">
        <f>[7]Internet!$AI75*(1-[7]Internet!$AC75-[7]Internet!$AE75)*(1-[7]Internet!$X75)*100/([7]Internet!$AI$9*(1-[7]Internet!$AC$9-[7]Internet!$AE$9)*(1-[7]Internet!$X$9))</f>
        <v>0</v>
      </c>
      <c r="D77" s="4">
        <v>142.99123128329111</v>
      </c>
      <c r="E77" s="4">
        <v>26.123259914207658</v>
      </c>
    </row>
    <row r="78" spans="1:5" x14ac:dyDescent="0.3">
      <c r="A78" s="4">
        <v>1945</v>
      </c>
      <c r="B78" s="5">
        <f>[7]Internet!$AI76*(1-[7]Internet!$AC76-[7]Internet!$AE76)*(1-[7]Internet!$X76)*100/([7]Internet!$AI$9*(1-[7]Internet!$AC$9-[7]Internet!$AE$9)*(1-[7]Internet!$X$9))</f>
        <v>0</v>
      </c>
      <c r="D78" s="4">
        <v>141.12707665789162</v>
      </c>
      <c r="E78" s="4">
        <v>25.932604959779869</v>
      </c>
    </row>
    <row r="79" spans="1:5" x14ac:dyDescent="0.3">
      <c r="A79" s="4">
        <v>1944</v>
      </c>
      <c r="B79" s="5">
        <f>[7]Internet!$AI77*(1-[7]Internet!$AC77-[7]Internet!$AE77)*(1-[7]Internet!$X77)*100/([7]Internet!$AI$9*(1-[7]Internet!$AC$9-[7]Internet!$AE$9)*(1-[7]Internet!$X$9))</f>
        <v>0</v>
      </c>
      <c r="D79" s="4">
        <v>139.28722472879184</v>
      </c>
      <c r="E79" s="4">
        <v>25.743341459242874</v>
      </c>
    </row>
    <row r="80" spans="1:5" x14ac:dyDescent="0.3">
      <c r="A80" s="4">
        <v>1943</v>
      </c>
      <c r="B80" s="5">
        <f>[7]Internet!$AI78*(1-[7]Internet!$AC78-[7]Internet!$AE78)*(1-[7]Internet!$X78)*100/([7]Internet!$AI$9*(1-[7]Internet!$AC$9-[7]Internet!$AE$9)*(1-[7]Internet!$X$9))</f>
        <v>0</v>
      </c>
      <c r="D80" s="4">
        <v>137.47135866548888</v>
      </c>
      <c r="E80" s="4">
        <v>25.55545925737183</v>
      </c>
    </row>
    <row r="81" spans="1:5" x14ac:dyDescent="0.3">
      <c r="A81" s="4">
        <v>1942</v>
      </c>
      <c r="B81" s="5">
        <f>[7]Internet!$AI79*(1-[7]Internet!$AC79-[7]Internet!$AE79)*(1-[7]Internet!$X79)*100/([7]Internet!$AI$9*(1-[7]Internet!$AC$9-[7]Internet!$AE$9)*(1-[7]Internet!$X$9))</f>
        <v>0</v>
      </c>
      <c r="D81" s="4">
        <v>135.67916576795022</v>
      </c>
      <c r="E81" s="4">
        <v>25.368948273057594</v>
      </c>
    </row>
    <row r="82" spans="1:5" x14ac:dyDescent="0.3">
      <c r="A82" s="4">
        <v>1941</v>
      </c>
      <c r="B82" s="5">
        <f>[7]Internet!$AI80*(1-[7]Internet!$AC80-[7]Internet!$AE80)*(1-[7]Internet!$X80)*100/([7]Internet!$AI$9*(1-[7]Internet!$AC$9-[7]Internet!$AE$9)*(1-[7]Internet!$X$9))</f>
        <v>0</v>
      </c>
      <c r="D82" s="4">
        <v>133.91033741276547</v>
      </c>
      <c r="E82" s="4">
        <v>25.183798498765825</v>
      </c>
    </row>
    <row r="83" spans="1:5" x14ac:dyDescent="0.3">
      <c r="A83" s="4">
        <v>1940</v>
      </c>
      <c r="B83" s="5">
        <f>[7]Internet!$AI81*(1-[7]Internet!$AC81-[7]Internet!$AE81)*(1-[7]Internet!$X81)*100/([7]Internet!$AI$9*(1-[7]Internet!$AC$9-[7]Internet!$AE$9)*(1-[7]Internet!$X$9))</f>
        <v>0</v>
      </c>
      <c r="D83" s="4">
        <v>132.164569</v>
      </c>
      <c r="E83" s="4">
        <v>25</v>
      </c>
    </row>
    <row r="84" spans="1:5" x14ac:dyDescent="0.3">
      <c r="A84" s="4">
        <v>1939</v>
      </c>
      <c r="B84" s="5">
        <f>[7]Internet!$AI82*(1-[7]Internet!$AC82-[7]Internet!$AE82)*(1-[7]Internet!$X82)*100/([7]Internet!$AI$9*(1-[7]Internet!$AC$9-[7]Internet!$AE$9)*(1-[7]Internet!$X$9))</f>
        <v>0</v>
      </c>
      <c r="D84" s="4">
        <v>131.1941741887735</v>
      </c>
      <c r="E84" s="4">
        <v>25.408600264766964</v>
      </c>
    </row>
    <row r="85" spans="1:5" x14ac:dyDescent="0.3">
      <c r="A85" s="4">
        <v>1938</v>
      </c>
      <c r="B85" s="5">
        <f>[7]Internet!$AI83*(1-[7]Internet!$AC83-[7]Internet!$AE83)*(1-[7]Internet!$X83)*100/([7]Internet!$AI$9*(1-[7]Internet!$AC$9-[7]Internet!$AE$9)*(1-[7]Internet!$X$9))</f>
        <v>0</v>
      </c>
      <c r="D85" s="4">
        <v>130.23090432863478</v>
      </c>
      <c r="E85" s="4">
        <v>25.823878696588626</v>
      </c>
    </row>
    <row r="86" spans="1:5" x14ac:dyDescent="0.3">
      <c r="A86" s="4">
        <v>1937</v>
      </c>
      <c r="B86" s="5">
        <f>[7]Internet!$AI84*(1-[7]Internet!$AC84-[7]Internet!$AE84)*(1-[7]Internet!$X84)*100/([7]Internet!$AI$9*(1-[7]Internet!$AC$9-[7]Internet!$AE$9)*(1-[7]Internet!$X$9))</f>
        <v>0</v>
      </c>
      <c r="D86" s="4">
        <v>129.2747071058993</v>
      </c>
      <c r="E86" s="4">
        <v>26.245944443498061</v>
      </c>
    </row>
    <row r="87" spans="1:5" x14ac:dyDescent="0.3">
      <c r="A87" s="4">
        <v>1936</v>
      </c>
      <c r="B87" s="5">
        <f>[7]Internet!$AI85*(1-[7]Internet!$AC85-[7]Internet!$AE85)*(1-[7]Internet!$X85)*100/([7]Internet!$AI$9*(1-[7]Internet!$AC$9-[7]Internet!$AE$9)*(1-[7]Internet!$X$9))</f>
        <v>0</v>
      </c>
      <c r="D87" s="4">
        <v>128.32553059098643</v>
      </c>
      <c r="E87" s="4">
        <v>26.674908437444948</v>
      </c>
    </row>
    <row r="88" spans="1:5" x14ac:dyDescent="0.3">
      <c r="A88" s="4">
        <v>1935</v>
      </c>
      <c r="B88" s="5">
        <f>[7]Internet!$AI86*(1-[7]Internet!$AC86-[7]Internet!$AE86)*(1-[7]Internet!$X86)*100/([7]Internet!$AI$9*(1-[7]Internet!$AC$9-[7]Internet!$AE$9)*(1-[7]Internet!$X$9))</f>
        <v>0</v>
      </c>
      <c r="D88" s="4">
        <v>127.38332323559928</v>
      </c>
      <c r="E88" s="4">
        <v>27.11088342345192</v>
      </c>
    </row>
    <row r="89" spans="1:5" x14ac:dyDescent="0.3">
      <c r="A89" s="4">
        <v>1934</v>
      </c>
      <c r="B89" s="5">
        <f>[7]Internet!$AI87*(1-[7]Internet!$AC87-[7]Internet!$AE87)*(1-[7]Internet!$X87)*100/([7]Internet!$AI$9*(1-[7]Internet!$AC$9-[7]Internet!$AE$9)*(1-[7]Internet!$X$9))</f>
        <v>0</v>
      </c>
      <c r="D89" s="4">
        <v>126.44803386992514</v>
      </c>
      <c r="E89" s="4">
        <v>27.553983989247463</v>
      </c>
    </row>
    <row r="90" spans="1:5" x14ac:dyDescent="0.3">
      <c r="A90" s="4">
        <v>1933</v>
      </c>
      <c r="B90" s="5">
        <f>[7]Internet!$AI88*(1-[7]Internet!$AC88-[7]Internet!$AE88)*(1-[7]Internet!$X88)*100/([7]Internet!$AI$9*(1-[7]Internet!$AC$9-[7]Internet!$AE$9)*(1-[7]Internet!$X$9))</f>
        <v>0</v>
      </c>
      <c r="D90" s="4">
        <v>125.51961169985655</v>
      </c>
      <c r="E90" s="4">
        <v>28.004326595383102</v>
      </c>
    </row>
    <row r="91" spans="1:5" x14ac:dyDescent="0.3">
      <c r="A91" s="4">
        <v>1932</v>
      </c>
      <c r="B91" s="5">
        <f>[7]Internet!$AI89*(1-[7]Internet!$AC89-[7]Internet!$AE89)*(1-[7]Internet!$X89)*100/([7]Internet!$AI$9*(1-[7]Internet!$AC$9-[7]Internet!$AE$9)*(1-[7]Internet!$X$9))</f>
        <v>0</v>
      </c>
      <c r="D91" s="4">
        <v>124.59800630423273</v>
      </c>
      <c r="E91" s="4">
        <v>28.462029605842858</v>
      </c>
    </row>
    <row r="92" spans="1:5" x14ac:dyDescent="0.3">
      <c r="A92" s="4">
        <v>1931</v>
      </c>
      <c r="B92" s="5">
        <f>[7]Internet!$AI90*(1-[7]Internet!$AC90-[7]Internet!$AE90)*(1-[7]Internet!$X90)*100/([7]Internet!$AI$9*(1-[7]Internet!$AC$9-[7]Internet!$AE$9)*(1-[7]Internet!$X$9))</f>
        <v>0</v>
      </c>
      <c r="D92" s="4">
        <v>123.68316763210127</v>
      </c>
      <c r="E92" s="4">
        <v>28.927213319152951</v>
      </c>
    </row>
    <row r="93" spans="1:5" x14ac:dyDescent="0.3">
      <c r="A93" s="4">
        <v>1930</v>
      </c>
      <c r="B93" s="5">
        <f>[7]Internet!$AI91*(1-[7]Internet!$AC91-[7]Internet!$AE91)*(1-[7]Internet!$X91)*100/([7]Internet!$AI$9*(1-[7]Internet!$AC$9-[7]Internet!$AE$9)*(1-[7]Internet!$X$9))</f>
        <v>0</v>
      </c>
      <c r="D93" s="4">
        <v>122.775046</v>
      </c>
      <c r="E93" s="4">
        <v>29.4</v>
      </c>
    </row>
    <row r="94" spans="1:5" x14ac:dyDescent="0.3">
      <c r="A94" s="4">
        <v>1929</v>
      </c>
      <c r="B94" s="5">
        <f>[7]Internet!$AI92*(1-[7]Internet!$AC92-[7]Internet!$AE92)*(1-[7]Internet!$X92)*100/([7]Internet!$AI$9*(1-[7]Internet!$AC$9-[7]Internet!$AE$9)*(1-[7]Internet!$X$9))</f>
        <v>0</v>
      </c>
      <c r="D94" s="4">
        <v>120.98694330532393</v>
      </c>
      <c r="E94" s="4">
        <v>29.631614117570692</v>
      </c>
    </row>
    <row r="95" spans="1:5" x14ac:dyDescent="0.3">
      <c r="A95" s="4">
        <v>1928</v>
      </c>
      <c r="B95" s="5">
        <f>[7]Internet!$AI93*(1-[7]Internet!$AC93-[7]Internet!$AE93)*(1-[7]Internet!$X93)*100/([7]Internet!$AI$9*(1-[7]Internet!$AC$9-[7]Internet!$AE$9)*(1-[7]Internet!$X$9))</f>
        <v>0</v>
      </c>
      <c r="D95" s="4">
        <v>119.22488263914531</v>
      </c>
      <c r="E95" s="4">
        <v>29.865052898388253</v>
      </c>
    </row>
    <row r="96" spans="1:5" x14ac:dyDescent="0.3">
      <c r="A96" s="4">
        <v>1927</v>
      </c>
      <c r="B96" s="5">
        <f>[7]Internet!$AI94*(1-[7]Internet!$AC94-[7]Internet!$AE94)*(1-[7]Internet!$X94)*100/([7]Internet!$AI$9*(1-[7]Internet!$AC$9-[7]Internet!$AE$9)*(1-[7]Internet!$X$9))</f>
        <v>0</v>
      </c>
      <c r="D96" s="4">
        <v>117.48848472389228</v>
      </c>
      <c r="E96" s="4">
        <v>30.100330717206692</v>
      </c>
    </row>
    <row r="97" spans="1:5" x14ac:dyDescent="0.3">
      <c r="A97" s="4">
        <v>1926</v>
      </c>
      <c r="B97" s="5">
        <f>[7]Internet!$AI95*(1-[7]Internet!$AC95-[7]Internet!$AE95)*(1-[7]Internet!$X95)*100/([7]Internet!$AI$9*(1-[7]Internet!$AC$9-[7]Internet!$AE$9)*(1-[7]Internet!$X$9))</f>
        <v>0</v>
      </c>
      <c r="D97" s="4">
        <v>115.77737580581295</v>
      </c>
      <c r="E97" s="4">
        <v>30.337462062024777</v>
      </c>
    </row>
    <row r="98" spans="1:5" x14ac:dyDescent="0.3">
      <c r="A98" s="4">
        <v>1925</v>
      </c>
      <c r="B98" s="5">
        <f>[7]Internet!$AI96*(1-[7]Internet!$AC96-[7]Internet!$AE96)*(1-[7]Internet!$X96)*100/([7]Internet!$AI$9*(1-[7]Internet!$AC$9-[7]Internet!$AE$9)*(1-[7]Internet!$X$9))</f>
        <v>0</v>
      </c>
      <c r="D98" s="4">
        <v>114.09118757452612</v>
      </c>
      <c r="E98" s="4">
        <v>30.576461534978179</v>
      </c>
    </row>
    <row r="99" spans="1:5" x14ac:dyDescent="0.3">
      <c r="A99" s="4">
        <v>1924</v>
      </c>
      <c r="B99" s="5">
        <f>[7]Internet!$AI97*(1-[7]Internet!$AC97-[7]Internet!$AE97)*(1-[7]Internet!$X97)*100/([7]Internet!$AI$9*(1-[7]Internet!$AC$9-[7]Internet!$AE$9)*(1-[7]Internet!$X$9))</f>
        <v>0</v>
      </c>
      <c r="D99" s="4">
        <v>112.42955708374379</v>
      </c>
      <c r="E99" s="4">
        <v>30.817343853238658</v>
      </c>
    </row>
    <row r="100" spans="1:5" x14ac:dyDescent="0.3">
      <c r="A100" s="4">
        <v>1923</v>
      </c>
      <c r="B100" s="5">
        <f>[7]Internet!$AI98*(1-[7]Internet!$AC98-[7]Internet!$AE98)*(1-[7]Internet!$X98)*100/([7]Internet!$AI$9*(1-[7]Internet!$AC$9-[7]Internet!$AE$9)*(1-[7]Internet!$X$9))</f>
        <v>0</v>
      </c>
      <c r="D100" s="4">
        <v>110.79212667314813</v>
      </c>
      <c r="E100" s="4">
        <v>31.060123849920302</v>
      </c>
    </row>
    <row r="101" spans="1:5" x14ac:dyDescent="0.3">
      <c r="A101" s="4">
        <v>1922</v>
      </c>
      <c r="B101" s="5">
        <f>[7]Internet!$AI99*(1-[7]Internet!$AC99-[7]Internet!$AE99)*(1-[7]Internet!$X99)*100/([7]Internet!$AI$9*(1-[7]Internet!$AC$9-[7]Internet!$AE$9)*(1-[7]Internet!$X$9))</f>
        <v>0</v>
      </c>
      <c r="D101" s="4">
        <v>109.17854389140639</v>
      </c>
      <c r="E101" s="4">
        <v>31.30481647499294</v>
      </c>
    </row>
    <row r="102" spans="1:5" x14ac:dyDescent="0.3">
      <c r="A102" s="4">
        <v>1921</v>
      </c>
      <c r="B102" s="5">
        <f>[7]Internet!$AI100*(1-[7]Internet!$AC100-[7]Internet!$AE100)*(1-[7]Internet!$X100)*100/([7]Internet!$AI$9*(1-[7]Internet!$AC$9-[7]Internet!$AE$9)*(1-[7]Internet!$X$9))</f>
        <v>0</v>
      </c>
      <c r="D102" s="4">
        <v>107.5884614203069</v>
      </c>
      <c r="E102" s="4">
        <v>31.551436796202729</v>
      </c>
    </row>
    <row r="103" spans="1:5" x14ac:dyDescent="0.3">
      <c r="A103" s="4">
        <v>1920</v>
      </c>
      <c r="B103" s="5">
        <f>[7]Internet!$AI101*(1-[7]Internet!$AC101-[7]Internet!$AE101)*(1-[7]Internet!$X101)*100/([7]Internet!$AI$9*(1-[7]Internet!$AC$9-[7]Internet!$AE$9)*(1-[7]Internet!$X$9))</f>
        <v>0</v>
      </c>
      <c r="D103" s="4">
        <v>106.021537</v>
      </c>
      <c r="E103" s="4">
        <v>31.8</v>
      </c>
    </row>
    <row r="104" spans="1:5" x14ac:dyDescent="0.3">
      <c r="A104" s="4">
        <v>1919</v>
      </c>
      <c r="B104" s="5">
        <f>[7]Internet!$AI102*(1-[7]Internet!$AC102-[7]Internet!$AE102)*(1-[7]Internet!$X102)*100/([7]Internet!$AI$9*(1-[7]Internet!$AC$9-[7]Internet!$AE$9)*(1-[7]Internet!$X$9))</f>
        <v>0</v>
      </c>
      <c r="D104" s="4">
        <v>104.55413153989278</v>
      </c>
      <c r="E104" s="4">
        <v>31.829873397289791</v>
      </c>
    </row>
    <row r="105" spans="1:5" x14ac:dyDescent="0.3">
      <c r="A105" s="4">
        <v>1918</v>
      </c>
      <c r="B105" s="5">
        <f>[7]Internet!$AI103*(1-[7]Internet!$AC103-[7]Internet!$AE103)*(1-[7]Internet!$X103)*100/([7]Internet!$AI$9*(1-[7]Internet!$AC$9-[7]Internet!$AE$9)*(1-[7]Internet!$X$9))</f>
        <v>0</v>
      </c>
      <c r="D105" s="4">
        <v>103.10703590404651</v>
      </c>
      <c r="E105" s="4">
        <v>31.859774858097385</v>
      </c>
    </row>
    <row r="106" spans="1:5" x14ac:dyDescent="0.3">
      <c r="A106" s="4">
        <v>1917</v>
      </c>
      <c r="B106" s="5">
        <f>[7]Internet!$AI104*(1-[7]Internet!$AC104-[7]Internet!$AE104)*(1-[7]Internet!$X104)*100/([7]Internet!$AI$9*(1-[7]Internet!$AC$9-[7]Internet!$AE$9)*(1-[7]Internet!$X$9))</f>
        <v>0</v>
      </c>
      <c r="D106" s="4">
        <v>101.67996899158442</v>
      </c>
      <c r="E106" s="4">
        <v>31.889704408786056</v>
      </c>
    </row>
    <row r="107" spans="1:5" x14ac:dyDescent="0.3">
      <c r="A107" s="4">
        <v>1916</v>
      </c>
      <c r="B107" s="5">
        <f>[7]Internet!$AI105*(1-[7]Internet!$AC105-[7]Internet!$AE105)*(1-[7]Internet!$X105)*100/([7]Internet!$AI$9*(1-[7]Internet!$AC$9-[7]Internet!$AE$9)*(1-[7]Internet!$X$9))</f>
        <v>0</v>
      </c>
      <c r="D107" s="4">
        <v>100.27265359224447</v>
      </c>
      <c r="E107" s="4">
        <v>31.919662075743858</v>
      </c>
    </row>
    <row r="108" spans="1:5" x14ac:dyDescent="0.3">
      <c r="A108" s="4">
        <v>1915</v>
      </c>
      <c r="B108" s="5">
        <f>[7]Internet!$AI106*(1-[7]Internet!$AC106-[7]Internet!$AE106)*(1-[7]Internet!$X106)*100/([7]Internet!$AI$9*(1-[7]Internet!$AC$9-[7]Internet!$AE$9)*(1-[7]Internet!$X$9))</f>
        <v>0</v>
      </c>
      <c r="D108" s="4">
        <v>98.884816332530846</v>
      </c>
      <c r="E108" s="4">
        <v>31.949647885383641</v>
      </c>
    </row>
    <row r="109" spans="1:5" x14ac:dyDescent="0.3">
      <c r="A109" s="4">
        <v>1914</v>
      </c>
      <c r="B109" s="5">
        <f>[7]Internet!$AI107*(1-[7]Internet!$AC107-[7]Internet!$AE107)*(1-[7]Internet!$X107)*100/([7]Internet!$AI$9*(1-[7]Internet!$AC$9-[7]Internet!$AE$9)*(1-[7]Internet!$X$9))</f>
        <v>0</v>
      </c>
      <c r="D109" s="4">
        <v>97.516187622610687</v>
      </c>
      <c r="E109" s="4">
        <v>31.979661864143058</v>
      </c>
    </row>
    <row r="110" spans="1:5" x14ac:dyDescent="0.3">
      <c r="A110" s="4">
        <v>1913</v>
      </c>
      <c r="B110" s="5">
        <f>[7]Internet!$AI108*(1-[7]Internet!$AC108-[7]Internet!$AE108)*(1-[7]Internet!$X108)*100/([7]Internet!$AI$9*(1-[7]Internet!$AC$9-[7]Internet!$AE$9)*(1-[7]Internet!$X$9))</f>
        <v>0</v>
      </c>
      <c r="D110" s="4">
        <v>96.166501603945761</v>
      </c>
      <c r="E110" s="4">
        <v>32.009704038484607</v>
      </c>
    </row>
    <row r="111" spans="1:5" x14ac:dyDescent="0.3">
      <c r="A111" s="4">
        <v>1912</v>
      </c>
      <c r="B111" s="5">
        <f>[7]Internet!$AI109*(1-[7]Internet!$AC109-[7]Internet!$AE109)*(1-[7]Internet!$X109)*100/([7]Internet!$AI$9*(1-[7]Internet!$AC$9-[7]Internet!$AE$9)*(1-[7]Internet!$X$9))</f>
        <v>0</v>
      </c>
      <c r="D111" s="4">
        <v>94.835496097648999</v>
      </c>
      <c r="E111" s="4">
        <v>32.039774434895641</v>
      </c>
    </row>
    <row r="112" spans="1:5" x14ac:dyDescent="0.3">
      <c r="A112" s="4">
        <v>1911</v>
      </c>
      <c r="B112" s="5">
        <f>[7]Internet!$AI110*(1-[7]Internet!$AC110-[7]Internet!$AE110)*(1-[7]Internet!$X110)*100/([7]Internet!$AI$9*(1-[7]Internet!$AC$9-[7]Internet!$AE$9)*(1-[7]Internet!$X$9))</f>
        <v>0</v>
      </c>
      <c r="D112" s="4">
        <v>93.522912553555756</v>
      </c>
      <c r="E112" s="4">
        <v>32.069873079888389</v>
      </c>
    </row>
    <row r="113" spans="1:6" x14ac:dyDescent="0.3">
      <c r="A113" s="4">
        <v>1910</v>
      </c>
      <c r="B113" s="5">
        <f>[7]Internet!$AI111*(1-[7]Internet!$AC111-[7]Internet!$AE111)*(1-[7]Internet!$X111)*100/([7]Internet!$AI$9*(1-[7]Internet!$AC$9-[7]Internet!$AE$9)*(1-[7]Internet!$X$9))</f>
        <v>0</v>
      </c>
      <c r="D113" s="4">
        <v>92.228496000000007</v>
      </c>
      <c r="E113" s="4">
        <v>32.1</v>
      </c>
    </row>
    <row r="114" spans="1:6" x14ac:dyDescent="0.3">
      <c r="A114" s="4">
        <v>1909</v>
      </c>
      <c r="B114" s="5">
        <f>[7]Internet!$AI112*(1-[7]Internet!$AC112-[7]Internet!$AE112)*(1-[7]Internet!$X112)*100/([7]Internet!$AI$9*(1-[7]Internet!$AC$9-[7]Internet!$AE$9)*(1-[7]Internet!$X$9))</f>
        <v>0</v>
      </c>
      <c r="D114" s="4">
        <v>90.485928148929617</v>
      </c>
      <c r="E114" s="4">
        <v>32.332288003568223</v>
      </c>
    </row>
    <row r="115" spans="1:6" x14ac:dyDescent="0.3">
      <c r="A115" s="4">
        <v>1908</v>
      </c>
      <c r="B115" s="5">
        <f>[7]Internet!$AI113*(1-[7]Internet!$AC113-[7]Internet!$AE113)*(1-[7]Internet!$X113)*100/([7]Internet!$AI$9*(1-[7]Internet!$AC$9-[7]Internet!$AE$9)*(1-[7]Internet!$X$9))</f>
        <v>0</v>
      </c>
      <c r="D115" s="4">
        <v>88.776284424861984</v>
      </c>
      <c r="E115" s="4">
        <v>32.566256932887278</v>
      </c>
    </row>
    <row r="116" spans="1:6" x14ac:dyDescent="0.3">
      <c r="A116" s="4">
        <v>1907</v>
      </c>
      <c r="B116" s="5">
        <f>[7]Internet!$AI114*(1-[7]Internet!$AC114-[7]Internet!$AE114)*(1-[7]Internet!$X114)*100/([7]Internet!$AI$9*(1-[7]Internet!$AC$9-[7]Internet!$AE$9)*(1-[7]Internet!$X$9))</f>
        <v>0</v>
      </c>
      <c r="D116" s="4">
        <v>87.098942758396419</v>
      </c>
      <c r="E116" s="4">
        <v>32.801918951785417</v>
      </c>
    </row>
    <row r="117" spans="1:6" x14ac:dyDescent="0.3">
      <c r="A117" s="4">
        <v>1906</v>
      </c>
      <c r="B117" s="5">
        <f>[7]Internet!$AI115*(1-[7]Internet!$AC115-[7]Internet!$AE115)*(1-[7]Internet!$X115)*100/([7]Internet!$AI$9*(1-[7]Internet!$AC$9-[7]Internet!$AE$9)*(1-[7]Internet!$X$9))</f>
        <v>0</v>
      </c>
      <c r="D117" s="4">
        <v>85.453292833529289</v>
      </c>
      <c r="E117" s="4">
        <v>33.039286312113049</v>
      </c>
    </row>
    <row r="118" spans="1:6" x14ac:dyDescent="0.3">
      <c r="A118" s="4">
        <v>1905</v>
      </c>
      <c r="B118" s="5">
        <f>[7]Internet!$AI116*(1-[7]Internet!$AC116-[7]Internet!$AE116)*(1-[7]Internet!$X116)*100/([7]Internet!$AI$9*(1-[7]Internet!$AC$9-[7]Internet!$AE$9)*(1-[7]Internet!$X$9))</f>
        <v>0</v>
      </c>
      <c r="D118" s="4">
        <v>83.838735865585036</v>
      </c>
      <c r="E118" s="4">
        <v>33.278371354379708</v>
      </c>
    </row>
    <row r="119" spans="1:6" x14ac:dyDescent="0.3">
      <c r="A119" s="4">
        <v>1904</v>
      </c>
      <c r="B119" s="5">
        <f>[7]Internet!$AI117*(1-[7]Internet!$AC117-[7]Internet!$AE117)*(1-[7]Internet!$X117)*100/([7]Internet!$AI$9*(1-[7]Internet!$AC$9-[7]Internet!$AE$9)*(1-[7]Internet!$X$9))</f>
        <v>0</v>
      </c>
      <c r="D119" s="4">
        <v>82.254684383342962</v>
      </c>
      <c r="E119" s="4">
        <v>33.51918650839562</v>
      </c>
    </row>
    <row r="120" spans="1:6" x14ac:dyDescent="0.3">
      <c r="A120" s="4">
        <v>1903</v>
      </c>
      <c r="B120" s="5">
        <f>[7]Internet!$AI118*(1-[7]Internet!$AC118-[7]Internet!$AE118)*(1-[7]Internet!$X118)*100/([7]Internet!$AI$9*(1-[7]Internet!$AC$9-[7]Internet!$AE$9)*(1-[7]Internet!$X$9))</f>
        <v>0</v>
      </c>
      <c r="D120" s="4">
        <v>80.700562015280482</v>
      </c>
      <c r="E120" s="4">
        <v>33.761744293917936</v>
      </c>
    </row>
    <row r="121" spans="1:6" x14ac:dyDescent="0.3">
      <c r="A121" s="4">
        <v>1902</v>
      </c>
      <c r="B121" s="5">
        <f>[7]Internet!$AI119*(1-[7]Internet!$AC119-[7]Internet!$AE119)*(1-[7]Internet!$X119)*100/([7]Internet!$AI$9*(1-[7]Internet!$AC$9-[7]Internet!$AE$9)*(1-[7]Internet!$X$9))</f>
        <v>0</v>
      </c>
      <c r="D121" s="4">
        <v>79.175803279855089</v>
      </c>
      <c r="E121" s="4">
        <v>34.006057321301583</v>
      </c>
    </row>
    <row r="122" spans="1:6" x14ac:dyDescent="0.3">
      <c r="A122" s="4">
        <v>1901</v>
      </c>
      <c r="B122" s="5">
        <f>[7]Internet!$AI120*(1-[7]Internet!$AC120-[7]Internet!$AE120)*(1-[7]Internet!$X120)*100/([7]Internet!$AI$9*(1-[7]Internet!$AC$9-[7]Internet!$AE$9)*(1-[7]Internet!$X$9))</f>
        <v>0</v>
      </c>
      <c r="D122" s="4">
        <v>77.679853379748778</v>
      </c>
      <c r="E122" s="4">
        <v>34.25213829215491</v>
      </c>
    </row>
    <row r="123" spans="1:6" x14ac:dyDescent="0.3">
      <c r="A123" s="4">
        <v>1900</v>
      </c>
      <c r="B123" s="5">
        <f>[7]Internet!$AI121*(1-[7]Internet!$AC121-[7]Internet!$AE121)*(1-[7]Internet!$X121)*100/([7]Internet!$AI$9*(1-[7]Internet!$AC$9-[7]Internet!$AE$9)*(1-[7]Internet!$X$9))</f>
        <v>0</v>
      </c>
      <c r="D123" s="3">
        <v>76.212168000000005</v>
      </c>
      <c r="E123" s="3">
        <v>34.5</v>
      </c>
      <c r="F123" s="3"/>
    </row>
    <row r="124" spans="1:6" x14ac:dyDescent="0.3">
      <c r="B124" s="3"/>
      <c r="D124" s="4">
        <v>74.768708808246345</v>
      </c>
      <c r="E124" s="3">
        <v>34.616575575720127</v>
      </c>
      <c r="F124" s="3"/>
    </row>
    <row r="125" spans="1:6" x14ac:dyDescent="0.3">
      <c r="B125" s="3"/>
      <c r="D125" s="4">
        <v>73.352588747407538</v>
      </c>
      <c r="E125" s="3">
        <v>34.73354506056647</v>
      </c>
      <c r="F125" s="3"/>
    </row>
    <row r="126" spans="1:6" x14ac:dyDescent="0.3">
      <c r="B126" s="3"/>
      <c r="D126" s="4">
        <v>71.963290014082276</v>
      </c>
      <c r="E126" s="3">
        <v>34.850909785558834</v>
      </c>
      <c r="F126" s="3"/>
    </row>
  </sheetData>
  <mergeCells count="1">
    <mergeCell ref="B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9B3F-8417-4AFE-B7AC-4E870A869D06}">
  <dimension ref="A1:M44"/>
  <sheetViews>
    <sheetView topLeftCell="A4" workbookViewId="0">
      <selection activeCell="G4" sqref="G4"/>
    </sheetView>
  </sheetViews>
  <sheetFormatPr defaultRowHeight="14.4" x14ac:dyDescent="0.3"/>
  <cols>
    <col min="1" max="16384" width="8.88671875" style="4"/>
  </cols>
  <sheetData>
    <row r="1" spans="1:13" x14ac:dyDescent="0.3">
      <c r="A1" s="25" t="s">
        <v>196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4" t="s">
        <v>21</v>
      </c>
      <c r="B2" s="4" t="s">
        <v>76</v>
      </c>
    </row>
    <row r="3" spans="1:13" x14ac:dyDescent="0.3">
      <c r="A3" s="4" t="s">
        <v>24</v>
      </c>
      <c r="B3" s="4" t="s">
        <v>77</v>
      </c>
    </row>
    <row r="4" spans="1:13" x14ac:dyDescent="0.3">
      <c r="A4" s="4" t="s">
        <v>52</v>
      </c>
      <c r="B4" s="4" t="s">
        <v>75</v>
      </c>
    </row>
    <row r="5" spans="1:13" x14ac:dyDescent="0.3">
      <c r="A5" s="4" t="s">
        <v>54</v>
      </c>
      <c r="B5" s="4" t="s">
        <v>78</v>
      </c>
    </row>
    <row r="6" spans="1:13" x14ac:dyDescent="0.3">
      <c r="A6" s="4" t="s">
        <v>30</v>
      </c>
      <c r="B6" s="4">
        <v>200912</v>
      </c>
    </row>
    <row r="8" spans="1:13" x14ac:dyDescent="0.3">
      <c r="A8" s="4" t="s">
        <v>31</v>
      </c>
    </row>
    <row r="9" spans="1:13" x14ac:dyDescent="0.3">
      <c r="A9" s="4" t="s">
        <v>32</v>
      </c>
      <c r="B9" s="4" t="s">
        <v>33</v>
      </c>
      <c r="C9" s="4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</row>
    <row r="10" spans="1:13" x14ac:dyDescent="0.3">
      <c r="A10" s="4">
        <v>2009</v>
      </c>
      <c r="M10" s="4">
        <v>100</v>
      </c>
    </row>
    <row r="11" spans="1:13" x14ac:dyDescent="0.3">
      <c r="A11" s="4">
        <v>2010</v>
      </c>
      <c r="B11" s="4">
        <v>98.3</v>
      </c>
      <c r="C11" s="4">
        <v>98.3</v>
      </c>
      <c r="D11" s="4">
        <v>98.3</v>
      </c>
      <c r="E11" s="4">
        <v>100.1</v>
      </c>
      <c r="F11" s="4">
        <v>100.2</v>
      </c>
      <c r="G11" s="4">
        <v>100.2</v>
      </c>
      <c r="H11" s="4">
        <v>102.2</v>
      </c>
      <c r="I11" s="4">
        <v>101.6</v>
      </c>
      <c r="J11" s="4">
        <v>101.4</v>
      </c>
      <c r="K11" s="4">
        <v>103.3</v>
      </c>
      <c r="L11" s="4">
        <v>103.3</v>
      </c>
      <c r="M11" s="4">
        <v>103.4</v>
      </c>
    </row>
    <row r="12" spans="1:13" x14ac:dyDescent="0.3">
      <c r="A12" s="4">
        <v>2011</v>
      </c>
      <c r="B12" s="4">
        <v>101.2</v>
      </c>
      <c r="C12" s="4">
        <v>101.1</v>
      </c>
      <c r="D12" s="4">
        <v>101</v>
      </c>
      <c r="E12" s="4">
        <v>106.1</v>
      </c>
      <c r="F12" s="4">
        <v>106.2</v>
      </c>
      <c r="G12" s="4">
        <v>106.7</v>
      </c>
      <c r="H12" s="4">
        <v>101</v>
      </c>
      <c r="I12" s="4">
        <v>101.1</v>
      </c>
      <c r="J12" s="4">
        <v>101.1</v>
      </c>
      <c r="K12" s="4">
        <v>95.7</v>
      </c>
      <c r="L12" s="4">
        <v>95.7</v>
      </c>
      <c r="M12" s="4">
        <v>95.5</v>
      </c>
    </row>
    <row r="13" spans="1:13" x14ac:dyDescent="0.3">
      <c r="A13" s="4">
        <v>2012</v>
      </c>
      <c r="B13" s="4">
        <v>95.4</v>
      </c>
      <c r="C13" s="4">
        <v>95.5</v>
      </c>
      <c r="D13" s="4">
        <v>95.6</v>
      </c>
      <c r="E13" s="4">
        <v>99.4</v>
      </c>
      <c r="F13" s="4">
        <v>99.4</v>
      </c>
      <c r="G13" s="4">
        <v>99.5</v>
      </c>
      <c r="H13" s="4">
        <v>99.1</v>
      </c>
      <c r="I13" s="4">
        <v>99</v>
      </c>
      <c r="J13" s="4">
        <v>99.1</v>
      </c>
      <c r="K13" s="4">
        <v>101.9</v>
      </c>
      <c r="L13" s="4">
        <v>101.8</v>
      </c>
      <c r="M13" s="4">
        <v>101.7</v>
      </c>
    </row>
    <row r="14" spans="1:13" x14ac:dyDescent="0.3">
      <c r="A14" s="4">
        <v>2013</v>
      </c>
      <c r="B14" s="4">
        <v>101.4</v>
      </c>
      <c r="C14" s="4">
        <v>101.6</v>
      </c>
      <c r="D14" s="4">
        <v>101.7</v>
      </c>
      <c r="E14" s="4">
        <v>101.7</v>
      </c>
      <c r="F14" s="4">
        <v>101.7</v>
      </c>
      <c r="G14" s="4">
        <v>101.6</v>
      </c>
      <c r="H14" s="4">
        <v>97.7</v>
      </c>
      <c r="I14" s="4">
        <v>97.8</v>
      </c>
      <c r="J14" s="4">
        <v>97.8</v>
      </c>
      <c r="K14" s="4">
        <v>95.9</v>
      </c>
      <c r="L14" s="4">
        <v>95.8</v>
      </c>
      <c r="M14" s="4">
        <v>95.9</v>
      </c>
    </row>
    <row r="15" spans="1:13" x14ac:dyDescent="0.3">
      <c r="A15" s="4">
        <v>2014</v>
      </c>
      <c r="B15" s="4">
        <v>98.2</v>
      </c>
      <c r="C15" s="4">
        <v>98.1</v>
      </c>
      <c r="D15" s="4">
        <v>98.1</v>
      </c>
      <c r="E15" s="4">
        <v>97.9</v>
      </c>
      <c r="F15" s="4">
        <v>97.9</v>
      </c>
      <c r="G15" s="4">
        <v>96.1</v>
      </c>
      <c r="H15" s="4">
        <v>95.2</v>
      </c>
      <c r="I15" s="4">
        <v>95.2</v>
      </c>
      <c r="J15" s="4">
        <v>95.2</v>
      </c>
      <c r="K15" s="4">
        <v>87.7</v>
      </c>
      <c r="L15" s="4">
        <v>87.7</v>
      </c>
      <c r="M15" s="4">
        <v>87.7</v>
      </c>
    </row>
    <row r="16" spans="1:13" x14ac:dyDescent="0.3">
      <c r="A16" s="4">
        <v>2015</v>
      </c>
      <c r="B16" s="4">
        <v>85.1</v>
      </c>
      <c r="C16" s="4">
        <v>85.1</v>
      </c>
      <c r="D16" s="4">
        <v>85.1</v>
      </c>
      <c r="E16" s="4">
        <v>81</v>
      </c>
      <c r="F16" s="4">
        <v>81</v>
      </c>
      <c r="G16" s="4">
        <v>81</v>
      </c>
      <c r="H16" s="4">
        <v>79.400000000000006</v>
      </c>
      <c r="I16" s="4">
        <v>79.400000000000006</v>
      </c>
      <c r="J16" s="4">
        <v>79.400000000000006</v>
      </c>
      <c r="K16" s="4">
        <v>79.5</v>
      </c>
      <c r="L16" s="4">
        <v>79.5</v>
      </c>
      <c r="M16" s="4">
        <v>79.5</v>
      </c>
    </row>
    <row r="17" spans="1:13" x14ac:dyDescent="0.3">
      <c r="A17" s="4">
        <v>2016</v>
      </c>
      <c r="B17" s="4">
        <v>81</v>
      </c>
      <c r="C17" s="4">
        <v>81</v>
      </c>
      <c r="D17" s="4">
        <v>81</v>
      </c>
      <c r="E17" s="4">
        <v>79.400000000000006</v>
      </c>
      <c r="F17" s="4">
        <v>79.400000000000006</v>
      </c>
      <c r="G17" s="4">
        <v>79.7</v>
      </c>
      <c r="H17" s="4">
        <v>76.400000000000006</v>
      </c>
      <c r="I17" s="4">
        <v>76.400000000000006</v>
      </c>
      <c r="J17" s="4">
        <v>76.099999999999994</v>
      </c>
      <c r="K17" s="4">
        <v>69.599999999999994</v>
      </c>
      <c r="L17" s="4">
        <v>69</v>
      </c>
      <c r="M17" s="4">
        <v>68.7</v>
      </c>
    </row>
    <row r="18" spans="1:13" x14ac:dyDescent="0.3">
      <c r="A18" s="4">
        <v>2017</v>
      </c>
      <c r="B18" s="4">
        <v>68.400000000000006</v>
      </c>
      <c r="C18" s="4">
        <v>68.099999999999994</v>
      </c>
      <c r="D18" s="4">
        <v>69.599999999999994</v>
      </c>
      <c r="E18" s="4">
        <v>64.3</v>
      </c>
      <c r="F18" s="4">
        <v>64.8</v>
      </c>
      <c r="G18" s="4">
        <v>64.8</v>
      </c>
      <c r="H18" s="4">
        <v>65.3</v>
      </c>
      <c r="I18" s="4">
        <v>66.8</v>
      </c>
      <c r="J18" s="4">
        <v>68.3</v>
      </c>
      <c r="K18" s="4">
        <v>64.3</v>
      </c>
      <c r="L18" s="4">
        <v>62.3</v>
      </c>
      <c r="M18" s="4">
        <v>60.5</v>
      </c>
    </row>
    <row r="19" spans="1:13" x14ac:dyDescent="0.3">
      <c r="A19" s="4">
        <v>2018</v>
      </c>
      <c r="B19" s="4">
        <v>58.9</v>
      </c>
      <c r="C19" s="4">
        <v>57.1</v>
      </c>
      <c r="D19" s="4">
        <v>57.4</v>
      </c>
      <c r="E19" s="4">
        <v>51.8</v>
      </c>
      <c r="F19" s="4">
        <v>52.4</v>
      </c>
      <c r="G19" s="4">
        <v>52.9</v>
      </c>
      <c r="H19" s="4">
        <v>48.6</v>
      </c>
      <c r="I19" s="4">
        <v>48.9</v>
      </c>
      <c r="J19" s="4">
        <v>49.8</v>
      </c>
      <c r="K19" s="4">
        <v>46.1</v>
      </c>
      <c r="L19" s="4">
        <v>46.1</v>
      </c>
      <c r="M19" s="4">
        <v>47.3</v>
      </c>
    </row>
    <row r="20" spans="1:13" x14ac:dyDescent="0.3">
      <c r="A20" s="4">
        <v>2019</v>
      </c>
      <c r="B20" s="4">
        <v>48.4</v>
      </c>
      <c r="C20" s="4">
        <v>46.4</v>
      </c>
      <c r="D20" s="4">
        <v>47</v>
      </c>
      <c r="E20" s="4">
        <v>47.5</v>
      </c>
      <c r="F20" s="4">
        <v>46.3</v>
      </c>
      <c r="G20" s="4">
        <v>46.6</v>
      </c>
      <c r="H20" s="4">
        <v>47.4</v>
      </c>
      <c r="I20" s="4">
        <v>46.8</v>
      </c>
      <c r="J20" s="4">
        <v>46.8</v>
      </c>
      <c r="K20" s="4">
        <v>48.1</v>
      </c>
      <c r="L20" s="4">
        <v>48.4</v>
      </c>
      <c r="M20" s="4">
        <v>48.1</v>
      </c>
    </row>
    <row r="21" spans="1:13" x14ac:dyDescent="0.3">
      <c r="A21" s="4">
        <v>2020</v>
      </c>
      <c r="B21" s="4">
        <v>45.9</v>
      </c>
      <c r="C21" s="4">
        <v>45</v>
      </c>
      <c r="D21" s="4">
        <v>45.3</v>
      </c>
      <c r="E21" s="4">
        <v>40.299999999999997</v>
      </c>
      <c r="F21" s="4">
        <v>39.1</v>
      </c>
      <c r="G21" s="4">
        <v>39.1</v>
      </c>
      <c r="H21" s="4">
        <v>40.4</v>
      </c>
      <c r="I21" s="4">
        <v>41.2</v>
      </c>
      <c r="J21" s="4">
        <v>40.4</v>
      </c>
      <c r="K21" s="4">
        <v>42.9</v>
      </c>
      <c r="L21" s="4">
        <f>K21*L42/K42</f>
        <v>43.159371221281745</v>
      </c>
      <c r="M21" s="4">
        <f>L21*M42/L42</f>
        <v>42.796251511487306</v>
      </c>
    </row>
    <row r="23" spans="1:13" x14ac:dyDescent="0.3">
      <c r="A23" s="4" t="s">
        <v>21</v>
      </c>
      <c r="B23" s="4" t="s">
        <v>203</v>
      </c>
    </row>
    <row r="24" spans="1:13" x14ac:dyDescent="0.3">
      <c r="A24" s="4" t="s">
        <v>24</v>
      </c>
      <c r="B24" s="4" t="s">
        <v>204</v>
      </c>
    </row>
    <row r="25" spans="1:13" x14ac:dyDescent="0.3">
      <c r="A25" s="4" t="s">
        <v>52</v>
      </c>
      <c r="B25" s="4" t="s">
        <v>75</v>
      </c>
    </row>
    <row r="26" spans="1:13" x14ac:dyDescent="0.3">
      <c r="A26" s="4" t="s">
        <v>54</v>
      </c>
      <c r="B26" s="4" t="s">
        <v>75</v>
      </c>
    </row>
    <row r="27" spans="1:13" x14ac:dyDescent="0.3">
      <c r="A27" s="4" t="s">
        <v>30</v>
      </c>
      <c r="B27" s="4">
        <v>200912</v>
      </c>
    </row>
    <row r="29" spans="1:13" x14ac:dyDescent="0.3">
      <c r="A29" s="4" t="s">
        <v>31</v>
      </c>
    </row>
    <row r="30" spans="1:13" x14ac:dyDescent="0.3">
      <c r="A30" s="4" t="s">
        <v>32</v>
      </c>
      <c r="B30" s="4" t="s">
        <v>33</v>
      </c>
      <c r="C30" s="4" t="s">
        <v>34</v>
      </c>
      <c r="D30" s="4" t="s">
        <v>35</v>
      </c>
      <c r="E30" s="4" t="s">
        <v>36</v>
      </c>
      <c r="F30" s="4" t="s">
        <v>37</v>
      </c>
      <c r="G30" s="4" t="s">
        <v>38</v>
      </c>
      <c r="H30" s="4" t="s">
        <v>39</v>
      </c>
      <c r="I30" s="4" t="s">
        <v>40</v>
      </c>
      <c r="J30" s="4" t="s">
        <v>41</v>
      </c>
      <c r="K30" s="4" t="s">
        <v>42</v>
      </c>
      <c r="L30" s="4" t="s">
        <v>43</v>
      </c>
      <c r="M30" s="4" t="s">
        <v>44</v>
      </c>
    </row>
    <row r="31" spans="1:13" x14ac:dyDescent="0.3">
      <c r="A31" s="4">
        <v>2009</v>
      </c>
      <c r="M31" s="4">
        <v>100</v>
      </c>
    </row>
    <row r="32" spans="1:13" x14ac:dyDescent="0.3">
      <c r="A32" s="4">
        <v>2010</v>
      </c>
      <c r="B32" s="4">
        <v>98.4</v>
      </c>
      <c r="C32" s="4">
        <v>98.9</v>
      </c>
      <c r="D32" s="4">
        <v>99</v>
      </c>
      <c r="E32" s="4">
        <v>100</v>
      </c>
      <c r="F32" s="4">
        <v>99.7</v>
      </c>
      <c r="G32" s="4">
        <v>100.2</v>
      </c>
      <c r="H32" s="4">
        <v>100.2</v>
      </c>
      <c r="I32" s="4">
        <v>98.5</v>
      </c>
      <c r="J32" s="4">
        <v>99.5</v>
      </c>
      <c r="K32" s="4">
        <v>102.5</v>
      </c>
      <c r="L32" s="4">
        <v>104</v>
      </c>
      <c r="M32" s="4">
        <v>103.9</v>
      </c>
    </row>
    <row r="33" spans="1:13" x14ac:dyDescent="0.3">
      <c r="A33" s="4">
        <v>2011</v>
      </c>
      <c r="B33" s="4">
        <v>98.6</v>
      </c>
      <c r="C33" s="4">
        <v>100.2</v>
      </c>
      <c r="D33" s="4">
        <v>100.5</v>
      </c>
      <c r="E33" s="4">
        <v>103</v>
      </c>
      <c r="F33" s="4">
        <v>103.9</v>
      </c>
      <c r="G33" s="4">
        <v>101.3</v>
      </c>
      <c r="H33" s="4">
        <v>97.6</v>
      </c>
      <c r="I33" s="4">
        <v>95</v>
      </c>
      <c r="J33" s="4">
        <v>95.3</v>
      </c>
      <c r="K33" s="4">
        <v>97.2</v>
      </c>
      <c r="L33" s="4">
        <v>96.8</v>
      </c>
      <c r="M33" s="4">
        <v>95.3</v>
      </c>
    </row>
    <row r="34" spans="1:13" x14ac:dyDescent="0.3">
      <c r="A34" s="4">
        <v>2012</v>
      </c>
      <c r="B34" s="4">
        <v>92.5</v>
      </c>
      <c r="C34" s="4">
        <v>94.7</v>
      </c>
      <c r="D34" s="4">
        <v>93.2</v>
      </c>
      <c r="E34" s="4">
        <v>96.2</v>
      </c>
      <c r="F34" s="4">
        <v>97.3</v>
      </c>
      <c r="G34" s="4">
        <v>97</v>
      </c>
      <c r="H34" s="4">
        <v>97.3</v>
      </c>
      <c r="I34" s="4">
        <v>97.2</v>
      </c>
      <c r="J34" s="4">
        <v>96.4</v>
      </c>
      <c r="K34" s="4">
        <v>96.7</v>
      </c>
      <c r="L34" s="4">
        <v>97.3</v>
      </c>
      <c r="M34" s="4">
        <v>96.3</v>
      </c>
    </row>
    <row r="35" spans="1:13" x14ac:dyDescent="0.3">
      <c r="A35" s="4">
        <v>2013</v>
      </c>
      <c r="B35" s="4">
        <v>94.5</v>
      </c>
      <c r="C35" s="4">
        <v>93.9</v>
      </c>
      <c r="D35" s="4">
        <v>94.3</v>
      </c>
      <c r="E35" s="4">
        <v>94.6</v>
      </c>
      <c r="F35" s="4">
        <v>94</v>
      </c>
      <c r="G35" s="4">
        <v>93.9</v>
      </c>
      <c r="H35" s="4">
        <v>93.4</v>
      </c>
      <c r="I35" s="4">
        <v>93</v>
      </c>
      <c r="J35" s="4">
        <v>93</v>
      </c>
      <c r="K35" s="4">
        <v>92.1</v>
      </c>
      <c r="L35" s="4">
        <v>91.7</v>
      </c>
      <c r="M35" s="4">
        <v>92.4</v>
      </c>
    </row>
    <row r="36" spans="1:13" x14ac:dyDescent="0.3">
      <c r="A36" s="4">
        <v>2014</v>
      </c>
      <c r="B36" s="4">
        <v>92.8</v>
      </c>
      <c r="C36" s="4">
        <v>93</v>
      </c>
      <c r="D36" s="4">
        <v>92.7</v>
      </c>
      <c r="E36" s="4">
        <v>91.6</v>
      </c>
      <c r="F36" s="4">
        <v>91.6</v>
      </c>
      <c r="G36" s="4">
        <v>92.4</v>
      </c>
      <c r="H36" s="4">
        <v>91.7</v>
      </c>
      <c r="I36" s="4">
        <v>92.2</v>
      </c>
      <c r="J36" s="4">
        <v>92.4</v>
      </c>
      <c r="K36" s="4">
        <v>91.3</v>
      </c>
      <c r="L36" s="4">
        <v>92.3</v>
      </c>
      <c r="M36" s="4">
        <v>91.4</v>
      </c>
    </row>
    <row r="37" spans="1:13" x14ac:dyDescent="0.3">
      <c r="A37" s="4">
        <v>2015</v>
      </c>
      <c r="B37" s="4">
        <v>90.8</v>
      </c>
      <c r="C37" s="4">
        <v>90.9</v>
      </c>
      <c r="D37" s="4">
        <v>91.3</v>
      </c>
      <c r="E37" s="4">
        <v>90.4</v>
      </c>
      <c r="F37" s="4">
        <v>91.2</v>
      </c>
      <c r="G37" s="4">
        <v>90</v>
      </c>
      <c r="H37" s="4">
        <v>89.5</v>
      </c>
      <c r="I37" s="4">
        <v>90.1</v>
      </c>
      <c r="J37" s="4">
        <v>90.6</v>
      </c>
      <c r="K37" s="4">
        <v>90.4</v>
      </c>
      <c r="L37" s="4">
        <v>91.7</v>
      </c>
      <c r="M37" s="4">
        <v>90</v>
      </c>
    </row>
    <row r="38" spans="1:13" x14ac:dyDescent="0.3">
      <c r="A38" s="4">
        <v>2016</v>
      </c>
      <c r="B38" s="4">
        <v>90.2</v>
      </c>
      <c r="C38" s="4">
        <v>91</v>
      </c>
      <c r="D38" s="4">
        <v>89.5</v>
      </c>
      <c r="E38" s="4">
        <v>88.2</v>
      </c>
      <c r="F38" s="4">
        <v>87.6</v>
      </c>
      <c r="G38" s="4">
        <v>87.6</v>
      </c>
      <c r="H38" s="4">
        <v>85.4</v>
      </c>
      <c r="I38" s="4">
        <v>85.3</v>
      </c>
      <c r="J38" s="4">
        <v>86.5</v>
      </c>
      <c r="K38" s="4">
        <v>84.2</v>
      </c>
      <c r="L38" s="4">
        <v>84.4</v>
      </c>
      <c r="M38" s="4">
        <v>84.4</v>
      </c>
    </row>
    <row r="39" spans="1:13" x14ac:dyDescent="0.3">
      <c r="A39" s="4">
        <v>2017</v>
      </c>
      <c r="B39" s="4">
        <v>83.3</v>
      </c>
      <c r="C39" s="4">
        <v>84.4</v>
      </c>
      <c r="D39" s="4">
        <v>85.2</v>
      </c>
      <c r="E39" s="4">
        <v>83.6</v>
      </c>
      <c r="F39" s="4">
        <v>83.7</v>
      </c>
      <c r="G39" s="4">
        <v>84.1</v>
      </c>
      <c r="H39" s="4">
        <v>84</v>
      </c>
      <c r="I39" s="4">
        <v>85.1</v>
      </c>
      <c r="J39" s="4">
        <v>85.1</v>
      </c>
      <c r="K39" s="4">
        <v>84.2</v>
      </c>
      <c r="L39" s="4">
        <v>84.1</v>
      </c>
      <c r="M39" s="4">
        <v>84.5</v>
      </c>
    </row>
    <row r="40" spans="1:13" x14ac:dyDescent="0.3">
      <c r="A40" s="4">
        <v>2018</v>
      </c>
      <c r="B40" s="4">
        <v>81.5</v>
      </c>
      <c r="C40" s="4">
        <v>81.2</v>
      </c>
      <c r="D40" s="4">
        <v>82.4</v>
      </c>
      <c r="E40" s="4">
        <v>79.900000000000006</v>
      </c>
      <c r="F40" s="4">
        <v>80.099999999999994</v>
      </c>
      <c r="G40" s="4">
        <v>80.900000000000006</v>
      </c>
      <c r="H40" s="4">
        <v>80.400000000000006</v>
      </c>
      <c r="I40" s="4">
        <v>79.599999999999994</v>
      </c>
      <c r="J40" s="4">
        <v>80.5</v>
      </c>
      <c r="K40" s="4">
        <v>79.900000000000006</v>
      </c>
      <c r="L40" s="4">
        <v>80.3</v>
      </c>
      <c r="M40" s="4">
        <v>81.3</v>
      </c>
    </row>
    <row r="41" spans="1:13" x14ac:dyDescent="0.3">
      <c r="A41" s="4">
        <v>2019</v>
      </c>
      <c r="B41" s="4">
        <v>80.900000000000006</v>
      </c>
      <c r="C41" s="4">
        <v>80.2</v>
      </c>
      <c r="D41" s="4">
        <v>80.2</v>
      </c>
      <c r="E41" s="4">
        <v>80.5</v>
      </c>
      <c r="F41" s="4">
        <v>80.7</v>
      </c>
      <c r="G41" s="4">
        <v>80</v>
      </c>
      <c r="H41" s="4">
        <v>80.8</v>
      </c>
      <c r="I41" s="4">
        <v>81.099999999999994</v>
      </c>
      <c r="J41" s="4">
        <v>80.8</v>
      </c>
      <c r="K41" s="4">
        <v>81.2</v>
      </c>
      <c r="L41" s="4">
        <v>81.2</v>
      </c>
      <c r="M41" s="4">
        <v>80.599999999999994</v>
      </c>
    </row>
    <row r="42" spans="1:13" x14ac:dyDescent="0.3">
      <c r="A42" s="4">
        <v>2020</v>
      </c>
      <c r="B42" s="4">
        <v>81.599999999999994</v>
      </c>
      <c r="C42" s="4">
        <v>78.599999999999994</v>
      </c>
      <c r="D42" s="4">
        <v>79.8</v>
      </c>
      <c r="E42" s="4">
        <v>79.5</v>
      </c>
      <c r="F42" s="4">
        <v>77.2</v>
      </c>
      <c r="G42" s="4">
        <v>75.900000000000006</v>
      </c>
      <c r="H42" s="4">
        <v>80.099999999999994</v>
      </c>
      <c r="I42" s="4">
        <v>81.900000000000006</v>
      </c>
      <c r="J42" s="4">
        <v>81.2</v>
      </c>
      <c r="K42" s="4">
        <v>82.7</v>
      </c>
      <c r="L42" s="4">
        <v>83.2</v>
      </c>
      <c r="M42" s="4">
        <v>82.5</v>
      </c>
    </row>
    <row r="43" spans="1:13" x14ac:dyDescent="0.3">
      <c r="A43" s="4">
        <v>2021</v>
      </c>
      <c r="B43" s="4">
        <v>85.9</v>
      </c>
      <c r="C43" s="4">
        <v>85.6</v>
      </c>
      <c r="D43" s="4">
        <v>84.1</v>
      </c>
      <c r="E43" s="4">
        <v>89</v>
      </c>
      <c r="F43" s="4">
        <v>89.4</v>
      </c>
      <c r="G43" s="4">
        <v>89.2</v>
      </c>
      <c r="H43" s="4">
        <v>89.853999999999999</v>
      </c>
      <c r="I43" s="4">
        <v>89.350999999999999</v>
      </c>
      <c r="J43" s="4">
        <v>89.316000000000003</v>
      </c>
      <c r="K43" s="4">
        <v>90.263999999999996</v>
      </c>
      <c r="L43" s="4">
        <v>90.551000000000002</v>
      </c>
      <c r="M43" s="4">
        <v>90.864999999999995</v>
      </c>
    </row>
    <row r="44" spans="1:13" x14ac:dyDescent="0.3">
      <c r="A44" s="4">
        <v>2022</v>
      </c>
      <c r="B44" s="4">
        <v>90.183999999999997</v>
      </c>
      <c r="C44" s="4">
        <v>89.275999999999996</v>
      </c>
      <c r="D44" s="4">
        <v>91.391000000000005</v>
      </c>
      <c r="E44" s="4">
        <v>90.596000000000004</v>
      </c>
      <c r="F44" s="4">
        <v>90.759</v>
      </c>
      <c r="G44" s="4">
        <v>90.983000000000004</v>
      </c>
      <c r="H44" s="4">
        <v>87.51</v>
      </c>
      <c r="I44" s="4">
        <v>88.238</v>
      </c>
      <c r="J44" s="4">
        <v>88.323999999999998</v>
      </c>
      <c r="K44" s="4">
        <v>89.587000000000003</v>
      </c>
      <c r="L44" s="4">
        <v>89.834999999999994</v>
      </c>
      <c r="M44" s="4">
        <v>89.677000000000007</v>
      </c>
    </row>
  </sheetData>
  <mergeCells count="1">
    <mergeCell ref="A1:M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E354-EFF9-4545-A397-49D00C615B08}">
  <dimension ref="A1:I123"/>
  <sheetViews>
    <sheetView workbookViewId="0">
      <selection activeCell="C2" sqref="C2:I123"/>
    </sheetView>
  </sheetViews>
  <sheetFormatPr defaultRowHeight="14.4" x14ac:dyDescent="0.3"/>
  <cols>
    <col min="1" max="16384" width="8.88671875" style="4"/>
  </cols>
  <sheetData>
    <row r="1" spans="1:9" x14ac:dyDescent="0.3">
      <c r="B1" s="25" t="s">
        <v>195</v>
      </c>
      <c r="C1" s="25"/>
      <c r="D1" s="25"/>
      <c r="E1" s="25"/>
      <c r="F1" s="25"/>
      <c r="G1" s="25"/>
      <c r="H1" s="25"/>
      <c r="I1" s="25"/>
    </row>
    <row r="2" spans="1:9" x14ac:dyDescent="0.3">
      <c r="B2" s="4" t="s">
        <v>96</v>
      </c>
      <c r="C2" s="4" t="s">
        <v>200</v>
      </c>
      <c r="D2" s="4" t="s">
        <v>201</v>
      </c>
      <c r="E2" s="4" t="s">
        <v>202</v>
      </c>
      <c r="F2" s="4" t="s">
        <v>42</v>
      </c>
      <c r="G2" s="4" t="s">
        <v>97</v>
      </c>
      <c r="H2" s="4" t="s">
        <v>98</v>
      </c>
      <c r="I2" s="4" t="s">
        <v>95</v>
      </c>
    </row>
    <row r="3" spans="1:9" x14ac:dyDescent="0.3">
      <c r="A3" s="4">
        <v>2020</v>
      </c>
      <c r="B3" s="4">
        <f>(AVERAGE(C3:F3)*100/I3)/(AVERAGE(C$11:F$11)/I$11)</f>
        <v>312.44290994758637</v>
      </c>
      <c r="C3" s="4">
        <v>19.060000000000002</v>
      </c>
      <c r="D3" s="4">
        <v>20.37</v>
      </c>
      <c r="E3" s="4">
        <v>19.66</v>
      </c>
      <c r="F3" s="4">
        <v>20.020000000000003</v>
      </c>
      <c r="I3" s="4">
        <v>0.33491686460807601</v>
      </c>
    </row>
    <row r="4" spans="1:9" x14ac:dyDescent="0.3">
      <c r="A4" s="4">
        <v>2019</v>
      </c>
      <c r="B4" s="4">
        <f>(AVERAGE(C4:F4)*100/I4)/(AVERAGE(C$11:F$11)/I$11)</f>
        <v>258.25890205832241</v>
      </c>
      <c r="C4" s="4">
        <v>15.810000000000002</v>
      </c>
      <c r="D4" s="4">
        <v>15.28</v>
      </c>
      <c r="E4" s="4">
        <v>15.950000000000001</v>
      </c>
      <c r="F4" s="4">
        <v>17.150000000000002</v>
      </c>
      <c r="I4" s="4">
        <v>0.32876712328767127</v>
      </c>
    </row>
    <row r="5" spans="1:9" x14ac:dyDescent="0.3">
      <c r="A5" s="4">
        <v>2018</v>
      </c>
      <c r="B5" s="4">
        <f>(AVERAGE(C5:F5)*100/I5)/(AVERAGE(C$11:F$11)/I$11)</f>
        <v>247.5348869647309</v>
      </c>
      <c r="C5" s="4">
        <v>17.48</v>
      </c>
      <c r="D5" s="4">
        <v>17.779999999999998</v>
      </c>
      <c r="E5" s="4">
        <v>18.560000000000002</v>
      </c>
      <c r="F5" s="4">
        <v>16.39</v>
      </c>
      <c r="I5" s="4">
        <v>0.37517929529154964</v>
      </c>
    </row>
    <row r="6" spans="1:9" x14ac:dyDescent="0.3">
      <c r="A6" s="4">
        <v>2017</v>
      </c>
      <c r="B6" s="4">
        <f>((C6+D6)/I6)*(B5/((C5+D5)/I5))^0.5*(B7/((C7+D7)/I7))^0.5</f>
        <v>171.25207190891365</v>
      </c>
      <c r="C6" s="4">
        <v>15.18</v>
      </c>
      <c r="D6" s="4">
        <v>15.04</v>
      </c>
      <c r="I6" s="4">
        <v>0.45408618127786032</v>
      </c>
    </row>
    <row r="7" spans="1:9" x14ac:dyDescent="0.3">
      <c r="A7" s="4">
        <v>2016</v>
      </c>
      <c r="B7" s="4">
        <f t="shared" ref="B7:B15" si="0">(AVERAGE(C7:F7)*100/I7)/(AVERAGE(C$11:F$11)/I$11)</f>
        <v>168.33314321262458</v>
      </c>
      <c r="C7" s="4">
        <v>17.34</v>
      </c>
      <c r="D7" s="4">
        <v>16.16</v>
      </c>
      <c r="E7" s="4">
        <v>15.06</v>
      </c>
      <c r="F7" s="4">
        <v>15.110000000000001</v>
      </c>
      <c r="I7" s="4">
        <v>0.50031269543464663</v>
      </c>
    </row>
    <row r="8" spans="1:9" x14ac:dyDescent="0.3">
      <c r="A8" s="4">
        <v>2015</v>
      </c>
      <c r="B8" s="4">
        <f t="shared" si="0"/>
        <v>138.41318275676221</v>
      </c>
      <c r="C8" s="4">
        <v>18.43</v>
      </c>
      <c r="D8" s="4">
        <v>18.16</v>
      </c>
      <c r="E8" s="4">
        <v>17.45</v>
      </c>
      <c r="F8" s="4">
        <v>17.979999999999997</v>
      </c>
      <c r="I8" s="4">
        <v>0.68825910931174095</v>
      </c>
    </row>
    <row r="9" spans="1:9" x14ac:dyDescent="0.3">
      <c r="A9" s="4">
        <v>2014</v>
      </c>
      <c r="B9" s="4">
        <f t="shared" si="0"/>
        <v>128.58479024724517</v>
      </c>
      <c r="C9" s="4">
        <v>19.320000000000004</v>
      </c>
      <c r="D9" s="4">
        <v>18.369999999999997</v>
      </c>
      <c r="E9" s="4">
        <v>17.62</v>
      </c>
      <c r="F9" s="4">
        <v>18.57</v>
      </c>
      <c r="I9" s="4">
        <v>0.76</v>
      </c>
    </row>
    <row r="10" spans="1:9" x14ac:dyDescent="0.3">
      <c r="A10" s="4">
        <v>2013</v>
      </c>
      <c r="B10" s="4">
        <f t="shared" si="0"/>
        <v>121.8089914030742</v>
      </c>
      <c r="C10" s="4">
        <v>19.16</v>
      </c>
      <c r="D10" s="4">
        <v>20.010000000000002</v>
      </c>
      <c r="E10" s="4">
        <v>19.150000000000002</v>
      </c>
      <c r="F10" s="4">
        <v>19.079999999999998</v>
      </c>
      <c r="I10" s="4">
        <v>0.84050039093041429</v>
      </c>
    </row>
    <row r="11" spans="1:9" x14ac:dyDescent="0.3">
      <c r="A11" s="4">
        <v>2012</v>
      </c>
      <c r="B11" s="4">
        <f t="shared" si="0"/>
        <v>100</v>
      </c>
      <c r="C11" s="4">
        <v>17.54</v>
      </c>
      <c r="D11" s="4">
        <v>16.830000000000002</v>
      </c>
      <c r="E11" s="4">
        <v>17.420000000000002</v>
      </c>
      <c r="F11" s="4">
        <v>17.319999999999997</v>
      </c>
      <c r="I11" s="4">
        <v>0.91414944356120831</v>
      </c>
    </row>
    <row r="12" spans="1:9" x14ac:dyDescent="0.3">
      <c r="A12" s="4">
        <v>2011</v>
      </c>
      <c r="B12" s="4">
        <f t="shared" si="0"/>
        <v>94.456302221253651</v>
      </c>
      <c r="C12" s="4">
        <v>16.659999999999997</v>
      </c>
      <c r="D12" s="4">
        <v>16.599999999999998</v>
      </c>
      <c r="E12" s="4">
        <v>16.88</v>
      </c>
      <c r="F12" s="4">
        <v>17.8</v>
      </c>
      <c r="I12" s="4">
        <v>0.95141700404858298</v>
      </c>
    </row>
    <row r="13" spans="1:9" x14ac:dyDescent="0.3">
      <c r="A13" s="4">
        <v>2010</v>
      </c>
      <c r="B13" s="4">
        <f t="shared" si="0"/>
        <v>84.232649032187084</v>
      </c>
      <c r="C13" s="4">
        <v>13.63</v>
      </c>
      <c r="D13" s="4">
        <v>15.15</v>
      </c>
      <c r="E13" s="4">
        <v>15.219999999999999</v>
      </c>
      <c r="F13" s="4">
        <v>18.100000000000001</v>
      </c>
      <c r="I13" s="4">
        <v>0.97518597664589801</v>
      </c>
    </row>
    <row r="14" spans="1:9" x14ac:dyDescent="0.3">
      <c r="A14" s="4">
        <v>2009</v>
      </c>
      <c r="B14" s="4">
        <f t="shared" si="0"/>
        <v>72.188707504914177</v>
      </c>
      <c r="C14" s="4">
        <v>12.99</v>
      </c>
      <c r="D14" s="4">
        <v>13.890000000000002</v>
      </c>
      <c r="E14" s="4">
        <v>13.149999999999999</v>
      </c>
      <c r="F14" s="4">
        <v>13.89</v>
      </c>
      <c r="I14" s="4">
        <v>0.98799995248016947</v>
      </c>
    </row>
    <row r="15" spans="1:9" x14ac:dyDescent="0.3">
      <c r="A15" s="4">
        <v>2008</v>
      </c>
      <c r="B15" s="4">
        <f t="shared" si="0"/>
        <v>57.84218017436767</v>
      </c>
      <c r="C15" s="4">
        <v>9.9600000000000009</v>
      </c>
      <c r="D15" s="4">
        <v>10.119999999999999</v>
      </c>
      <c r="E15" s="4">
        <v>11.2</v>
      </c>
      <c r="F15" s="4">
        <v>12.18</v>
      </c>
      <c r="G15" s="4">
        <v>0.21</v>
      </c>
      <c r="H15" s="4">
        <v>584.5</v>
      </c>
      <c r="I15" s="4">
        <v>0.99385121808408827</v>
      </c>
    </row>
    <row r="16" spans="1:9" x14ac:dyDescent="0.3">
      <c r="A16" s="4">
        <v>2007</v>
      </c>
      <c r="B16" s="4">
        <f>B15/(1+G15)</f>
        <v>47.803454689560056</v>
      </c>
      <c r="G16" s="4">
        <v>0.15</v>
      </c>
      <c r="H16" s="4">
        <v>372</v>
      </c>
      <c r="I16" s="4">
        <v>0.99669921817475982</v>
      </c>
    </row>
    <row r="17" spans="1:9" x14ac:dyDescent="0.3">
      <c r="A17" s="4">
        <v>2006</v>
      </c>
      <c r="B17" s="4">
        <f>B16/(1+G16)</f>
        <v>41.56822146918266</v>
      </c>
      <c r="G17" s="4">
        <v>0.3</v>
      </c>
      <c r="H17" s="4">
        <v>230.9</v>
      </c>
      <c r="I17" s="4">
        <v>0.99834722205031512</v>
      </c>
    </row>
    <row r="18" spans="1:9" x14ac:dyDescent="0.3">
      <c r="A18" s="4">
        <v>2005</v>
      </c>
      <c r="B18" s="4">
        <f>B17/(1+G17)</f>
        <v>31.975554976294355</v>
      </c>
      <c r="G18" s="4">
        <v>0.107</v>
      </c>
      <c r="H18" s="4">
        <v>141</v>
      </c>
      <c r="I18" s="4">
        <v>1</v>
      </c>
    </row>
    <row r="19" spans="1:9" x14ac:dyDescent="0.3">
      <c r="A19" s="4">
        <v>2004</v>
      </c>
      <c r="B19" s="4">
        <f>B18/(1+G18)</f>
        <v>28.884873510654341</v>
      </c>
      <c r="G19" s="4">
        <v>0.42</v>
      </c>
      <c r="H19" s="4">
        <v>86.1</v>
      </c>
      <c r="I19" s="4">
        <v>1</v>
      </c>
    </row>
    <row r="20" spans="1:9" x14ac:dyDescent="0.3">
      <c r="A20" s="4">
        <v>2003</v>
      </c>
      <c r="B20" s="4">
        <f>B19*H20/H19</f>
        <v>20.564956401894438</v>
      </c>
      <c r="H20" s="4">
        <v>61.3</v>
      </c>
      <c r="I20" s="4">
        <v>1</v>
      </c>
    </row>
    <row r="21" spans="1:9" x14ac:dyDescent="0.3">
      <c r="A21" s="4">
        <v>2002</v>
      </c>
      <c r="B21" s="4">
        <f>B20*H21/H20</f>
        <v>13.754701671740165</v>
      </c>
      <c r="H21" s="4">
        <v>41</v>
      </c>
      <c r="I21" s="4">
        <v>1</v>
      </c>
    </row>
    <row r="22" spans="1:9" x14ac:dyDescent="0.3">
      <c r="A22" s="4">
        <v>2001</v>
      </c>
      <c r="B22" s="4">
        <f t="shared" ref="B22:B28" si="1">B21*B21/B20</f>
        <v>9.1997188995325754</v>
      </c>
      <c r="I22" s="4">
        <v>1</v>
      </c>
    </row>
    <row r="23" spans="1:9" x14ac:dyDescent="0.3">
      <c r="A23" s="4">
        <v>2000</v>
      </c>
      <c r="B23" s="4">
        <f t="shared" si="1"/>
        <v>6.1531561970772533</v>
      </c>
      <c r="I23" s="4">
        <v>1</v>
      </c>
    </row>
    <row r="24" spans="1:9" x14ac:dyDescent="0.3">
      <c r="A24" s="4">
        <v>1999</v>
      </c>
      <c r="B24" s="4">
        <f t="shared" si="1"/>
        <v>4.1154878316503654</v>
      </c>
      <c r="I24" s="4">
        <v>1</v>
      </c>
    </row>
    <row r="25" spans="1:9" x14ac:dyDescent="0.3">
      <c r="A25" s="4">
        <v>1998</v>
      </c>
      <c r="B25" s="4">
        <f t="shared" si="1"/>
        <v>2.7526101320989396</v>
      </c>
      <c r="I25" s="4">
        <v>1</v>
      </c>
    </row>
    <row r="26" spans="1:9" x14ac:dyDescent="0.3">
      <c r="A26" s="4">
        <v>1997</v>
      </c>
      <c r="B26" s="4">
        <f t="shared" si="1"/>
        <v>1.8410606103761262</v>
      </c>
      <c r="I26" s="4">
        <v>1</v>
      </c>
    </row>
    <row r="27" spans="1:9" x14ac:dyDescent="0.3">
      <c r="A27" s="4">
        <v>1996</v>
      </c>
      <c r="B27" s="4">
        <f t="shared" si="1"/>
        <v>1.2313782222744076</v>
      </c>
      <c r="I27" s="4">
        <v>1</v>
      </c>
    </row>
    <row r="28" spans="1:9" x14ac:dyDescent="0.3">
      <c r="A28" s="4">
        <v>1995</v>
      </c>
      <c r="B28" s="4">
        <f t="shared" si="1"/>
        <v>0.82359717966151258</v>
      </c>
    </row>
    <row r="29" spans="1:9" x14ac:dyDescent="0.3">
      <c r="A29" s="4">
        <v>1994</v>
      </c>
    </row>
    <row r="30" spans="1:9" x14ac:dyDescent="0.3">
      <c r="A30" s="4">
        <v>1993</v>
      </c>
    </row>
    <row r="31" spans="1:9" x14ac:dyDescent="0.3">
      <c r="A31" s="4">
        <v>1992</v>
      </c>
    </row>
    <row r="32" spans="1:9" x14ac:dyDescent="0.3">
      <c r="A32" s="4">
        <v>1991</v>
      </c>
    </row>
    <row r="33" spans="1:1" x14ac:dyDescent="0.3">
      <c r="A33" s="4">
        <v>1990</v>
      </c>
    </row>
    <row r="34" spans="1:1" x14ac:dyDescent="0.3">
      <c r="A34" s="4">
        <v>1989</v>
      </c>
    </row>
    <row r="35" spans="1:1" x14ac:dyDescent="0.3">
      <c r="A35" s="4">
        <v>1988</v>
      </c>
    </row>
    <row r="36" spans="1:1" x14ac:dyDescent="0.3">
      <c r="A36" s="4">
        <v>1987</v>
      </c>
    </row>
    <row r="37" spans="1:1" x14ac:dyDescent="0.3">
      <c r="A37" s="4">
        <v>1986</v>
      </c>
    </row>
    <row r="38" spans="1:1" x14ac:dyDescent="0.3">
      <c r="A38" s="4">
        <v>1985</v>
      </c>
    </row>
    <row r="39" spans="1:1" x14ac:dyDescent="0.3">
      <c r="A39" s="4">
        <v>1984</v>
      </c>
    </row>
    <row r="40" spans="1:1" x14ac:dyDescent="0.3">
      <c r="A40" s="4">
        <v>1983</v>
      </c>
    </row>
    <row r="41" spans="1:1" x14ac:dyDescent="0.3">
      <c r="A41" s="4">
        <v>1982</v>
      </c>
    </row>
    <row r="42" spans="1:1" x14ac:dyDescent="0.3">
      <c r="A42" s="4">
        <v>1981</v>
      </c>
    </row>
    <row r="43" spans="1:1" x14ac:dyDescent="0.3">
      <c r="A43" s="4">
        <v>1980</v>
      </c>
    </row>
    <row r="44" spans="1:1" x14ac:dyDescent="0.3">
      <c r="A44" s="4">
        <v>1979</v>
      </c>
    </row>
    <row r="45" spans="1:1" x14ac:dyDescent="0.3">
      <c r="A45" s="4">
        <v>1978</v>
      </c>
    </row>
    <row r="46" spans="1:1" x14ac:dyDescent="0.3">
      <c r="A46" s="4">
        <v>1977</v>
      </c>
    </row>
    <row r="47" spans="1:1" x14ac:dyDescent="0.3">
      <c r="A47" s="4">
        <v>1976</v>
      </c>
    </row>
    <row r="48" spans="1:1" x14ac:dyDescent="0.3">
      <c r="A48" s="4">
        <v>1975</v>
      </c>
    </row>
    <row r="49" spans="1:1" x14ac:dyDescent="0.3">
      <c r="A49" s="4">
        <v>1974</v>
      </c>
    </row>
    <row r="50" spans="1:1" x14ac:dyDescent="0.3">
      <c r="A50" s="4">
        <v>1973</v>
      </c>
    </row>
    <row r="51" spans="1:1" x14ac:dyDescent="0.3">
      <c r="A51" s="4">
        <v>1972</v>
      </c>
    </row>
    <row r="52" spans="1:1" x14ac:dyDescent="0.3">
      <c r="A52" s="4">
        <v>1971</v>
      </c>
    </row>
    <row r="53" spans="1:1" x14ac:dyDescent="0.3">
      <c r="A53" s="4">
        <v>1970</v>
      </c>
    </row>
    <row r="54" spans="1:1" x14ac:dyDescent="0.3">
      <c r="A54" s="4">
        <v>1969</v>
      </c>
    </row>
    <row r="55" spans="1:1" x14ac:dyDescent="0.3">
      <c r="A55" s="4">
        <v>1968</v>
      </c>
    </row>
    <row r="56" spans="1:1" x14ac:dyDescent="0.3">
      <c r="A56" s="4">
        <v>1967</v>
      </c>
    </row>
    <row r="57" spans="1:1" x14ac:dyDescent="0.3">
      <c r="A57" s="4">
        <v>1966</v>
      </c>
    </row>
    <row r="58" spans="1:1" x14ac:dyDescent="0.3">
      <c r="A58" s="4">
        <v>1965</v>
      </c>
    </row>
    <row r="59" spans="1:1" x14ac:dyDescent="0.3">
      <c r="A59" s="4">
        <v>1964</v>
      </c>
    </row>
    <row r="60" spans="1:1" x14ac:dyDescent="0.3">
      <c r="A60" s="4">
        <v>1963</v>
      </c>
    </row>
    <row r="61" spans="1:1" x14ac:dyDescent="0.3">
      <c r="A61" s="4">
        <v>1962</v>
      </c>
    </row>
    <row r="62" spans="1:1" x14ac:dyDescent="0.3">
      <c r="A62" s="4">
        <v>1961</v>
      </c>
    </row>
    <row r="63" spans="1:1" x14ac:dyDescent="0.3">
      <c r="A63" s="4">
        <v>1960</v>
      </c>
    </row>
    <row r="64" spans="1:1" x14ac:dyDescent="0.3">
      <c r="A64" s="4">
        <v>1959</v>
      </c>
    </row>
    <row r="65" spans="1:1" x14ac:dyDescent="0.3">
      <c r="A65" s="4">
        <v>1958</v>
      </c>
    </row>
    <row r="66" spans="1:1" x14ac:dyDescent="0.3">
      <c r="A66" s="4">
        <v>1957</v>
      </c>
    </row>
    <row r="67" spans="1:1" x14ac:dyDescent="0.3">
      <c r="A67" s="4">
        <v>1956</v>
      </c>
    </row>
    <row r="68" spans="1:1" x14ac:dyDescent="0.3">
      <c r="A68" s="4">
        <v>1955</v>
      </c>
    </row>
    <row r="69" spans="1:1" x14ac:dyDescent="0.3">
      <c r="A69" s="4">
        <v>1954</v>
      </c>
    </row>
    <row r="70" spans="1:1" x14ac:dyDescent="0.3">
      <c r="A70" s="4">
        <v>1953</v>
      </c>
    </row>
    <row r="71" spans="1:1" x14ac:dyDescent="0.3">
      <c r="A71" s="4">
        <v>1952</v>
      </c>
    </row>
    <row r="72" spans="1:1" x14ac:dyDescent="0.3">
      <c r="A72" s="4">
        <v>1951</v>
      </c>
    </row>
    <row r="73" spans="1:1" x14ac:dyDescent="0.3">
      <c r="A73" s="4">
        <v>1950</v>
      </c>
    </row>
    <row r="74" spans="1:1" x14ac:dyDescent="0.3">
      <c r="A74" s="4">
        <v>1949</v>
      </c>
    </row>
    <row r="75" spans="1:1" x14ac:dyDescent="0.3">
      <c r="A75" s="4">
        <v>1948</v>
      </c>
    </row>
    <row r="76" spans="1:1" x14ac:dyDescent="0.3">
      <c r="A76" s="4">
        <v>1947</v>
      </c>
    </row>
    <row r="77" spans="1:1" x14ac:dyDescent="0.3">
      <c r="A77" s="4">
        <v>1946</v>
      </c>
    </row>
    <row r="78" spans="1:1" x14ac:dyDescent="0.3">
      <c r="A78" s="4">
        <v>1945</v>
      </c>
    </row>
    <row r="79" spans="1:1" x14ac:dyDescent="0.3">
      <c r="A79" s="4">
        <v>1944</v>
      </c>
    </row>
    <row r="80" spans="1:1" x14ac:dyDescent="0.3">
      <c r="A80" s="4">
        <v>1943</v>
      </c>
    </row>
    <row r="81" spans="1:1" x14ac:dyDescent="0.3">
      <c r="A81" s="4">
        <v>1942</v>
      </c>
    </row>
    <row r="82" spans="1:1" x14ac:dyDescent="0.3">
      <c r="A82" s="4">
        <v>1941</v>
      </c>
    </row>
    <row r="83" spans="1:1" x14ac:dyDescent="0.3">
      <c r="A83" s="4">
        <v>1940</v>
      </c>
    </row>
    <row r="84" spans="1:1" x14ac:dyDescent="0.3">
      <c r="A84" s="4">
        <v>1939</v>
      </c>
    </row>
    <row r="85" spans="1:1" x14ac:dyDescent="0.3">
      <c r="A85" s="4">
        <v>1938</v>
      </c>
    </row>
    <row r="86" spans="1:1" x14ac:dyDescent="0.3">
      <c r="A86" s="4">
        <v>1937</v>
      </c>
    </row>
    <row r="87" spans="1:1" x14ac:dyDescent="0.3">
      <c r="A87" s="4">
        <v>1936</v>
      </c>
    </row>
    <row r="88" spans="1:1" x14ac:dyDescent="0.3">
      <c r="A88" s="4">
        <v>1935</v>
      </c>
    </row>
    <row r="89" spans="1:1" x14ac:dyDescent="0.3">
      <c r="A89" s="4">
        <v>1934</v>
      </c>
    </row>
    <row r="90" spans="1:1" x14ac:dyDescent="0.3">
      <c r="A90" s="4">
        <v>1933</v>
      </c>
    </row>
    <row r="91" spans="1:1" x14ac:dyDescent="0.3">
      <c r="A91" s="4">
        <v>1932</v>
      </c>
    </row>
    <row r="92" spans="1:1" x14ac:dyDescent="0.3">
      <c r="A92" s="4">
        <v>1931</v>
      </c>
    </row>
    <row r="93" spans="1:1" x14ac:dyDescent="0.3">
      <c r="A93" s="4">
        <v>1930</v>
      </c>
    </row>
    <row r="94" spans="1:1" x14ac:dyDescent="0.3">
      <c r="A94" s="4">
        <v>1929</v>
      </c>
    </row>
    <row r="95" spans="1:1" x14ac:dyDescent="0.3">
      <c r="A95" s="4">
        <v>1928</v>
      </c>
    </row>
    <row r="96" spans="1:1" x14ac:dyDescent="0.3">
      <c r="A96" s="4">
        <v>1927</v>
      </c>
    </row>
    <row r="97" spans="1:1" x14ac:dyDescent="0.3">
      <c r="A97" s="4">
        <v>1926</v>
      </c>
    </row>
    <row r="98" spans="1:1" x14ac:dyDescent="0.3">
      <c r="A98" s="4">
        <v>1925</v>
      </c>
    </row>
    <row r="99" spans="1:1" x14ac:dyDescent="0.3">
      <c r="A99" s="4">
        <v>1924</v>
      </c>
    </row>
    <row r="100" spans="1:1" x14ac:dyDescent="0.3">
      <c r="A100" s="4">
        <v>1923</v>
      </c>
    </row>
    <row r="101" spans="1:1" x14ac:dyDescent="0.3">
      <c r="A101" s="4">
        <v>1922</v>
      </c>
    </row>
    <row r="102" spans="1:1" x14ac:dyDescent="0.3">
      <c r="A102" s="4">
        <v>1921</v>
      </c>
    </row>
    <row r="103" spans="1:1" x14ac:dyDescent="0.3">
      <c r="A103" s="4">
        <v>1920</v>
      </c>
    </row>
    <row r="104" spans="1:1" x14ac:dyDescent="0.3">
      <c r="A104" s="4">
        <v>1919</v>
      </c>
    </row>
    <row r="105" spans="1:1" x14ac:dyDescent="0.3">
      <c r="A105" s="4">
        <v>1918</v>
      </c>
    </row>
    <row r="106" spans="1:1" x14ac:dyDescent="0.3">
      <c r="A106" s="4">
        <v>1917</v>
      </c>
    </row>
    <row r="107" spans="1:1" x14ac:dyDescent="0.3">
      <c r="A107" s="4">
        <v>1916</v>
      </c>
    </row>
    <row r="108" spans="1:1" x14ac:dyDescent="0.3">
      <c r="A108" s="4">
        <v>1915</v>
      </c>
    </row>
    <row r="109" spans="1:1" x14ac:dyDescent="0.3">
      <c r="A109" s="4">
        <v>1914</v>
      </c>
    </row>
    <row r="110" spans="1:1" x14ac:dyDescent="0.3">
      <c r="A110" s="4">
        <v>1913</v>
      </c>
    </row>
    <row r="111" spans="1:1" x14ac:dyDescent="0.3">
      <c r="A111" s="4">
        <v>1912</v>
      </c>
    </row>
    <row r="112" spans="1:1" x14ac:dyDescent="0.3">
      <c r="A112" s="4">
        <v>1911</v>
      </c>
    </row>
    <row r="113" spans="1:1" x14ac:dyDescent="0.3">
      <c r="A113" s="4">
        <v>1910</v>
      </c>
    </row>
    <row r="114" spans="1:1" x14ac:dyDescent="0.3">
      <c r="A114" s="4">
        <v>1909</v>
      </c>
    </row>
    <row r="115" spans="1:1" x14ac:dyDescent="0.3">
      <c r="A115" s="4">
        <v>1908</v>
      </c>
    </row>
    <row r="116" spans="1:1" x14ac:dyDescent="0.3">
      <c r="A116" s="4">
        <v>1907</v>
      </c>
    </row>
    <row r="117" spans="1:1" x14ac:dyDescent="0.3">
      <c r="A117" s="4">
        <v>1906</v>
      </c>
    </row>
    <row r="118" spans="1:1" x14ac:dyDescent="0.3">
      <c r="A118" s="4">
        <v>1905</v>
      </c>
    </row>
    <row r="119" spans="1:1" x14ac:dyDescent="0.3">
      <c r="A119" s="4">
        <v>1904</v>
      </c>
    </row>
    <row r="120" spans="1:1" x14ac:dyDescent="0.3">
      <c r="A120" s="4">
        <v>1903</v>
      </c>
    </row>
    <row r="121" spans="1:1" x14ac:dyDescent="0.3">
      <c r="A121" s="4">
        <v>1902</v>
      </c>
    </row>
    <row r="122" spans="1:1" x14ac:dyDescent="0.3">
      <c r="A122" s="4">
        <v>1901</v>
      </c>
    </row>
    <row r="123" spans="1:1" x14ac:dyDescent="0.3">
      <c r="A123" s="4">
        <v>1900</v>
      </c>
    </row>
  </sheetData>
  <mergeCells count="1">
    <mergeCell ref="B1:I1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75AA-1BBB-4444-939B-C33834D291EC}">
  <dimension ref="A1:M113"/>
  <sheetViews>
    <sheetView topLeftCell="A29" workbookViewId="0">
      <selection activeCell="B40" sqref="B40"/>
    </sheetView>
  </sheetViews>
  <sheetFormatPr defaultRowHeight="14.4" x14ac:dyDescent="0.3"/>
  <sheetData>
    <row r="1" spans="1:13" x14ac:dyDescent="0.3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4" t="s">
        <v>21</v>
      </c>
      <c r="B2" s="4" t="s">
        <v>165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3">
      <c r="A3" s="4" t="s">
        <v>24</v>
      </c>
      <c r="B3" s="4" t="s">
        <v>166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">
      <c r="A4" s="4" t="s">
        <v>52</v>
      </c>
      <c r="B4" s="4" t="s">
        <v>68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">
      <c r="A5" s="4" t="s">
        <v>54</v>
      </c>
      <c r="B5" s="4" t="s">
        <v>68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3">
      <c r="A6" s="4" t="s">
        <v>30</v>
      </c>
      <c r="B6" s="4">
        <v>199506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3">
      <c r="A8" s="4" t="s">
        <v>31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3">
      <c r="A9" s="4" t="s">
        <v>32</v>
      </c>
      <c r="B9" s="4" t="s">
        <v>33</v>
      </c>
      <c r="C9" s="4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</row>
    <row r="10" spans="1:13" x14ac:dyDescent="0.3">
      <c r="A10" s="4">
        <v>1995</v>
      </c>
      <c r="B10" s="4"/>
      <c r="C10" s="4"/>
      <c r="D10" s="4"/>
      <c r="E10" s="4"/>
      <c r="F10" s="4"/>
      <c r="G10" s="4">
        <v>100</v>
      </c>
      <c r="H10" s="4">
        <v>100.4</v>
      </c>
      <c r="I10" s="4">
        <v>100.5</v>
      </c>
      <c r="J10" s="4">
        <v>100.5</v>
      </c>
      <c r="K10" s="4">
        <v>100.6</v>
      </c>
      <c r="L10" s="4">
        <v>100.9</v>
      </c>
      <c r="M10" s="4">
        <v>100.2</v>
      </c>
    </row>
    <row r="11" spans="1:13" x14ac:dyDescent="0.3">
      <c r="A11" s="4">
        <v>1996</v>
      </c>
      <c r="B11" s="4">
        <v>101.3</v>
      </c>
      <c r="C11" s="4">
        <v>101.6</v>
      </c>
      <c r="D11" s="4">
        <v>101.5</v>
      </c>
      <c r="E11" s="4">
        <v>101.6</v>
      </c>
      <c r="F11" s="4">
        <v>101.6</v>
      </c>
      <c r="G11" s="4">
        <v>101.8</v>
      </c>
      <c r="H11" s="4">
        <v>101.8</v>
      </c>
      <c r="I11" s="4">
        <v>102</v>
      </c>
      <c r="J11" s="4">
        <v>101.9</v>
      </c>
      <c r="K11" s="4">
        <v>101.9</v>
      </c>
      <c r="L11" s="4">
        <v>101.7</v>
      </c>
      <c r="M11" s="4">
        <v>101.9</v>
      </c>
    </row>
    <row r="12" spans="1:13" x14ac:dyDescent="0.3">
      <c r="A12" s="4">
        <v>1997</v>
      </c>
      <c r="B12" s="4">
        <v>102.3</v>
      </c>
      <c r="C12" s="4">
        <v>102.7</v>
      </c>
      <c r="D12" s="4">
        <v>102.8</v>
      </c>
      <c r="E12" s="4">
        <v>102.8</v>
      </c>
      <c r="F12" s="4">
        <v>104</v>
      </c>
      <c r="G12" s="4">
        <v>104.2</v>
      </c>
      <c r="H12" s="4">
        <v>104.2</v>
      </c>
      <c r="I12" s="4">
        <v>104.2</v>
      </c>
      <c r="J12" s="4">
        <v>104.2</v>
      </c>
      <c r="K12" s="4">
        <v>104.6</v>
      </c>
      <c r="L12" s="4">
        <v>104.7</v>
      </c>
      <c r="M12" s="4">
        <v>104.4</v>
      </c>
    </row>
    <row r="13" spans="1:13" x14ac:dyDescent="0.3">
      <c r="A13" s="4">
        <v>1998</v>
      </c>
      <c r="B13" s="4">
        <v>104.9</v>
      </c>
      <c r="C13" s="4">
        <v>105.1</v>
      </c>
      <c r="D13" s="4">
        <v>105.3</v>
      </c>
      <c r="E13" s="4">
        <v>105.2</v>
      </c>
      <c r="F13" s="4">
        <v>105.3</v>
      </c>
      <c r="G13" s="4">
        <v>105.3</v>
      </c>
      <c r="H13" s="4">
        <v>104.7</v>
      </c>
      <c r="I13" s="4">
        <v>105.4</v>
      </c>
      <c r="J13" s="4">
        <v>105.6</v>
      </c>
      <c r="K13" s="4">
        <v>105.5</v>
      </c>
      <c r="L13" s="4">
        <v>105.5</v>
      </c>
      <c r="M13" s="4">
        <v>105.8</v>
      </c>
    </row>
    <row r="14" spans="1:13" x14ac:dyDescent="0.3">
      <c r="A14" s="4">
        <v>1999</v>
      </c>
      <c r="B14" s="4">
        <v>106.8</v>
      </c>
      <c r="C14" s="4">
        <v>106.8</v>
      </c>
      <c r="D14" s="4">
        <v>107.2</v>
      </c>
      <c r="E14" s="4">
        <v>107.1</v>
      </c>
      <c r="F14" s="4">
        <v>107.2</v>
      </c>
      <c r="G14" s="4">
        <v>107.3</v>
      </c>
      <c r="H14" s="4">
        <v>107.3</v>
      </c>
      <c r="I14" s="4">
        <v>107.4</v>
      </c>
      <c r="J14" s="4">
        <v>107.6</v>
      </c>
      <c r="K14" s="4">
        <v>107.6</v>
      </c>
      <c r="L14" s="4">
        <v>108.2</v>
      </c>
      <c r="M14" s="4">
        <v>108.8</v>
      </c>
    </row>
    <row r="15" spans="1:13" x14ac:dyDescent="0.3">
      <c r="A15" s="4">
        <v>2000</v>
      </c>
      <c r="B15" s="4">
        <v>108.7</v>
      </c>
      <c r="C15" s="4">
        <v>108.9</v>
      </c>
      <c r="D15" s="4">
        <v>108.9</v>
      </c>
      <c r="E15" s="4">
        <v>109.1</v>
      </c>
      <c r="F15" s="4">
        <v>109.2</v>
      </c>
      <c r="G15" s="4">
        <v>109.7</v>
      </c>
      <c r="H15" s="4">
        <v>109.6</v>
      </c>
      <c r="I15" s="4">
        <v>109.7</v>
      </c>
      <c r="J15" s="4">
        <v>109.7</v>
      </c>
      <c r="K15" s="4">
        <v>113.1</v>
      </c>
      <c r="L15" s="4">
        <v>113</v>
      </c>
      <c r="M15" s="4">
        <v>113.1</v>
      </c>
    </row>
    <row r="16" spans="1:13" x14ac:dyDescent="0.3">
      <c r="A16" s="4">
        <v>2001</v>
      </c>
      <c r="B16" s="4">
        <v>114.4</v>
      </c>
      <c r="C16" s="4">
        <v>115.4</v>
      </c>
      <c r="D16" s="4">
        <v>117.1</v>
      </c>
      <c r="E16" s="4">
        <v>117</v>
      </c>
      <c r="F16" s="4">
        <v>116.3</v>
      </c>
      <c r="G16" s="4">
        <v>116.4</v>
      </c>
      <c r="H16" s="4">
        <v>116.6</v>
      </c>
      <c r="I16" s="4">
        <v>116.5</v>
      </c>
      <c r="J16" s="4">
        <v>116.5</v>
      </c>
      <c r="K16" s="4">
        <v>116.4</v>
      </c>
      <c r="L16" s="4">
        <v>115.7</v>
      </c>
      <c r="M16" s="4">
        <v>115.9</v>
      </c>
    </row>
    <row r="17" spans="1:13" x14ac:dyDescent="0.3">
      <c r="A17" s="4">
        <v>2002</v>
      </c>
      <c r="B17" s="4">
        <v>116.7</v>
      </c>
      <c r="C17" s="4">
        <v>116.9</v>
      </c>
      <c r="D17" s="4">
        <v>116.8</v>
      </c>
      <c r="E17" s="4">
        <v>118.3</v>
      </c>
      <c r="F17" s="4">
        <v>118.3</v>
      </c>
      <c r="G17" s="4">
        <v>119.7</v>
      </c>
      <c r="H17" s="4">
        <v>119.9</v>
      </c>
      <c r="I17" s="4">
        <v>119.7</v>
      </c>
      <c r="J17" s="4">
        <v>120.1</v>
      </c>
      <c r="K17" s="4">
        <v>120</v>
      </c>
      <c r="L17" s="4">
        <v>120.3</v>
      </c>
      <c r="M17" s="4">
        <v>120.1</v>
      </c>
    </row>
    <row r="18" spans="1:13" x14ac:dyDescent="0.3">
      <c r="A18" s="4">
        <v>2003</v>
      </c>
      <c r="B18" s="4">
        <v>120.5</v>
      </c>
      <c r="C18" s="4">
        <v>120.6</v>
      </c>
      <c r="D18" s="4">
        <v>121</v>
      </c>
      <c r="E18" s="4">
        <v>120.8</v>
      </c>
      <c r="F18" s="4">
        <v>120.7</v>
      </c>
      <c r="G18" s="4">
        <v>120.7</v>
      </c>
      <c r="H18" s="4">
        <v>120.8</v>
      </c>
      <c r="I18" s="4">
        <v>121.2</v>
      </c>
      <c r="J18" s="4">
        <v>121.2</v>
      </c>
      <c r="K18" s="4">
        <v>121.2</v>
      </c>
      <c r="L18" s="4">
        <v>121.2</v>
      </c>
      <c r="M18" s="4">
        <v>121.2</v>
      </c>
    </row>
    <row r="19" spans="1:13" x14ac:dyDescent="0.3">
      <c r="A19" s="4">
        <v>2004</v>
      </c>
      <c r="B19" s="4">
        <v>120.7</v>
      </c>
      <c r="C19" s="4">
        <v>120.8</v>
      </c>
      <c r="D19" s="4">
        <v>121</v>
      </c>
      <c r="E19" s="4">
        <v>121.1</v>
      </c>
      <c r="F19" s="4">
        <v>121.1</v>
      </c>
      <c r="G19" s="4">
        <v>121.1</v>
      </c>
      <c r="H19" s="4">
        <v>121.3</v>
      </c>
      <c r="I19" s="4">
        <v>121.6</v>
      </c>
      <c r="J19" s="4">
        <v>121.7</v>
      </c>
      <c r="K19" s="4">
        <v>121.6</v>
      </c>
      <c r="L19" s="4">
        <v>121.9</v>
      </c>
      <c r="M19" s="4">
        <v>121.9</v>
      </c>
    </row>
    <row r="20" spans="1:13" x14ac:dyDescent="0.3">
      <c r="A20" s="4">
        <v>2005</v>
      </c>
      <c r="B20" s="4">
        <v>122.2</v>
      </c>
      <c r="C20" s="4">
        <v>122.4</v>
      </c>
      <c r="D20" s="4">
        <v>122.3</v>
      </c>
      <c r="E20" s="4">
        <v>122.2</v>
      </c>
      <c r="F20" s="4">
        <v>122.8</v>
      </c>
      <c r="G20" s="4">
        <v>123.1</v>
      </c>
      <c r="H20" s="4">
        <v>123</v>
      </c>
      <c r="I20" s="4">
        <v>123.3</v>
      </c>
      <c r="J20" s="4">
        <v>123.4</v>
      </c>
      <c r="K20" s="4">
        <v>123.4</v>
      </c>
      <c r="L20" s="4">
        <v>123.4</v>
      </c>
      <c r="M20" s="4">
        <v>123.6</v>
      </c>
    </row>
    <row r="21" spans="1:13" x14ac:dyDescent="0.3">
      <c r="A21" s="4">
        <v>2006</v>
      </c>
      <c r="B21" s="4">
        <v>125.1</v>
      </c>
      <c r="C21" s="4">
        <v>125.5</v>
      </c>
      <c r="D21" s="4">
        <v>125.6</v>
      </c>
      <c r="E21" s="4">
        <v>125.5</v>
      </c>
      <c r="F21" s="4">
        <v>125.5</v>
      </c>
      <c r="G21" s="4">
        <v>125.5</v>
      </c>
      <c r="H21" s="4">
        <v>127</v>
      </c>
      <c r="I21" s="4">
        <v>127</v>
      </c>
      <c r="J21" s="4">
        <v>127</v>
      </c>
      <c r="K21" s="4">
        <v>127</v>
      </c>
      <c r="L21" s="4">
        <v>127</v>
      </c>
      <c r="M21" s="4">
        <v>127</v>
      </c>
    </row>
    <row r="22" spans="1:13" x14ac:dyDescent="0.3">
      <c r="A22" s="4">
        <v>2007</v>
      </c>
      <c r="B22" s="4">
        <v>126.6</v>
      </c>
      <c r="C22" s="4">
        <v>126.6</v>
      </c>
      <c r="D22" s="4">
        <v>127.4</v>
      </c>
      <c r="E22" s="4">
        <v>127.4</v>
      </c>
      <c r="F22" s="4">
        <v>127.4</v>
      </c>
      <c r="G22" s="4">
        <v>127.4</v>
      </c>
      <c r="H22" s="4">
        <v>127.4</v>
      </c>
      <c r="I22" s="4">
        <v>127.4</v>
      </c>
      <c r="J22" s="4">
        <v>127.4</v>
      </c>
      <c r="K22" s="4">
        <v>127.4</v>
      </c>
      <c r="L22" s="4">
        <v>127.4</v>
      </c>
      <c r="M22" s="4">
        <v>127.4</v>
      </c>
    </row>
    <row r="23" spans="1:13" x14ac:dyDescent="0.3">
      <c r="A23" s="4">
        <v>2008</v>
      </c>
      <c r="B23" s="4">
        <v>127.5</v>
      </c>
      <c r="C23" s="4">
        <v>127.7</v>
      </c>
      <c r="D23" s="4">
        <v>127.7</v>
      </c>
      <c r="E23" s="4">
        <v>128.1</v>
      </c>
      <c r="F23" s="4">
        <v>128.80000000000001</v>
      </c>
      <c r="G23" s="4">
        <v>128.80000000000001</v>
      </c>
      <c r="H23" s="4">
        <v>128.80000000000001</v>
      </c>
      <c r="I23" s="4">
        <v>128.80000000000001</v>
      </c>
      <c r="J23" s="4">
        <v>128.80000000000001</v>
      </c>
      <c r="K23" s="4">
        <v>128.80000000000001</v>
      </c>
      <c r="L23" s="4">
        <v>128.80000000000001</v>
      </c>
      <c r="M23" s="4">
        <v>128.80000000000001</v>
      </c>
    </row>
    <row r="24" spans="1:13" x14ac:dyDescent="0.3">
      <c r="A24" s="4">
        <v>2009</v>
      </c>
      <c r="B24" s="4">
        <v>128</v>
      </c>
      <c r="C24" s="4">
        <v>127.8</v>
      </c>
      <c r="D24" s="4">
        <v>127.7</v>
      </c>
      <c r="E24" s="4">
        <v>127.6</v>
      </c>
      <c r="F24" s="4">
        <v>127.8</v>
      </c>
      <c r="G24" s="4">
        <v>127.7</v>
      </c>
      <c r="H24" s="4">
        <v>127.7</v>
      </c>
      <c r="I24" s="4">
        <v>127.2</v>
      </c>
      <c r="J24" s="4">
        <v>127</v>
      </c>
      <c r="K24" s="4">
        <v>126.8</v>
      </c>
      <c r="L24" s="4">
        <v>127</v>
      </c>
      <c r="M24" s="4">
        <v>126.9</v>
      </c>
    </row>
    <row r="25" spans="1:13" x14ac:dyDescent="0.3">
      <c r="A25" s="4">
        <v>2010</v>
      </c>
      <c r="B25" s="4">
        <v>127</v>
      </c>
      <c r="C25" s="4">
        <v>127</v>
      </c>
      <c r="D25" s="4">
        <v>127</v>
      </c>
      <c r="E25" s="4">
        <v>127</v>
      </c>
      <c r="F25" s="4">
        <v>127</v>
      </c>
      <c r="G25" s="4">
        <v>127</v>
      </c>
      <c r="H25" s="4">
        <v>127.7</v>
      </c>
      <c r="I25" s="4">
        <v>127.7</v>
      </c>
      <c r="J25" s="4">
        <v>127.7</v>
      </c>
      <c r="K25" s="4">
        <v>127.6</v>
      </c>
      <c r="L25" s="4">
        <v>127.7</v>
      </c>
      <c r="M25" s="4">
        <v>127.7</v>
      </c>
    </row>
    <row r="26" spans="1:13" x14ac:dyDescent="0.3">
      <c r="A26" s="4">
        <v>2011</v>
      </c>
      <c r="B26" s="4">
        <v>127.8</v>
      </c>
      <c r="C26" s="4">
        <v>127.7</v>
      </c>
      <c r="D26" s="4">
        <v>128.19999999999999</v>
      </c>
      <c r="E26" s="4">
        <v>127.9</v>
      </c>
      <c r="F26" s="4">
        <v>128</v>
      </c>
      <c r="G26" s="4">
        <v>128</v>
      </c>
      <c r="H26" s="4">
        <v>128.80000000000001</v>
      </c>
      <c r="I26" s="4">
        <v>128.9</v>
      </c>
      <c r="J26" s="4">
        <v>128.9</v>
      </c>
      <c r="K26" s="4">
        <v>128.80000000000001</v>
      </c>
      <c r="L26" s="4">
        <v>128.80000000000001</v>
      </c>
      <c r="M26" s="4">
        <v>128.9</v>
      </c>
    </row>
    <row r="27" spans="1:13" x14ac:dyDescent="0.3">
      <c r="A27" s="4">
        <v>2012</v>
      </c>
      <c r="B27" s="4">
        <v>129.19999999999999</v>
      </c>
      <c r="C27" s="4">
        <v>129.6</v>
      </c>
      <c r="D27" s="4">
        <v>129.69999999999999</v>
      </c>
      <c r="E27" s="4">
        <v>129.5</v>
      </c>
      <c r="F27" s="4">
        <v>130.30000000000001</v>
      </c>
      <c r="G27" s="4">
        <v>130.30000000000001</v>
      </c>
      <c r="H27" s="4">
        <v>130.5</v>
      </c>
      <c r="I27" s="4">
        <v>130.69999999999999</v>
      </c>
      <c r="J27" s="4">
        <v>130.80000000000001</v>
      </c>
      <c r="K27" s="4">
        <v>130.80000000000001</v>
      </c>
      <c r="L27" s="4">
        <v>130.69999999999999</v>
      </c>
      <c r="M27" s="4">
        <v>130.69999999999999</v>
      </c>
    </row>
    <row r="28" spans="1:13" x14ac:dyDescent="0.3">
      <c r="A28" s="4">
        <v>2013</v>
      </c>
      <c r="B28" s="4">
        <v>131.4</v>
      </c>
      <c r="C28" s="4">
        <v>131.5</v>
      </c>
      <c r="D28" s="4">
        <v>132.1</v>
      </c>
      <c r="E28" s="4">
        <v>132.19999999999999</v>
      </c>
      <c r="F28" s="4">
        <v>132.1</v>
      </c>
      <c r="G28" s="4">
        <v>132.30000000000001</v>
      </c>
      <c r="H28" s="4">
        <v>132.4</v>
      </c>
      <c r="I28" s="4">
        <v>132.30000000000001</v>
      </c>
      <c r="J28" s="4">
        <v>132.5</v>
      </c>
      <c r="K28" s="4">
        <v>132.6</v>
      </c>
      <c r="L28" s="4">
        <v>132.6</v>
      </c>
      <c r="M28" s="4">
        <v>132.69999999999999</v>
      </c>
    </row>
    <row r="29" spans="1:13" x14ac:dyDescent="0.3">
      <c r="A29" s="4">
        <v>2014</v>
      </c>
      <c r="B29" s="4">
        <v>134.5</v>
      </c>
      <c r="C29" s="4">
        <v>134.6</v>
      </c>
      <c r="D29" s="4">
        <v>134.19999999999999</v>
      </c>
      <c r="E29" s="4">
        <v>134.4</v>
      </c>
      <c r="F29" s="4">
        <v>134.5</v>
      </c>
      <c r="G29" s="4">
        <v>134.19999999999999</v>
      </c>
      <c r="H29" s="4">
        <v>134.5</v>
      </c>
      <c r="I29" s="4">
        <v>134.6</v>
      </c>
      <c r="J29" s="4">
        <v>134.80000000000001</v>
      </c>
      <c r="K29" s="4">
        <v>136.80000000000001</v>
      </c>
      <c r="L29" s="4">
        <v>136.80000000000001</v>
      </c>
      <c r="M29" s="4">
        <v>136.5</v>
      </c>
    </row>
    <row r="30" spans="1:13" x14ac:dyDescent="0.3">
      <c r="A30" s="4">
        <v>2015</v>
      </c>
      <c r="B30" s="4">
        <v>136.5</v>
      </c>
      <c r="C30" s="4">
        <v>136.6</v>
      </c>
      <c r="D30" s="4">
        <v>136.4</v>
      </c>
      <c r="E30" s="4">
        <v>136.4</v>
      </c>
      <c r="F30" s="4">
        <v>136.30000000000001</v>
      </c>
      <c r="G30" s="4">
        <v>136.1</v>
      </c>
      <c r="H30" s="4">
        <v>136.80000000000001</v>
      </c>
      <c r="I30" s="4">
        <v>136.9</v>
      </c>
      <c r="J30" s="4">
        <v>137.30000000000001</v>
      </c>
      <c r="K30" s="4">
        <v>137.4</v>
      </c>
      <c r="L30" s="4">
        <v>137.1</v>
      </c>
      <c r="M30" s="4">
        <v>137.19999999999999</v>
      </c>
    </row>
    <row r="31" spans="1:13" x14ac:dyDescent="0.3">
      <c r="A31" s="4">
        <v>2016</v>
      </c>
      <c r="B31" s="4">
        <v>137.9</v>
      </c>
      <c r="C31" s="4">
        <v>138.1</v>
      </c>
      <c r="D31" s="4">
        <v>137.80000000000001</v>
      </c>
      <c r="E31" s="4">
        <v>137.6</v>
      </c>
      <c r="F31" s="4">
        <v>138.19999999999999</v>
      </c>
      <c r="G31" s="4">
        <v>138.30000000000001</v>
      </c>
      <c r="H31" s="4">
        <v>138.1</v>
      </c>
      <c r="I31" s="4">
        <v>137.9</v>
      </c>
      <c r="J31" s="4">
        <v>138</v>
      </c>
      <c r="K31" s="4">
        <v>138.1</v>
      </c>
      <c r="L31" s="4">
        <v>138.6</v>
      </c>
      <c r="M31" s="4">
        <v>138.80000000000001</v>
      </c>
    </row>
    <row r="32" spans="1:13" x14ac:dyDescent="0.3">
      <c r="A32" s="4">
        <v>2017</v>
      </c>
      <c r="B32" s="4">
        <v>139</v>
      </c>
      <c r="C32" s="4">
        <v>139.1</v>
      </c>
      <c r="D32" s="4">
        <v>139.1</v>
      </c>
      <c r="E32" s="4">
        <v>139.1</v>
      </c>
      <c r="F32" s="4">
        <v>139.4</v>
      </c>
      <c r="G32" s="4">
        <v>139.30000000000001</v>
      </c>
      <c r="H32" s="4">
        <v>139.4</v>
      </c>
      <c r="I32" s="4">
        <v>139.4</v>
      </c>
      <c r="J32" s="4">
        <v>139.19999999999999</v>
      </c>
      <c r="K32" s="4">
        <v>139.30000000000001</v>
      </c>
      <c r="L32" s="4">
        <v>139.6</v>
      </c>
      <c r="M32" s="4">
        <v>139.6</v>
      </c>
    </row>
    <row r="33" spans="1:13" x14ac:dyDescent="0.3">
      <c r="A33" s="4">
        <v>2018</v>
      </c>
      <c r="B33" s="4">
        <v>139.6</v>
      </c>
      <c r="C33" s="4">
        <v>139.9</v>
      </c>
      <c r="D33" s="4">
        <v>139.80000000000001</v>
      </c>
      <c r="E33" s="4">
        <v>139.6</v>
      </c>
      <c r="F33" s="4">
        <v>139.5</v>
      </c>
      <c r="G33" s="4">
        <v>139.6</v>
      </c>
      <c r="H33" s="4">
        <v>139.80000000000001</v>
      </c>
      <c r="I33" s="4">
        <v>139.80000000000001</v>
      </c>
      <c r="J33" s="4">
        <v>139.80000000000001</v>
      </c>
      <c r="K33" s="4">
        <v>139.80000000000001</v>
      </c>
      <c r="L33" s="4">
        <v>139.69999999999999</v>
      </c>
      <c r="M33" s="4">
        <v>139.80000000000001</v>
      </c>
    </row>
    <row r="34" spans="1:13" x14ac:dyDescent="0.3">
      <c r="A34" s="4">
        <v>2019</v>
      </c>
      <c r="B34" s="4">
        <v>140.5</v>
      </c>
      <c r="C34" s="4">
        <v>140.4</v>
      </c>
      <c r="D34" s="4">
        <v>140.4</v>
      </c>
      <c r="E34" s="4">
        <v>140.5</v>
      </c>
      <c r="F34" s="4">
        <v>140.4</v>
      </c>
      <c r="G34" s="4">
        <v>140.4</v>
      </c>
      <c r="H34" s="4">
        <v>141.30000000000001</v>
      </c>
      <c r="I34" s="4">
        <v>141.30000000000001</v>
      </c>
      <c r="J34" s="4">
        <v>141.30000000000001</v>
      </c>
      <c r="K34" s="4">
        <v>141.19999999999999</v>
      </c>
      <c r="L34" s="4">
        <v>141.30000000000001</v>
      </c>
      <c r="M34" s="4">
        <v>141.5</v>
      </c>
    </row>
    <row r="35" spans="1:13" x14ac:dyDescent="0.3">
      <c r="A35" s="4">
        <v>2020</v>
      </c>
      <c r="B35" s="4">
        <v>139.19999999999999</v>
      </c>
      <c r="C35" s="4">
        <v>139.30000000000001</v>
      </c>
      <c r="D35" s="4">
        <v>138.80000000000001</v>
      </c>
      <c r="E35" s="4">
        <v>139</v>
      </c>
      <c r="F35" s="4">
        <v>138.4</v>
      </c>
      <c r="G35" s="4">
        <v>137.80000000000001</v>
      </c>
      <c r="H35" s="4">
        <v>137.6</v>
      </c>
      <c r="I35" s="4">
        <v>137.1</v>
      </c>
      <c r="J35" s="4">
        <v>137.9</v>
      </c>
      <c r="K35" s="4">
        <v>138.1</v>
      </c>
      <c r="L35" s="4">
        <v>138.30000000000001</v>
      </c>
      <c r="M35" s="4">
        <v>138.4</v>
      </c>
    </row>
    <row r="36" spans="1:13" x14ac:dyDescent="0.3">
      <c r="A36" s="4">
        <v>2021</v>
      </c>
      <c r="B36" s="4">
        <v>138.4</v>
      </c>
      <c r="C36" s="4">
        <v>138.30000000000001</v>
      </c>
      <c r="D36" s="4">
        <v>138.1</v>
      </c>
      <c r="E36" s="4">
        <v>138.1</v>
      </c>
      <c r="F36" s="4">
        <v>138.30000000000001</v>
      </c>
      <c r="G36" s="4">
        <v>138.4</v>
      </c>
      <c r="H36" s="4">
        <v>138.483</v>
      </c>
      <c r="I36" s="4">
        <v>138.35300000000001</v>
      </c>
      <c r="J36" s="4">
        <v>138.358</v>
      </c>
      <c r="K36" s="4">
        <v>134.953</v>
      </c>
      <c r="L36" s="4">
        <v>141.00800000000001</v>
      </c>
      <c r="M36" s="4">
        <v>143.024</v>
      </c>
    </row>
    <row r="37" spans="1:13" x14ac:dyDescent="0.3">
      <c r="A37" s="4">
        <v>2022</v>
      </c>
      <c r="B37" s="4">
        <v>146.01300000000001</v>
      </c>
      <c r="C37" s="4">
        <v>147.91399999999999</v>
      </c>
      <c r="D37" s="4">
        <v>148.12700000000001</v>
      </c>
      <c r="E37" s="4">
        <v>148.80000000000001</v>
      </c>
      <c r="F37" s="4">
        <v>148.846</v>
      </c>
      <c r="G37" s="4">
        <v>148.91499999999999</v>
      </c>
      <c r="H37" s="4">
        <v>149.35499999999999</v>
      </c>
      <c r="I37" s="4">
        <v>149.22499999999999</v>
      </c>
      <c r="J37" s="4">
        <v>149.161</v>
      </c>
      <c r="K37" s="4">
        <v>149.14099999999999</v>
      </c>
      <c r="L37" s="4">
        <v>149.23699999999999</v>
      </c>
      <c r="M37" s="4">
        <v>149.26900000000001</v>
      </c>
    </row>
    <row r="38" spans="1:13" x14ac:dyDescent="0.3">
      <c r="A38" s="4">
        <v>2023</v>
      </c>
      <c r="B38" s="4">
        <v>149.40600000000001</v>
      </c>
      <c r="C38" s="4">
        <v>149.87</v>
      </c>
      <c r="D38" s="4">
        <v>150.27600000000001</v>
      </c>
      <c r="E38" s="4" t="s">
        <v>167</v>
      </c>
      <c r="F38" s="4" t="s">
        <v>168</v>
      </c>
      <c r="G38" s="4" t="s">
        <v>169</v>
      </c>
      <c r="H38" s="4" t="s">
        <v>170</v>
      </c>
      <c r="I38" s="4"/>
      <c r="J38" s="4"/>
      <c r="K38" s="4"/>
      <c r="L38" s="4"/>
      <c r="M38" s="4"/>
    </row>
    <row r="39" spans="1:13" x14ac:dyDescent="0.3">
      <c r="A39" t="s">
        <v>46</v>
      </c>
    </row>
    <row r="40" spans="1:13" x14ac:dyDescent="0.3">
      <c r="A40" s="4"/>
      <c r="B40" s="4" t="s">
        <v>112</v>
      </c>
    </row>
    <row r="41" spans="1:13" x14ac:dyDescent="0.3">
      <c r="A41" s="4"/>
      <c r="B41" s="4" t="s">
        <v>111</v>
      </c>
      <c r="C41" s="17">
        <v>731</v>
      </c>
      <c r="D41" s="4" t="s">
        <v>12</v>
      </c>
    </row>
    <row r="42" spans="1:13" x14ac:dyDescent="0.3">
      <c r="A42" s="4">
        <v>1987</v>
      </c>
      <c r="B42" s="4">
        <f>'[8]87SIC_GO_C _Price Indexes'!$D$214</f>
        <v>67.727000000000004</v>
      </c>
    </row>
    <row r="43" spans="1:13" x14ac:dyDescent="0.3">
      <c r="A43" s="4">
        <v>1988</v>
      </c>
      <c r="B43" s="4">
        <f>'[8]87SIC_GO_C _Price Indexes'!$E$214</f>
        <v>71.459999999999994</v>
      </c>
    </row>
    <row r="44" spans="1:13" x14ac:dyDescent="0.3">
      <c r="A44" s="4">
        <v>1989</v>
      </c>
      <c r="B44" s="4">
        <f>'[8]87SIC_GO_C _Price Indexes'!$F$214</f>
        <v>75.192999999999998</v>
      </c>
    </row>
    <row r="45" spans="1:13" x14ac:dyDescent="0.3">
      <c r="A45" s="4">
        <v>1990</v>
      </c>
      <c r="B45" s="4">
        <f>'[8]87SIC_GO_C _Price Indexes'!$G$214</f>
        <v>77.86</v>
      </c>
    </row>
    <row r="46" spans="1:13" x14ac:dyDescent="0.3">
      <c r="A46" s="4">
        <v>1991</v>
      </c>
      <c r="B46" s="4">
        <f>'[8]87SIC_GO_C _Price Indexes'!$H$214</f>
        <v>78.926000000000002</v>
      </c>
    </row>
    <row r="47" spans="1:13" x14ac:dyDescent="0.3">
      <c r="A47" s="4">
        <v>1992</v>
      </c>
      <c r="B47" s="4">
        <f>'[8]87SIC_GO_C _Price Indexes'!$I$214</f>
        <v>79.992999999999995</v>
      </c>
    </row>
    <row r="48" spans="1:13" x14ac:dyDescent="0.3">
      <c r="A48" s="4">
        <v>1993</v>
      </c>
      <c r="B48" s="4">
        <f>'[8]87SIC_GO_C _Price Indexes'!$J$214</f>
        <v>82.021000000000001</v>
      </c>
    </row>
    <row r="49" spans="1:2" x14ac:dyDescent="0.3">
      <c r="A49" s="4">
        <v>1994</v>
      </c>
      <c r="B49" s="4">
        <f>'[8]87SIC_GO_C _Price Indexes'!$K$214</f>
        <v>85.756</v>
      </c>
    </row>
    <row r="50" spans="1:2" x14ac:dyDescent="0.3">
      <c r="A50" s="4">
        <v>1995</v>
      </c>
      <c r="B50" s="4">
        <f>'[8]87SIC_GO_C _Price Indexes'!$L$214</f>
        <v>91.146000000000001</v>
      </c>
    </row>
    <row r="51" spans="1:2" x14ac:dyDescent="0.3">
      <c r="A51" s="4">
        <v>1996</v>
      </c>
      <c r="B51" s="4">
        <f>'[8]87SIC_GO_C _Price Indexes'!$M$214</f>
        <v>92.287000000000006</v>
      </c>
    </row>
    <row r="52" spans="1:2" x14ac:dyDescent="0.3">
      <c r="A52" s="4">
        <v>1997</v>
      </c>
      <c r="B52" s="4">
        <f>'[8]87SIC_GO_C _Price Indexes'!$N$214</f>
        <v>94.191999999999993</v>
      </c>
    </row>
    <row r="91" spans="1:6" x14ac:dyDescent="0.3">
      <c r="A91" s="12"/>
      <c r="B91" s="12"/>
      <c r="C91" s="12"/>
      <c r="D91" s="12"/>
      <c r="E91" s="12"/>
      <c r="F91" s="12"/>
    </row>
    <row r="92" spans="1:6" x14ac:dyDescent="0.3">
      <c r="A92" s="12"/>
      <c r="B92" s="12"/>
      <c r="C92" s="12"/>
      <c r="D92" s="12"/>
      <c r="E92" s="12"/>
      <c r="F92" s="12"/>
    </row>
    <row r="93" spans="1:6" x14ac:dyDescent="0.3">
      <c r="A93" s="12"/>
      <c r="B93" s="12"/>
      <c r="C93" s="12"/>
      <c r="D93" s="12"/>
      <c r="E93" s="12"/>
      <c r="F93" s="12"/>
    </row>
    <row r="94" spans="1:6" x14ac:dyDescent="0.3">
      <c r="A94" s="12"/>
      <c r="B94" s="12"/>
      <c r="C94" s="12"/>
      <c r="D94" s="12"/>
      <c r="E94" s="12"/>
      <c r="F94" s="12"/>
    </row>
    <row r="95" spans="1:6" x14ac:dyDescent="0.3">
      <c r="A95" s="12"/>
      <c r="B95" s="12"/>
      <c r="C95" s="12"/>
      <c r="D95" s="12"/>
      <c r="E95" s="12"/>
      <c r="F95" s="12"/>
    </row>
    <row r="96" spans="1:6" x14ac:dyDescent="0.3">
      <c r="A96" s="12"/>
      <c r="B96" s="12"/>
      <c r="C96" s="12"/>
      <c r="D96" s="12"/>
      <c r="E96" s="12"/>
      <c r="F96" s="12"/>
    </row>
    <row r="97" spans="1:6" x14ac:dyDescent="0.3">
      <c r="A97" s="12"/>
      <c r="B97" s="12"/>
      <c r="C97" s="12"/>
      <c r="D97" s="12"/>
      <c r="E97" s="12"/>
      <c r="F97" s="12"/>
    </row>
    <row r="98" spans="1:6" x14ac:dyDescent="0.3">
      <c r="A98" s="12"/>
      <c r="B98" s="12"/>
      <c r="C98" s="12"/>
      <c r="D98" s="12"/>
      <c r="E98" s="12"/>
      <c r="F98" s="12"/>
    </row>
    <row r="99" spans="1:6" x14ac:dyDescent="0.3">
      <c r="A99" s="12"/>
      <c r="B99" s="12"/>
      <c r="C99" s="12"/>
      <c r="D99" s="12"/>
      <c r="E99" s="12"/>
      <c r="F99" s="12"/>
    </row>
    <row r="100" spans="1:6" x14ac:dyDescent="0.3">
      <c r="A100" s="12"/>
      <c r="B100" s="12"/>
      <c r="C100" s="12"/>
      <c r="D100" s="12"/>
      <c r="E100" s="12"/>
      <c r="F100" s="12"/>
    </row>
    <row r="101" spans="1:6" x14ac:dyDescent="0.3">
      <c r="A101" s="12"/>
      <c r="B101" s="12"/>
      <c r="C101" s="12"/>
      <c r="D101" s="12"/>
      <c r="E101" s="12"/>
      <c r="F101" s="12"/>
    </row>
    <row r="102" spans="1:6" x14ac:dyDescent="0.3">
      <c r="A102" s="12"/>
      <c r="B102" s="12"/>
      <c r="C102" s="12"/>
      <c r="D102" s="12"/>
      <c r="E102" s="12"/>
      <c r="F102" s="12"/>
    </row>
    <row r="103" spans="1:6" x14ac:dyDescent="0.3">
      <c r="A103" s="12"/>
      <c r="B103" s="12"/>
      <c r="C103" s="12"/>
      <c r="D103" s="12"/>
      <c r="E103" s="12"/>
      <c r="F103" s="12"/>
    </row>
    <row r="104" spans="1:6" x14ac:dyDescent="0.3">
      <c r="A104" s="12"/>
      <c r="B104" s="12"/>
      <c r="C104" s="12"/>
      <c r="D104" s="12"/>
      <c r="E104" s="12"/>
      <c r="F104" s="12"/>
    </row>
    <row r="105" spans="1:6" x14ac:dyDescent="0.3">
      <c r="A105" s="12"/>
      <c r="B105" s="12"/>
      <c r="C105" s="12"/>
      <c r="D105" s="12"/>
      <c r="E105" s="12"/>
      <c r="F105" s="12"/>
    </row>
    <row r="106" spans="1:6" x14ac:dyDescent="0.3">
      <c r="A106" s="12"/>
      <c r="B106" s="12"/>
      <c r="C106" s="12"/>
      <c r="D106" s="12"/>
      <c r="E106" s="12"/>
      <c r="F106" s="12"/>
    </row>
    <row r="107" spans="1:6" x14ac:dyDescent="0.3">
      <c r="A107" s="12"/>
      <c r="B107" s="12"/>
      <c r="C107" s="12"/>
      <c r="D107" s="12"/>
      <c r="E107" s="12"/>
      <c r="F107" s="12"/>
    </row>
    <row r="108" spans="1:6" x14ac:dyDescent="0.3">
      <c r="A108" s="12"/>
      <c r="B108" s="12"/>
      <c r="C108" s="12"/>
      <c r="D108" s="12"/>
      <c r="E108" s="12"/>
      <c r="F108" s="12"/>
    </row>
    <row r="109" spans="1:6" x14ac:dyDescent="0.3">
      <c r="A109" s="12"/>
      <c r="B109" s="12"/>
      <c r="C109" s="12"/>
      <c r="D109" s="12"/>
      <c r="E109" s="12"/>
      <c r="F109" s="12"/>
    </row>
    <row r="110" spans="1:6" x14ac:dyDescent="0.3">
      <c r="A110" s="12"/>
      <c r="B110" s="12"/>
      <c r="C110" s="12"/>
      <c r="D110" s="12"/>
      <c r="E110" s="12"/>
      <c r="F110" s="12"/>
    </row>
    <row r="111" spans="1:6" x14ac:dyDescent="0.3">
      <c r="A111" s="12"/>
      <c r="B111" s="12"/>
      <c r="C111" s="12"/>
      <c r="D111" s="12"/>
      <c r="E111" s="12"/>
      <c r="F111" s="12"/>
    </row>
    <row r="112" spans="1:6" x14ac:dyDescent="0.3">
      <c r="A112" s="12"/>
      <c r="B112" s="12"/>
      <c r="C112" s="12"/>
      <c r="D112" s="12"/>
      <c r="E112" s="12"/>
      <c r="F112" s="12"/>
    </row>
    <row r="113" spans="1:6" x14ac:dyDescent="0.3">
      <c r="A113" s="12"/>
      <c r="B113" s="12"/>
      <c r="C113" s="12"/>
      <c r="D113" s="12"/>
      <c r="E113" s="12"/>
      <c r="F113" s="12"/>
    </row>
  </sheetData>
  <mergeCells count="1">
    <mergeCell ref="A1:M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7E5D-5CAC-4EC2-98CA-955EB53CE978}">
  <dimension ref="A1:D53"/>
  <sheetViews>
    <sheetView workbookViewId="0">
      <selection activeCell="L20" sqref="L20"/>
    </sheetView>
  </sheetViews>
  <sheetFormatPr defaultRowHeight="14.4" x14ac:dyDescent="0.3"/>
  <cols>
    <col min="1" max="16384" width="8.88671875" style="4"/>
  </cols>
  <sheetData>
    <row r="1" spans="1:2" x14ac:dyDescent="0.3">
      <c r="A1" s="4" t="s">
        <v>181</v>
      </c>
    </row>
    <row r="2" spans="1:2" x14ac:dyDescent="0.3">
      <c r="A2" s="4">
        <v>2020</v>
      </c>
      <c r="B2" s="4">
        <v>124.071</v>
      </c>
    </row>
    <row r="3" spans="1:2" x14ac:dyDescent="0.3">
      <c r="A3" s="4">
        <v>2019</v>
      </c>
      <c r="B3" s="4">
        <v>119.28400000000001</v>
      </c>
    </row>
    <row r="4" spans="1:2" x14ac:dyDescent="0.3">
      <c r="A4" s="4">
        <v>2018</v>
      </c>
      <c r="B4" s="4">
        <v>116.837</v>
      </c>
    </row>
    <row r="5" spans="1:2" x14ac:dyDescent="0.3">
      <c r="A5" s="4">
        <v>2017</v>
      </c>
      <c r="B5" s="4">
        <v>115.077</v>
      </c>
    </row>
    <row r="6" spans="1:2" x14ac:dyDescent="0.3">
      <c r="A6" s="4">
        <v>2016</v>
      </c>
      <c r="B6" s="4">
        <v>113.105</v>
      </c>
    </row>
    <row r="7" spans="1:2" x14ac:dyDescent="0.3">
      <c r="A7" s="4">
        <v>2015</v>
      </c>
      <c r="B7" s="4">
        <v>110.051</v>
      </c>
    </row>
    <row r="8" spans="1:2" x14ac:dyDescent="0.3">
      <c r="A8" s="4">
        <v>2014</v>
      </c>
      <c r="B8" s="4">
        <v>104.503</v>
      </c>
    </row>
    <row r="9" spans="1:2" x14ac:dyDescent="0.3">
      <c r="A9" s="4">
        <v>2013</v>
      </c>
      <c r="B9" s="4">
        <v>102.179</v>
      </c>
    </row>
    <row r="10" spans="1:2" x14ac:dyDescent="0.3">
      <c r="A10" s="4">
        <v>2012</v>
      </c>
      <c r="B10" s="4">
        <v>100</v>
      </c>
    </row>
    <row r="11" spans="1:2" x14ac:dyDescent="0.3">
      <c r="A11" s="4">
        <v>2011</v>
      </c>
      <c r="B11" s="4">
        <v>97.162999999999997</v>
      </c>
    </row>
    <row r="12" spans="1:2" x14ac:dyDescent="0.3">
      <c r="A12" s="4">
        <v>2010</v>
      </c>
      <c r="B12" s="4">
        <v>96.772999999999996</v>
      </c>
    </row>
    <row r="13" spans="1:2" x14ac:dyDescent="0.3">
      <c r="A13" s="4">
        <v>2009</v>
      </c>
      <c r="B13" s="4">
        <v>95.222999999999999</v>
      </c>
    </row>
    <row r="14" spans="1:2" x14ac:dyDescent="0.3">
      <c r="A14" s="4">
        <v>2008</v>
      </c>
      <c r="B14" s="4">
        <v>93.558000000000007</v>
      </c>
    </row>
    <row r="15" spans="1:2" x14ac:dyDescent="0.3">
      <c r="A15" s="4">
        <v>2007</v>
      </c>
      <c r="B15" s="4">
        <v>89.742999999999995</v>
      </c>
    </row>
    <row r="16" spans="1:2" x14ac:dyDescent="0.3">
      <c r="A16" s="4">
        <v>2006</v>
      </c>
      <c r="B16" s="4">
        <v>86.153000000000006</v>
      </c>
    </row>
    <row r="17" spans="1:4" x14ac:dyDescent="0.3">
      <c r="A17" s="4">
        <v>2005</v>
      </c>
      <c r="B17" s="4">
        <v>82.528999999999996</v>
      </c>
    </row>
    <row r="18" spans="1:4" x14ac:dyDescent="0.3">
      <c r="A18" s="4">
        <v>2004</v>
      </c>
      <c r="B18" s="4">
        <v>78.009</v>
      </c>
    </row>
    <row r="19" spans="1:4" x14ac:dyDescent="0.3">
      <c r="A19" s="4">
        <v>2003</v>
      </c>
      <c r="B19" s="4">
        <v>74.385999999999996</v>
      </c>
    </row>
    <row r="20" spans="1:4" x14ac:dyDescent="0.3">
      <c r="A20" s="4">
        <v>2002</v>
      </c>
      <c r="B20" s="4">
        <v>73.131</v>
      </c>
    </row>
    <row r="21" spans="1:4" x14ac:dyDescent="0.3">
      <c r="A21" s="4">
        <v>2001</v>
      </c>
      <c r="B21" s="4">
        <v>70.950999999999993</v>
      </c>
    </row>
    <row r="22" spans="1:4" x14ac:dyDescent="0.3">
      <c r="A22" s="4">
        <v>2000</v>
      </c>
      <c r="B22" s="4">
        <v>67.247</v>
      </c>
    </row>
    <row r="23" spans="1:4" x14ac:dyDescent="0.3">
      <c r="A23" s="4">
        <v>1999</v>
      </c>
      <c r="B23" s="4">
        <v>64.153000000000006</v>
      </c>
    </row>
    <row r="24" spans="1:4" x14ac:dyDescent="0.3">
      <c r="A24" s="4">
        <v>1998</v>
      </c>
      <c r="B24" s="4">
        <v>60.975000000000001</v>
      </c>
    </row>
    <row r="25" spans="1:4" x14ac:dyDescent="0.3">
      <c r="A25" s="4">
        <v>1997</v>
      </c>
      <c r="B25" s="4">
        <v>59.853000000000002</v>
      </c>
    </row>
    <row r="28" spans="1:4" x14ac:dyDescent="0.3">
      <c r="B28" s="4" t="s">
        <v>111</v>
      </c>
      <c r="C28" s="17" t="s">
        <v>182</v>
      </c>
      <c r="D28" s="4" t="s">
        <v>183</v>
      </c>
    </row>
    <row r="29" spans="1:4" x14ac:dyDescent="0.3">
      <c r="A29" s="4">
        <v>1987</v>
      </c>
      <c r="B29" s="4">
        <f>'[8]87SIC_GO_C _Price Indexes'!$D$237</f>
        <v>59.18</v>
      </c>
    </row>
    <row r="30" spans="1:4" x14ac:dyDescent="0.3">
      <c r="A30" s="4">
        <v>1988</v>
      </c>
      <c r="B30" s="4">
        <f>'[8]87SIC_GO_C _Price Indexes'!$E$237</f>
        <v>61.92</v>
      </c>
    </row>
    <row r="31" spans="1:4" x14ac:dyDescent="0.3">
      <c r="A31" s="4">
        <v>1989</v>
      </c>
      <c r="B31" s="4">
        <f>'[8]87SIC_GO_C _Price Indexes'!$F$237</f>
        <v>66.260000000000005</v>
      </c>
    </row>
    <row r="32" spans="1:4" x14ac:dyDescent="0.3">
      <c r="A32" s="4">
        <v>1990</v>
      </c>
      <c r="B32" s="4">
        <f>'[8]87SIC_GO_C _Price Indexes'!$G$237</f>
        <v>70.28</v>
      </c>
    </row>
    <row r="33" spans="1:4" x14ac:dyDescent="0.3">
      <c r="A33" s="4">
        <v>1991</v>
      </c>
      <c r="B33" s="4">
        <f>'[8]87SIC_GO_C _Price Indexes'!$H$237</f>
        <v>74.209999999999994</v>
      </c>
    </row>
    <row r="34" spans="1:4" x14ac:dyDescent="0.3">
      <c r="A34" s="4">
        <v>1992</v>
      </c>
      <c r="B34" s="4">
        <f>'[8]87SIC_GO_C _Price Indexes'!$I$237</f>
        <v>75.010000000000005</v>
      </c>
    </row>
    <row r="35" spans="1:4" x14ac:dyDescent="0.3">
      <c r="A35" s="4">
        <v>1993</v>
      </c>
      <c r="B35" s="4">
        <f>'[8]87SIC_GO_C _Price Indexes'!$J$237</f>
        <v>75.790000000000006</v>
      </c>
    </row>
    <row r="36" spans="1:4" x14ac:dyDescent="0.3">
      <c r="A36" s="4">
        <v>1994</v>
      </c>
      <c r="B36" s="4">
        <f>'[8]87SIC_GO_C _Price Indexes'!$K$237</f>
        <v>78.349999999999994</v>
      </c>
    </row>
    <row r="37" spans="1:4" x14ac:dyDescent="0.3">
      <c r="A37" s="4">
        <v>1995</v>
      </c>
      <c r="B37" s="4">
        <f>'[8]87SIC_GO_C _Price Indexes'!$L$237</f>
        <v>81.14</v>
      </c>
    </row>
    <row r="38" spans="1:4" x14ac:dyDescent="0.3">
      <c r="A38" s="4">
        <v>1996</v>
      </c>
      <c r="B38" s="4">
        <f>'[8]87SIC_GO_C _Price Indexes'!$M$237</f>
        <v>85.18</v>
      </c>
    </row>
    <row r="39" spans="1:4" x14ac:dyDescent="0.3">
      <c r="A39" s="4">
        <v>1997</v>
      </c>
      <c r="B39" s="4">
        <f>'[8]87SIC_GO_C _Price Indexes'!$N$237</f>
        <v>87.52</v>
      </c>
    </row>
    <row r="41" spans="1:4" x14ac:dyDescent="0.3">
      <c r="B41" s="4" t="s">
        <v>112</v>
      </c>
    </row>
    <row r="42" spans="1:4" x14ac:dyDescent="0.3">
      <c r="B42" s="4" t="s">
        <v>113</v>
      </c>
      <c r="C42" s="17" t="s">
        <v>182</v>
      </c>
      <c r="D42" s="4" t="s">
        <v>183</v>
      </c>
    </row>
    <row r="43" spans="1:4" x14ac:dyDescent="0.3">
      <c r="A43" s="4">
        <v>1977</v>
      </c>
      <c r="B43" s="4">
        <f>'[8]72SIC_GO_C_Price Indexes'!$D$194</f>
        <v>59.006</v>
      </c>
    </row>
    <row r="44" spans="1:4" x14ac:dyDescent="0.3">
      <c r="A44" s="4">
        <v>1978</v>
      </c>
      <c r="B44" s="4">
        <f>'[8]72SIC_GO_C_Price Indexes'!$E$194</f>
        <v>62.825000000000003</v>
      </c>
    </row>
    <row r="45" spans="1:4" x14ac:dyDescent="0.3">
      <c r="A45" s="4">
        <v>1979</v>
      </c>
      <c r="B45" s="4">
        <f>'[8]72SIC_GO_C_Price Indexes'!$F$194</f>
        <v>67.421000000000006</v>
      </c>
    </row>
    <row r="46" spans="1:4" x14ac:dyDescent="0.3">
      <c r="A46" s="4">
        <v>1980</v>
      </c>
      <c r="B46" s="4">
        <f>'[8]72SIC_GO_C_Price Indexes'!$G$194</f>
        <v>70.902000000000001</v>
      </c>
    </row>
    <row r="47" spans="1:4" x14ac:dyDescent="0.3">
      <c r="A47" s="4">
        <v>1981</v>
      </c>
      <c r="B47" s="4">
        <f>'[8]72SIC_GO_C_Price Indexes'!$H$194</f>
        <v>73.825999999999993</v>
      </c>
    </row>
    <row r="48" spans="1:4" x14ac:dyDescent="0.3">
      <c r="A48" s="4">
        <v>1982</v>
      </c>
      <c r="B48" s="4">
        <f>'[8]72SIC_GO_C_Price Indexes'!$I$194</f>
        <v>77.897999999999996</v>
      </c>
    </row>
    <row r="49" spans="1:2" x14ac:dyDescent="0.3">
      <c r="A49" s="4">
        <v>1983</v>
      </c>
      <c r="B49" s="4">
        <f>'[8]72SIC_GO_C_Price Indexes'!$J$194</f>
        <v>82.781000000000006</v>
      </c>
    </row>
    <row r="50" spans="1:2" x14ac:dyDescent="0.3">
      <c r="A50" s="4">
        <v>1984</v>
      </c>
      <c r="B50" s="4">
        <f>'[8]72SIC_GO_C_Price Indexes'!$K$194</f>
        <v>87.766000000000005</v>
      </c>
    </row>
    <row r="51" spans="1:2" x14ac:dyDescent="0.3">
      <c r="A51" s="4">
        <v>1985</v>
      </c>
      <c r="B51" s="4">
        <f>'[8]72SIC_GO_C_Price Indexes'!$L$194</f>
        <v>92.091999999999999</v>
      </c>
    </row>
    <row r="52" spans="1:2" x14ac:dyDescent="0.3">
      <c r="A52" s="4">
        <v>1986</v>
      </c>
      <c r="B52" s="4">
        <f>'[8]72SIC_GO_C_Price Indexes'!$M$194</f>
        <v>95.572999999999993</v>
      </c>
    </row>
    <row r="53" spans="1:2" x14ac:dyDescent="0.3">
      <c r="A53" s="4">
        <v>1987</v>
      </c>
      <c r="B53" s="4">
        <f>'[8]72SIC_GO_C_Price Indexes'!$N$194</f>
        <v>100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67A2-F213-45A1-9829-6515497426F7}">
  <dimension ref="A1:F123"/>
  <sheetViews>
    <sheetView tabSelected="1" workbookViewId="0">
      <selection activeCell="K20" sqref="K20"/>
    </sheetView>
  </sheetViews>
  <sheetFormatPr defaultRowHeight="14.4" x14ac:dyDescent="0.3"/>
  <cols>
    <col min="1" max="16384" width="8.88671875" style="4"/>
  </cols>
  <sheetData>
    <row r="1" spans="1:6" x14ac:dyDescent="0.3">
      <c r="B1" s="4" t="s">
        <v>217</v>
      </c>
      <c r="C1" s="25" t="s">
        <v>193</v>
      </c>
      <c r="D1" s="25"/>
      <c r="E1" s="25"/>
      <c r="F1" s="25"/>
    </row>
    <row r="2" spans="1:6" x14ac:dyDescent="0.3">
      <c r="C2" s="4" t="s">
        <v>184</v>
      </c>
    </row>
    <row r="3" spans="1:6" x14ac:dyDescent="0.3">
      <c r="A3" s="4">
        <v>2020</v>
      </c>
      <c r="C3" s="4">
        <v>2020</v>
      </c>
      <c r="D3" s="4">
        <v>122.172</v>
      </c>
    </row>
    <row r="4" spans="1:6" x14ac:dyDescent="0.3">
      <c r="A4" s="4">
        <v>2019</v>
      </c>
      <c r="C4" s="4">
        <v>2019</v>
      </c>
      <c r="D4" s="4">
        <v>117.64400000000001</v>
      </c>
    </row>
    <row r="5" spans="1:6" x14ac:dyDescent="0.3">
      <c r="A5" s="4">
        <v>2018</v>
      </c>
      <c r="C5" s="4">
        <v>2018</v>
      </c>
      <c r="D5" s="4">
        <v>114.127</v>
      </c>
    </row>
    <row r="6" spans="1:6" x14ac:dyDescent="0.3">
      <c r="A6" s="4">
        <v>2017</v>
      </c>
      <c r="C6" s="4">
        <v>2017</v>
      </c>
      <c r="D6" s="4">
        <v>111.446</v>
      </c>
    </row>
    <row r="7" spans="1:6" x14ac:dyDescent="0.3">
      <c r="A7" s="4">
        <v>2016</v>
      </c>
      <c r="C7" s="4">
        <v>2016</v>
      </c>
      <c r="D7" s="4">
        <v>108.85299999999999</v>
      </c>
    </row>
    <row r="8" spans="1:6" x14ac:dyDescent="0.3">
      <c r="A8" s="4">
        <v>2015</v>
      </c>
      <c r="C8" s="4">
        <v>2015</v>
      </c>
      <c r="D8" s="4">
        <v>106.708</v>
      </c>
    </row>
    <row r="9" spans="1:6" x14ac:dyDescent="0.3">
      <c r="A9" s="4">
        <v>2014</v>
      </c>
      <c r="C9" s="4">
        <v>2014</v>
      </c>
      <c r="D9" s="4">
        <v>104.292</v>
      </c>
    </row>
    <row r="10" spans="1:6" x14ac:dyDescent="0.3">
      <c r="A10" s="4">
        <v>2013</v>
      </c>
      <c r="C10" s="4">
        <v>2013</v>
      </c>
      <c r="D10" s="4">
        <v>102.05500000000001</v>
      </c>
    </row>
    <row r="11" spans="1:6" x14ac:dyDescent="0.3">
      <c r="A11" s="4">
        <v>2012</v>
      </c>
      <c r="C11" s="4">
        <v>2012</v>
      </c>
      <c r="D11" s="4">
        <v>100</v>
      </c>
    </row>
    <row r="12" spans="1:6" x14ac:dyDescent="0.3">
      <c r="A12" s="4">
        <v>2011</v>
      </c>
      <c r="C12" s="4">
        <v>2011</v>
      </c>
      <c r="D12" s="4">
        <v>98.221999999999994</v>
      </c>
    </row>
    <row r="13" spans="1:6" x14ac:dyDescent="0.3">
      <c r="A13" s="4">
        <v>2010</v>
      </c>
      <c r="C13" s="4">
        <v>2010</v>
      </c>
      <c r="D13" s="4">
        <v>95.468999999999994</v>
      </c>
    </row>
    <row r="14" spans="1:6" x14ac:dyDescent="0.3">
      <c r="A14" s="4">
        <v>2009</v>
      </c>
      <c r="C14" s="4">
        <v>2009</v>
      </c>
      <c r="D14" s="4">
        <v>93.436000000000007</v>
      </c>
    </row>
    <row r="15" spans="1:6" x14ac:dyDescent="0.3">
      <c r="A15" s="4">
        <v>2008</v>
      </c>
      <c r="C15" s="4">
        <v>2008</v>
      </c>
      <c r="D15" s="4">
        <v>92.465000000000003</v>
      </c>
    </row>
    <row r="16" spans="1:6" x14ac:dyDescent="0.3">
      <c r="A16" s="4">
        <v>2007</v>
      </c>
      <c r="C16" s="4">
        <v>2007</v>
      </c>
      <c r="D16" s="4">
        <v>91.046000000000006</v>
      </c>
    </row>
    <row r="17" spans="1:6" x14ac:dyDescent="0.3">
      <c r="A17" s="4">
        <v>2006</v>
      </c>
      <c r="C17" s="4">
        <v>2006</v>
      </c>
      <c r="D17" s="4">
        <v>88.465999999999994</v>
      </c>
    </row>
    <row r="18" spans="1:6" x14ac:dyDescent="0.3">
      <c r="A18" s="4">
        <v>2005</v>
      </c>
      <c r="C18" s="4">
        <v>2005</v>
      </c>
      <c r="D18" s="4">
        <v>85.304000000000002</v>
      </c>
    </row>
    <row r="19" spans="1:6" x14ac:dyDescent="0.3">
      <c r="A19" s="4">
        <v>2004</v>
      </c>
      <c r="C19" s="4">
        <v>2004</v>
      </c>
      <c r="D19" s="4">
        <v>82.543999999999997</v>
      </c>
    </row>
    <row r="20" spans="1:6" x14ac:dyDescent="0.3">
      <c r="A20" s="4">
        <v>2003</v>
      </c>
      <c r="C20" s="4">
        <v>2003</v>
      </c>
      <c r="D20" s="4">
        <v>79.677000000000007</v>
      </c>
    </row>
    <row r="21" spans="1:6" x14ac:dyDescent="0.3">
      <c r="A21" s="4">
        <v>2002</v>
      </c>
      <c r="C21" s="4">
        <v>2002</v>
      </c>
      <c r="D21" s="4">
        <v>78.025000000000006</v>
      </c>
    </row>
    <row r="22" spans="1:6" x14ac:dyDescent="0.3">
      <c r="A22" s="4">
        <v>2001</v>
      </c>
      <c r="C22" s="4">
        <v>2001</v>
      </c>
      <c r="D22" s="4">
        <v>76.504999999999995</v>
      </c>
    </row>
    <row r="23" spans="1:6" x14ac:dyDescent="0.3">
      <c r="A23" s="4">
        <v>2000</v>
      </c>
      <c r="C23" s="4">
        <v>2000</v>
      </c>
      <c r="D23" s="4">
        <v>73.659000000000006</v>
      </c>
    </row>
    <row r="24" spans="1:6" x14ac:dyDescent="0.3">
      <c r="A24" s="4">
        <v>1999</v>
      </c>
      <c r="C24" s="4">
        <v>1999</v>
      </c>
      <c r="D24" s="4">
        <v>71.304000000000002</v>
      </c>
    </row>
    <row r="25" spans="1:6" x14ac:dyDescent="0.3">
      <c r="A25" s="4">
        <v>1998</v>
      </c>
      <c r="C25" s="4">
        <v>1998</v>
      </c>
      <c r="D25" s="4">
        <v>69.539000000000001</v>
      </c>
    </row>
    <row r="26" spans="1:6" x14ac:dyDescent="0.3">
      <c r="A26" s="4">
        <v>1997</v>
      </c>
      <c r="C26" s="4">
        <v>1997</v>
      </c>
      <c r="D26" s="4">
        <v>67.617000000000004</v>
      </c>
    </row>
    <row r="27" spans="1:6" x14ac:dyDescent="0.3">
      <c r="A27" s="4">
        <v>1996</v>
      </c>
    </row>
    <row r="28" spans="1:6" x14ac:dyDescent="0.3">
      <c r="A28" s="4">
        <v>1995</v>
      </c>
      <c r="D28" s="4" t="s">
        <v>112</v>
      </c>
    </row>
    <row r="29" spans="1:6" x14ac:dyDescent="0.3">
      <c r="A29" s="4">
        <v>1994</v>
      </c>
      <c r="D29" s="4" t="s">
        <v>111</v>
      </c>
      <c r="E29" s="17" t="s">
        <v>185</v>
      </c>
      <c r="F29" s="4" t="s">
        <v>186</v>
      </c>
    </row>
    <row r="30" spans="1:6" x14ac:dyDescent="0.3">
      <c r="A30" s="4">
        <v>1993</v>
      </c>
      <c r="C30" s="4">
        <v>1987</v>
      </c>
      <c r="D30" s="4">
        <f>'[8]87SIC_GO_C _Price Indexes'!$D$257</f>
        <v>66.290000000000006</v>
      </c>
    </row>
    <row r="31" spans="1:6" x14ac:dyDescent="0.3">
      <c r="A31" s="4">
        <v>1992</v>
      </c>
      <c r="C31" s="4">
        <v>1988</v>
      </c>
      <c r="D31" s="4">
        <f>'[8]87SIC_GO_C _Price Indexes'!$E$257</f>
        <v>70.209999999999994</v>
      </c>
    </row>
    <row r="32" spans="1:6" x14ac:dyDescent="0.3">
      <c r="A32" s="4">
        <v>1991</v>
      </c>
      <c r="C32" s="4">
        <v>1989</v>
      </c>
      <c r="D32" s="4">
        <f>'[8]87SIC_GO_C _Price Indexes'!$F$257</f>
        <v>73.650000000000006</v>
      </c>
    </row>
    <row r="33" spans="1:5" x14ac:dyDescent="0.3">
      <c r="A33" s="4">
        <v>1990</v>
      </c>
      <c r="C33" s="4">
        <v>1990</v>
      </c>
      <c r="D33" s="4">
        <f>'[8]87SIC_GO_C _Price Indexes'!$G$257</f>
        <v>76.34</v>
      </c>
    </row>
    <row r="34" spans="1:5" x14ac:dyDescent="0.3">
      <c r="A34" s="4">
        <v>1989</v>
      </c>
      <c r="C34" s="4">
        <v>1991</v>
      </c>
      <c r="D34" s="4">
        <f>'[8]87SIC_GO_C _Price Indexes'!$H$257</f>
        <v>78.66</v>
      </c>
    </row>
    <row r="35" spans="1:5" x14ac:dyDescent="0.3">
      <c r="A35" s="4">
        <v>1988</v>
      </c>
      <c r="C35" s="4">
        <v>1992</v>
      </c>
      <c r="D35" s="4">
        <f>'[8]87SIC_GO_C _Price Indexes'!$I$257</f>
        <v>80.73</v>
      </c>
    </row>
    <row r="36" spans="1:5" x14ac:dyDescent="0.3">
      <c r="A36" s="4">
        <v>1987</v>
      </c>
      <c r="C36" s="4">
        <v>1993</v>
      </c>
      <c r="D36" s="4">
        <f>'[8]87SIC_GO_C _Price Indexes'!$J$257</f>
        <v>82.52</v>
      </c>
    </row>
    <row r="37" spans="1:5" x14ac:dyDescent="0.3">
      <c r="A37" s="4">
        <v>1986</v>
      </c>
      <c r="C37" s="4">
        <v>1994</v>
      </c>
      <c r="D37" s="4">
        <f>'[8]87SIC_GO_C _Price Indexes'!$K$257</f>
        <v>83.87</v>
      </c>
    </row>
    <row r="38" spans="1:5" x14ac:dyDescent="0.3">
      <c r="A38" s="4">
        <v>1985</v>
      </c>
      <c r="C38" s="4">
        <v>1995</v>
      </c>
      <c r="D38" s="4">
        <f>'[8]87SIC_GO_C _Price Indexes'!$L$257</f>
        <v>87.02</v>
      </c>
    </row>
    <row r="39" spans="1:5" x14ac:dyDescent="0.3">
      <c r="A39" s="4">
        <v>1984</v>
      </c>
      <c r="C39" s="4">
        <v>1996</v>
      </c>
      <c r="D39" s="4">
        <f>'[8]87SIC_GO_C _Price Indexes'!$M$257</f>
        <v>89.79</v>
      </c>
    </row>
    <row r="40" spans="1:5" x14ac:dyDescent="0.3">
      <c r="A40" s="4">
        <v>1983</v>
      </c>
      <c r="C40" s="4">
        <v>1997</v>
      </c>
      <c r="D40" s="4">
        <f>'[8]87SIC_GO_C _Price Indexes'!$N$257</f>
        <v>91.74</v>
      </c>
    </row>
    <row r="41" spans="1:5" x14ac:dyDescent="0.3">
      <c r="A41" s="4">
        <v>1982</v>
      </c>
    </row>
    <row r="42" spans="1:5" x14ac:dyDescent="0.3">
      <c r="A42" s="4">
        <v>1981</v>
      </c>
    </row>
    <row r="43" spans="1:5" x14ac:dyDescent="0.3">
      <c r="A43" s="4">
        <v>1980</v>
      </c>
      <c r="E43" s="17"/>
    </row>
    <row r="44" spans="1:5" x14ac:dyDescent="0.3">
      <c r="A44" s="4">
        <v>1979</v>
      </c>
    </row>
    <row r="45" spans="1:5" x14ac:dyDescent="0.3">
      <c r="A45" s="4">
        <v>1978</v>
      </c>
    </row>
    <row r="46" spans="1:5" x14ac:dyDescent="0.3">
      <c r="A46" s="4">
        <v>1977</v>
      </c>
    </row>
    <row r="47" spans="1:5" x14ac:dyDescent="0.3">
      <c r="A47" s="4">
        <v>1976</v>
      </c>
    </row>
    <row r="48" spans="1:5" x14ac:dyDescent="0.3">
      <c r="A48" s="4">
        <v>1975</v>
      </c>
    </row>
    <row r="49" spans="1:1" x14ac:dyDescent="0.3">
      <c r="A49" s="4">
        <v>1974</v>
      </c>
    </row>
    <row r="50" spans="1:1" x14ac:dyDescent="0.3">
      <c r="A50" s="4">
        <v>1973</v>
      </c>
    </row>
    <row r="51" spans="1:1" x14ac:dyDescent="0.3">
      <c r="A51" s="4">
        <v>1972</v>
      </c>
    </row>
    <row r="52" spans="1:1" x14ac:dyDescent="0.3">
      <c r="A52" s="4">
        <v>1971</v>
      </c>
    </row>
    <row r="53" spans="1:1" x14ac:dyDescent="0.3">
      <c r="A53" s="4">
        <v>1970</v>
      </c>
    </row>
    <row r="54" spans="1:1" x14ac:dyDescent="0.3">
      <c r="A54" s="4">
        <v>1969</v>
      </c>
    </row>
    <row r="55" spans="1:1" x14ac:dyDescent="0.3">
      <c r="A55" s="4">
        <v>1968</v>
      </c>
    </row>
    <row r="56" spans="1:1" x14ac:dyDescent="0.3">
      <c r="A56" s="4">
        <v>1967</v>
      </c>
    </row>
    <row r="57" spans="1:1" x14ac:dyDescent="0.3">
      <c r="A57" s="4">
        <v>1966</v>
      </c>
    </row>
    <row r="58" spans="1:1" x14ac:dyDescent="0.3">
      <c r="A58" s="4">
        <v>1965</v>
      </c>
    </row>
    <row r="59" spans="1:1" x14ac:dyDescent="0.3">
      <c r="A59" s="4">
        <v>1964</v>
      </c>
    </row>
    <row r="60" spans="1:1" x14ac:dyDescent="0.3">
      <c r="A60" s="4">
        <v>1963</v>
      </c>
    </row>
    <row r="61" spans="1:1" x14ac:dyDescent="0.3">
      <c r="A61" s="4">
        <v>1962</v>
      </c>
    </row>
    <row r="62" spans="1:1" x14ac:dyDescent="0.3">
      <c r="A62" s="4">
        <v>1961</v>
      </c>
    </row>
    <row r="63" spans="1:1" x14ac:dyDescent="0.3">
      <c r="A63" s="4">
        <v>1960</v>
      </c>
    </row>
    <row r="64" spans="1:1" x14ac:dyDescent="0.3">
      <c r="A64" s="4">
        <v>1959</v>
      </c>
    </row>
    <row r="65" spans="1:1" x14ac:dyDescent="0.3">
      <c r="A65" s="4">
        <v>1958</v>
      </c>
    </row>
    <row r="66" spans="1:1" x14ac:dyDescent="0.3">
      <c r="A66" s="4">
        <v>1957</v>
      </c>
    </row>
    <row r="67" spans="1:1" x14ac:dyDescent="0.3">
      <c r="A67" s="4">
        <v>1956</v>
      </c>
    </row>
    <row r="68" spans="1:1" x14ac:dyDescent="0.3">
      <c r="A68" s="4">
        <v>1955</v>
      </c>
    </row>
    <row r="69" spans="1:1" x14ac:dyDescent="0.3">
      <c r="A69" s="4">
        <v>1954</v>
      </c>
    </row>
    <row r="70" spans="1:1" x14ac:dyDescent="0.3">
      <c r="A70" s="4">
        <v>1953</v>
      </c>
    </row>
    <row r="71" spans="1:1" x14ac:dyDescent="0.3">
      <c r="A71" s="4">
        <v>1952</v>
      </c>
    </row>
    <row r="72" spans="1:1" x14ac:dyDescent="0.3">
      <c r="A72" s="4">
        <v>1951</v>
      </c>
    </row>
    <row r="73" spans="1:1" x14ac:dyDescent="0.3">
      <c r="A73" s="4">
        <v>1950</v>
      </c>
    </row>
    <row r="74" spans="1:1" x14ac:dyDescent="0.3">
      <c r="A74" s="4">
        <v>1949</v>
      </c>
    </row>
    <row r="75" spans="1:1" x14ac:dyDescent="0.3">
      <c r="A75" s="4">
        <v>1948</v>
      </c>
    </row>
    <row r="76" spans="1:1" x14ac:dyDescent="0.3">
      <c r="A76" s="4">
        <v>1947</v>
      </c>
    </row>
    <row r="77" spans="1:1" x14ac:dyDescent="0.3">
      <c r="A77" s="4">
        <v>1946</v>
      </c>
    </row>
    <row r="78" spans="1:1" x14ac:dyDescent="0.3">
      <c r="A78" s="4">
        <v>1945</v>
      </c>
    </row>
    <row r="79" spans="1:1" x14ac:dyDescent="0.3">
      <c r="A79" s="4">
        <v>1944</v>
      </c>
    </row>
    <row r="80" spans="1:1" x14ac:dyDescent="0.3">
      <c r="A80" s="4">
        <v>1943</v>
      </c>
    </row>
    <row r="81" spans="1:1" x14ac:dyDescent="0.3">
      <c r="A81" s="4">
        <v>1942</v>
      </c>
    </row>
    <row r="82" spans="1:1" x14ac:dyDescent="0.3">
      <c r="A82" s="4">
        <v>1941</v>
      </c>
    </row>
    <row r="83" spans="1:1" x14ac:dyDescent="0.3">
      <c r="A83" s="4">
        <v>1940</v>
      </c>
    </row>
    <row r="84" spans="1:1" x14ac:dyDescent="0.3">
      <c r="A84" s="4">
        <v>1939</v>
      </c>
    </row>
    <row r="85" spans="1:1" x14ac:dyDescent="0.3">
      <c r="A85" s="4">
        <v>1938</v>
      </c>
    </row>
    <row r="86" spans="1:1" x14ac:dyDescent="0.3">
      <c r="A86" s="4">
        <v>1937</v>
      </c>
    </row>
    <row r="87" spans="1:1" x14ac:dyDescent="0.3">
      <c r="A87" s="4">
        <v>1936</v>
      </c>
    </row>
    <row r="88" spans="1:1" x14ac:dyDescent="0.3">
      <c r="A88" s="4">
        <v>1935</v>
      </c>
    </row>
    <row r="89" spans="1:1" x14ac:dyDescent="0.3">
      <c r="A89" s="4">
        <v>1934</v>
      </c>
    </row>
    <row r="90" spans="1:1" x14ac:dyDescent="0.3">
      <c r="A90" s="4">
        <v>1933</v>
      </c>
    </row>
    <row r="91" spans="1:1" x14ac:dyDescent="0.3">
      <c r="A91" s="4">
        <v>1932</v>
      </c>
    </row>
    <row r="92" spans="1:1" x14ac:dyDescent="0.3">
      <c r="A92" s="4">
        <v>1931</v>
      </c>
    </row>
    <row r="93" spans="1:1" x14ac:dyDescent="0.3">
      <c r="A93" s="4">
        <v>1930</v>
      </c>
    </row>
    <row r="94" spans="1:1" x14ac:dyDescent="0.3">
      <c r="A94" s="4">
        <v>1929</v>
      </c>
    </row>
    <row r="95" spans="1:1" x14ac:dyDescent="0.3">
      <c r="A95" s="4">
        <v>1928</v>
      </c>
    </row>
    <row r="96" spans="1:1" x14ac:dyDescent="0.3">
      <c r="A96" s="4">
        <v>1927</v>
      </c>
    </row>
    <row r="97" spans="1:1" x14ac:dyDescent="0.3">
      <c r="A97" s="4">
        <v>1926</v>
      </c>
    </row>
    <row r="98" spans="1:1" x14ac:dyDescent="0.3">
      <c r="A98" s="4">
        <v>1925</v>
      </c>
    </row>
    <row r="99" spans="1:1" x14ac:dyDescent="0.3">
      <c r="A99" s="4">
        <v>1924</v>
      </c>
    </row>
    <row r="100" spans="1:1" x14ac:dyDescent="0.3">
      <c r="A100" s="4">
        <v>1923</v>
      </c>
    </row>
    <row r="101" spans="1:1" x14ac:dyDescent="0.3">
      <c r="A101" s="4">
        <v>1922</v>
      </c>
    </row>
    <row r="102" spans="1:1" x14ac:dyDescent="0.3">
      <c r="A102" s="4">
        <v>1921</v>
      </c>
    </row>
    <row r="103" spans="1:1" x14ac:dyDescent="0.3">
      <c r="A103" s="4">
        <v>1920</v>
      </c>
    </row>
    <row r="104" spans="1:1" x14ac:dyDescent="0.3">
      <c r="A104" s="4">
        <v>1919</v>
      </c>
    </row>
    <row r="105" spans="1:1" x14ac:dyDescent="0.3">
      <c r="A105" s="4">
        <v>1918</v>
      </c>
    </row>
    <row r="106" spans="1:1" x14ac:dyDescent="0.3">
      <c r="A106" s="4">
        <v>1917</v>
      </c>
    </row>
    <row r="107" spans="1:1" x14ac:dyDescent="0.3">
      <c r="A107" s="4">
        <v>1916</v>
      </c>
    </row>
    <row r="108" spans="1:1" x14ac:dyDescent="0.3">
      <c r="A108" s="4">
        <v>1915</v>
      </c>
    </row>
    <row r="109" spans="1:1" x14ac:dyDescent="0.3">
      <c r="A109" s="4">
        <v>1914</v>
      </c>
    </row>
    <row r="110" spans="1:1" x14ac:dyDescent="0.3">
      <c r="A110" s="4">
        <v>1913</v>
      </c>
    </row>
    <row r="111" spans="1:1" x14ac:dyDescent="0.3">
      <c r="A111" s="4">
        <v>1912</v>
      </c>
    </row>
    <row r="112" spans="1:1" x14ac:dyDescent="0.3">
      <c r="A112" s="4">
        <v>1911</v>
      </c>
    </row>
    <row r="113" spans="1:1" x14ac:dyDescent="0.3">
      <c r="A113" s="4">
        <v>1910</v>
      </c>
    </row>
    <row r="114" spans="1:1" x14ac:dyDescent="0.3">
      <c r="A114" s="4">
        <v>1909</v>
      </c>
    </row>
    <row r="115" spans="1:1" x14ac:dyDescent="0.3">
      <c r="A115" s="4">
        <v>1908</v>
      </c>
    </row>
    <row r="116" spans="1:1" x14ac:dyDescent="0.3">
      <c r="A116" s="4">
        <v>1907</v>
      </c>
    </row>
    <row r="117" spans="1:1" x14ac:dyDescent="0.3">
      <c r="A117" s="4">
        <v>1906</v>
      </c>
    </row>
    <row r="118" spans="1:1" x14ac:dyDescent="0.3">
      <c r="A118" s="4">
        <v>1905</v>
      </c>
    </row>
    <row r="119" spans="1:1" x14ac:dyDescent="0.3">
      <c r="A119" s="4">
        <v>1904</v>
      </c>
    </row>
    <row r="120" spans="1:1" x14ac:dyDescent="0.3">
      <c r="A120" s="4">
        <v>1903</v>
      </c>
    </row>
    <row r="121" spans="1:1" x14ac:dyDescent="0.3">
      <c r="A121" s="4">
        <v>1902</v>
      </c>
    </row>
    <row r="122" spans="1:1" x14ac:dyDescent="0.3">
      <c r="A122" s="4">
        <v>1901</v>
      </c>
    </row>
    <row r="123" spans="1:1" x14ac:dyDescent="0.3">
      <c r="A123" s="4">
        <v>1900</v>
      </c>
    </row>
  </sheetData>
  <mergeCells count="1"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B68B-21B5-4CCE-8438-DF352254A12A}">
  <dimension ref="A1:AY123"/>
  <sheetViews>
    <sheetView workbookViewId="0">
      <pane xSplit="1" ySplit="2" topLeftCell="AD3" activePane="bottomRight" state="frozen"/>
      <selection pane="topRight" activeCell="B1" sqref="B1"/>
      <selection pane="bottomLeft" activeCell="A3" sqref="A3"/>
      <selection pane="bottomRight" activeCell="B3" sqref="B3:P123"/>
    </sheetView>
  </sheetViews>
  <sheetFormatPr defaultColWidth="9.109375" defaultRowHeight="14.4" x14ac:dyDescent="0.3"/>
  <cols>
    <col min="1" max="3" width="9.109375" style="4"/>
    <col min="4" max="4" width="11.77734375" style="4" customWidth="1"/>
    <col min="5" max="5" width="13" style="4" customWidth="1"/>
    <col min="6" max="6" width="10.6640625" style="4" customWidth="1"/>
    <col min="7" max="7" width="14.33203125" style="4" customWidth="1"/>
    <col min="8" max="8" width="9.109375" style="4"/>
    <col min="9" max="9" width="9.88671875" style="4" bestFit="1" customWidth="1"/>
    <col min="10" max="10" width="10.88671875" style="4" bestFit="1" customWidth="1"/>
    <col min="11" max="11" width="10.88671875" style="4" customWidth="1"/>
    <col min="12" max="12" width="10.88671875" style="4" bestFit="1" customWidth="1"/>
    <col min="13" max="13" width="10.88671875" style="4" customWidth="1"/>
    <col min="14" max="14" width="10.88671875" style="4" bestFit="1" customWidth="1"/>
    <col min="15" max="15" width="9.88671875" style="4" bestFit="1" customWidth="1"/>
    <col min="16" max="16" width="9.109375" style="4"/>
    <col min="17" max="17" width="11.33203125" style="4" customWidth="1"/>
    <col min="18" max="49" width="9.109375" style="4"/>
    <col min="50" max="50" width="10.88671875" style="4" customWidth="1"/>
    <col min="51" max="16384" width="9.109375" style="4"/>
  </cols>
  <sheetData>
    <row r="1" spans="1:51" x14ac:dyDescent="0.3">
      <c r="B1" s="26" t="s">
        <v>224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25" t="s">
        <v>299</v>
      </c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7"/>
      <c r="AH1" s="25" t="s">
        <v>300</v>
      </c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7"/>
      <c r="AX1" s="7"/>
      <c r="AY1" s="16"/>
    </row>
    <row r="2" spans="1:51" x14ac:dyDescent="0.3">
      <c r="B2" s="4" t="s">
        <v>16</v>
      </c>
      <c r="C2" s="4" t="s">
        <v>20</v>
      </c>
      <c r="D2" s="4" t="s">
        <v>171</v>
      </c>
      <c r="E2" s="4" t="s">
        <v>220</v>
      </c>
      <c r="F2" s="4" t="s">
        <v>221</v>
      </c>
      <c r="G2" s="4" t="s">
        <v>222</v>
      </c>
      <c r="H2" s="4" t="s">
        <v>3</v>
      </c>
      <c r="I2" s="4" t="s">
        <v>17</v>
      </c>
      <c r="J2" s="4" t="s">
        <v>88</v>
      </c>
      <c r="K2" s="4" t="s">
        <v>223</v>
      </c>
      <c r="L2" s="7" t="s">
        <v>225</v>
      </c>
      <c r="M2" s="4" t="s">
        <v>226</v>
      </c>
      <c r="N2" s="4" t="s">
        <v>238</v>
      </c>
      <c r="O2" s="4" t="s">
        <v>18</v>
      </c>
      <c r="P2" s="4" t="s">
        <v>19</v>
      </c>
      <c r="R2" s="4" t="s">
        <v>16</v>
      </c>
      <c r="S2" s="4" t="s">
        <v>20</v>
      </c>
      <c r="T2" s="4" t="s">
        <v>171</v>
      </c>
      <c r="U2" s="4" t="s">
        <v>220</v>
      </c>
      <c r="V2" s="4" t="s">
        <v>221</v>
      </c>
      <c r="W2" s="4" t="s">
        <v>222</v>
      </c>
      <c r="X2" s="4" t="s">
        <v>3</v>
      </c>
      <c r="Y2" s="4" t="s">
        <v>17</v>
      </c>
      <c r="Z2" s="4" t="s">
        <v>88</v>
      </c>
      <c r="AA2" s="4" t="s">
        <v>227</v>
      </c>
      <c r="AB2" s="7" t="s">
        <v>225</v>
      </c>
      <c r="AC2" s="4" t="s">
        <v>79</v>
      </c>
      <c r="AD2" s="4" t="s">
        <v>238</v>
      </c>
      <c r="AE2" s="4" t="s">
        <v>18</v>
      </c>
      <c r="AF2" s="4" t="s">
        <v>19</v>
      </c>
      <c r="AH2" s="4" t="s">
        <v>16</v>
      </c>
      <c r="AI2" s="4" t="s">
        <v>20</v>
      </c>
      <c r="AJ2" s="4" t="s">
        <v>171</v>
      </c>
      <c r="AK2" s="4" t="s">
        <v>220</v>
      </c>
      <c r="AL2" s="4" t="s">
        <v>221</v>
      </c>
      <c r="AM2" s="4" t="s">
        <v>222</v>
      </c>
      <c r="AN2" s="4" t="s">
        <v>3</v>
      </c>
      <c r="AO2" s="4" t="s">
        <v>17</v>
      </c>
      <c r="AP2" s="4" t="s">
        <v>88</v>
      </c>
      <c r="AQ2" s="4" t="s">
        <v>227</v>
      </c>
      <c r="AR2" s="7" t="s">
        <v>225</v>
      </c>
      <c r="AS2" s="4" t="s">
        <v>79</v>
      </c>
      <c r="AT2" s="4" t="s">
        <v>238</v>
      </c>
      <c r="AU2" s="4" t="s">
        <v>18</v>
      </c>
      <c r="AV2" s="4" t="s">
        <v>19</v>
      </c>
      <c r="AX2" s="4" t="s">
        <v>298</v>
      </c>
      <c r="AY2" s="4" t="s">
        <v>93</v>
      </c>
    </row>
    <row r="3" spans="1:51" x14ac:dyDescent="0.3">
      <c r="A3" s="4">
        <v>2020</v>
      </c>
      <c r="B3" s="1">
        <v>5684911.0627930714</v>
      </c>
      <c r="C3" s="1">
        <v>7578400.6256646458</v>
      </c>
      <c r="D3" s="1">
        <v>10928065.22862787</v>
      </c>
      <c r="E3" s="1">
        <v>7530109.1692302162</v>
      </c>
      <c r="F3" s="1">
        <v>5558083.6013492467</v>
      </c>
      <c r="G3" s="1">
        <v>2434228.5085464497</v>
      </c>
      <c r="H3" s="1">
        <v>58638.164427098134</v>
      </c>
      <c r="I3" s="1">
        <v>12365260.775266498</v>
      </c>
      <c r="J3" s="1">
        <v>43369627.189088345</v>
      </c>
      <c r="K3" s="1">
        <v>77829745.320532933</v>
      </c>
      <c r="L3" s="1">
        <v>65214617.449657671</v>
      </c>
      <c r="M3" s="1">
        <v>70064058.910765246</v>
      </c>
      <c r="N3" s="1">
        <v>173653396.07761353</v>
      </c>
      <c r="O3" s="1">
        <v>13656020.118129548</v>
      </c>
      <c r="P3" s="1">
        <v>2037690.1671356575</v>
      </c>
      <c r="Q3" s="1"/>
      <c r="R3" s="4">
        <f>'Direct mail readership'!B2</f>
        <v>68.912154047018632</v>
      </c>
      <c r="S3" s="4">
        <v>-9999</v>
      </c>
      <c r="T3" s="4">
        <v>-9999</v>
      </c>
      <c r="U3" s="4">
        <f>'Print newspapers, readership'!B2</f>
        <v>55.853368401638555</v>
      </c>
      <c r="V3" s="4">
        <f>'Print periodical, readership'!B2</f>
        <v>99.581598292085559</v>
      </c>
      <c r="W3" s="4">
        <v>-9999</v>
      </c>
      <c r="X3" s="4">
        <f>'Movie theater viewership'!B3</f>
        <v>19.847000000000001</v>
      </c>
      <c r="Y3" s="4">
        <f>'Radio listenership'!B2</f>
        <v>85.730620879015532</v>
      </c>
      <c r="Z3" s="4">
        <f>'Broadcast television viewership'!B2</f>
        <v>55.741962252579718</v>
      </c>
      <c r="AA3" s="4">
        <f>'Cable.audiovisual internet view'!B2*100/'Cable.audiovisual internet view'!B$10</f>
        <v>177.6020560044895</v>
      </c>
      <c r="AB3" s="4">
        <f>'Nonaudiovisual internet time'!$B3*100/'Nonaudiovisual internet time'!B$11</f>
        <v>179.28482289913325</v>
      </c>
      <c r="AC3" s="4">
        <f>'Search internet time'!B3</f>
        <v>312.44290994758637</v>
      </c>
      <c r="AD3" s="4">
        <v>-9999</v>
      </c>
      <c r="AE3" s="4">
        <v>-9999</v>
      </c>
      <c r="AF3" s="4">
        <v>-9999</v>
      </c>
      <c r="AH3" s="4">
        <f t="shared" ref="AH3:AH34" si="0">IF(OR(R3=-9999,R3=0), ".", (B3/R3)*100/(B$11/R$11))</f>
        <v>120.49710754639933</v>
      </c>
      <c r="AI3" s="4" t="str">
        <f t="shared" ref="AI3:AI34" si="1">IF(OR(S3=-9999,S3=0), ".", (C3/S3)*100/(C$11/S$11))</f>
        <v>.</v>
      </c>
      <c r="AJ3" s="4" t="str">
        <f t="shared" ref="AJ3:AJ34" si="2">IF(OR(T3=-9999,T3=0), ".", (D3/T3)*100/(D$11/T$11))</f>
        <v>.</v>
      </c>
      <c r="AK3" s="4">
        <f t="shared" ref="AK3:AK34" si="3">IF(OR(U3=-9999,U3=0), ".", (E3/U3)*100/(E$11/U$11))</f>
        <v>76.267138430572459</v>
      </c>
      <c r="AL3" s="4">
        <f t="shared" ref="AL3:AL34" si="4">IF(OR(V3=-9999,V3=0), ".", (F3/V3)*100/(F$11/V$11))</f>
        <v>43.806656159564533</v>
      </c>
      <c r="AM3" s="4" t="str">
        <f t="shared" ref="AM3:AM34" si="5">IF(OR(W3=-9999,W3=0), ".", (G3/W3)*100/(G$11/W$11))</f>
        <v>.</v>
      </c>
      <c r="AN3" s="4">
        <f t="shared" ref="AN3:AN34" si="6">IF(OR(X3=-9999,X3=0), ".", (H3/X3)*100/(H$11/X$11))</f>
        <v>181.25829598606683</v>
      </c>
      <c r="AO3" s="4">
        <f t="shared" ref="AO3:AO34" si="7">IF(OR(Y3=-9999,Y3=0), ".", (I3/Y3)*100/(I$11/Y$11))</f>
        <v>96.763154950569103</v>
      </c>
      <c r="AP3" s="4">
        <f t="shared" ref="AP3:AP34" si="8">IF(OR(Z3=-9999,Z3=0), ".", (J3/Z3)*100/(J$11/Z$11))</f>
        <v>230.18906104835574</v>
      </c>
      <c r="AQ3" s="4">
        <f t="shared" ref="AQ3:AQ34" si="9">IF(OR(AA3=-9999,AA3=0), ".", (K3/AA3)*100/(K$11/AA$11))</f>
        <v>103.36814690783731</v>
      </c>
      <c r="AR3" s="4">
        <f t="shared" ref="AR3:AR34" si="10">IF(OR(AB3=-9999,AB3=0), ".", (L3/AB3)*100/(L$11/AB$11))</f>
        <v>156.45354460396075</v>
      </c>
      <c r="AS3" s="4">
        <f t="shared" ref="AS3:AS34" si="11">IF(OR(AC3=-9999,AC3=0), ".", (M3/AC3)*100/(M$11/AC$11))</f>
        <v>84.285084364781994</v>
      </c>
      <c r="AT3" s="4" t="str">
        <f t="shared" ref="AT3:AT34" si="12">IF(OR(AD3=-9999,AD3=0), ".", (N3/AD3)*100/(N$11/AD$11))</f>
        <v>.</v>
      </c>
      <c r="AU3" s="4" t="str">
        <f t="shared" ref="AU3:AU34" si="13">IF(OR(AE3=-9999,AE3=0), ".", (O3/AE3)*100/(O$11/AE$11))</f>
        <v>.</v>
      </c>
      <c r="AV3" s="4" t="str">
        <f t="shared" ref="AV3:AV34" si="14">IF(OR(AF3=-9999,AF3=0), ".", (P3/AF3)*100/(P$11/AF$11))</f>
        <v>.</v>
      </c>
      <c r="AX3" s="1">
        <f t="shared" ref="AX3:AX34" si="15">E3+F3+H3+I3+J3+K3+L3+M3+B3</f>
        <v>287675051.64311033</v>
      </c>
      <c r="AY3" s="4">
        <f t="shared" ref="AY3:AY10" si="16">AY4*((E3/U3)/(E4/U4))^((E3+E4)/(AX3+AX4))*((F3/V3)/(F4/V4))^((F3+F4)/(AX3+AX4))*((H3/X3)/(H4/X4))^((H3+H4)/(AX3+AX4))*((I3/Y3)/(I4/Y4))^((I3+I4)/(AX3+AX4))*((J3/Z3)/(J4/Z4))^((J3+J4)/(AX3+AX4))*((K3/AA3)/(K4/AA4))^((K3+K4)/(AX3+AX4))*((L3/AB3)/(L4/AB4))^((L3+L4)/(AX3+AX4))*((M3/AC3)/(M4/AC4))^((M3+M4)/(AX3+AX4))*((B3/R3)/(B4/R4))^((B3+B4)/(AX3+AX4))</f>
        <v>113.71631861232845</v>
      </c>
    </row>
    <row r="4" spans="1:51" x14ac:dyDescent="0.3">
      <c r="A4" s="4">
        <v>2019</v>
      </c>
      <c r="B4" s="1">
        <v>5893818.0374342529</v>
      </c>
      <c r="C4" s="1">
        <v>7720142.3259996492</v>
      </c>
      <c r="D4" s="1">
        <v>12237360.909739567</v>
      </c>
      <c r="E4" s="1">
        <v>8796620.9585994128</v>
      </c>
      <c r="F4" s="1">
        <v>6405493.2659183592</v>
      </c>
      <c r="G4" s="1">
        <v>2580984.4095735066</v>
      </c>
      <c r="H4" s="1">
        <v>215444.72550662511</v>
      </c>
      <c r="I4" s="1">
        <v>12899978.817448353</v>
      </c>
      <c r="J4" s="1">
        <v>42608398.374960013</v>
      </c>
      <c r="K4" s="1">
        <v>72849213.886837676</v>
      </c>
      <c r="L4" s="1">
        <v>59349946.021901727</v>
      </c>
      <c r="M4" s="1">
        <v>70609422.702443138</v>
      </c>
      <c r="N4" s="1">
        <v>162920897.54789227</v>
      </c>
      <c r="O4" s="1">
        <v>19350637.907550555</v>
      </c>
      <c r="P4" s="1">
        <v>2887415.5318261976</v>
      </c>
      <c r="Q4" s="1"/>
      <c r="R4" s="4">
        <f>'Direct mail readership'!B3</f>
        <v>80.154390140724814</v>
      </c>
      <c r="S4" s="4">
        <v>-9999</v>
      </c>
      <c r="T4" s="4">
        <v>-9999</v>
      </c>
      <c r="U4" s="4">
        <f>'Print newspapers, readership'!B3</f>
        <v>59.48673350154386</v>
      </c>
      <c r="V4" s="4">
        <f>'Print periodical, readership'!B3</f>
        <v>98.997045354272601</v>
      </c>
      <c r="W4" s="4">
        <v>-9999</v>
      </c>
      <c r="X4" s="4">
        <f>'Movie theater viewership'!B4</f>
        <v>95.671999999999997</v>
      </c>
      <c r="Y4" s="4">
        <f>'Radio listenership'!B3</f>
        <v>91.1075434934328</v>
      </c>
      <c r="Z4" s="4">
        <f>'Broadcast television viewership'!B3</f>
        <v>61.359504838131393</v>
      </c>
      <c r="AA4" s="4">
        <f>'Cable.audiovisual internet view'!B3*100/'Cable.audiovisual internet view'!B$10</f>
        <v>153.35997093534652</v>
      </c>
      <c r="AB4" s="4">
        <f>'Nonaudiovisual internet time'!$B4*100/'Nonaudiovisual internet time'!B$11</f>
        <v>159.7580341949463</v>
      </c>
      <c r="AC4" s="4">
        <f>'Search internet time'!B4</f>
        <v>258.25890205832241</v>
      </c>
      <c r="AD4" s="4">
        <v>-9999</v>
      </c>
      <c r="AE4" s="4">
        <v>-9999</v>
      </c>
      <c r="AF4" s="4">
        <v>-9999</v>
      </c>
      <c r="AH4" s="4">
        <f t="shared" si="0"/>
        <v>107.40343764482277</v>
      </c>
      <c r="AI4" s="4" t="str">
        <f t="shared" si="1"/>
        <v>.</v>
      </c>
      <c r="AJ4" s="4" t="str">
        <f t="shared" si="2"/>
        <v>.</v>
      </c>
      <c r="AK4" s="4">
        <f t="shared" si="3"/>
        <v>83.652958685896252</v>
      </c>
      <c r="AL4" s="4">
        <f t="shared" si="4"/>
        <v>50.783714971830499</v>
      </c>
      <c r="AM4" s="4" t="str">
        <f t="shared" si="5"/>
        <v>.</v>
      </c>
      <c r="AN4" s="4">
        <f t="shared" si="6"/>
        <v>138.15398259148276</v>
      </c>
      <c r="AO4" s="4">
        <f t="shared" si="7"/>
        <v>94.989886635333391</v>
      </c>
      <c r="AP4" s="4">
        <f t="shared" si="8"/>
        <v>205.44454237410099</v>
      </c>
      <c r="AQ4" s="4">
        <f t="shared" si="9"/>
        <v>112.04744621714879</v>
      </c>
      <c r="AR4" s="4">
        <f t="shared" si="10"/>
        <v>159.78705881235649</v>
      </c>
      <c r="AS4" s="4">
        <f t="shared" si="11"/>
        <v>102.76221747286171</v>
      </c>
      <c r="AT4" s="4" t="str">
        <f t="shared" si="12"/>
        <v>.</v>
      </c>
      <c r="AU4" s="4" t="str">
        <f t="shared" si="13"/>
        <v>.</v>
      </c>
      <c r="AV4" s="4" t="str">
        <f t="shared" si="14"/>
        <v>.</v>
      </c>
      <c r="AX4" s="1">
        <f t="shared" si="15"/>
        <v>279628336.7910496</v>
      </c>
      <c r="AY4" s="4">
        <f t="shared" si="16"/>
        <v>120.80042642570771</v>
      </c>
    </row>
    <row r="5" spans="1:51" x14ac:dyDescent="0.3">
      <c r="A5" s="4">
        <v>2018</v>
      </c>
      <c r="B5" s="1">
        <v>5709523.6661272347</v>
      </c>
      <c r="C5" s="1">
        <v>7607969.8875600388</v>
      </c>
      <c r="D5" s="1">
        <v>11722666.500317227</v>
      </c>
      <c r="E5" s="1">
        <v>9657553.985110689</v>
      </c>
      <c r="F5" s="1">
        <v>7106341.8079433935</v>
      </c>
      <c r="G5" s="1">
        <v>2841706.8234326513</v>
      </c>
      <c r="H5" s="1">
        <v>217974.26357876044</v>
      </c>
      <c r="I5" s="1">
        <v>12635299.524403585</v>
      </c>
      <c r="J5" s="1">
        <v>41599471.201326817</v>
      </c>
      <c r="K5" s="1">
        <v>67891227.978522122</v>
      </c>
      <c r="L5" s="1">
        <v>54825325.011092275</v>
      </c>
      <c r="M5" s="1">
        <v>62486608.188614696</v>
      </c>
      <c r="N5" s="1">
        <v>153356543.795506</v>
      </c>
      <c r="O5" s="1">
        <v>18650355.94352572</v>
      </c>
      <c r="P5" s="1">
        <v>2782922.5931828632</v>
      </c>
      <c r="Q5" s="1"/>
      <c r="R5" s="4">
        <f>'Direct mail readership'!B4</f>
        <v>87.149405542526893</v>
      </c>
      <c r="S5" s="4">
        <v>-9999</v>
      </c>
      <c r="T5" s="4">
        <v>-9999</v>
      </c>
      <c r="U5" s="4">
        <f>'Print newspapers, readership'!B4</f>
        <v>66.210230018420773</v>
      </c>
      <c r="V5" s="4">
        <f>'Print periodical, readership'!B4</f>
        <v>98.415923794776191</v>
      </c>
      <c r="W5" s="4">
        <v>-9999</v>
      </c>
      <c r="X5" s="4">
        <f>'Movie theater viewership'!B5</f>
        <v>101.58499999999999</v>
      </c>
      <c r="Y5" s="4">
        <f>'Radio listenership'!B4</f>
        <v>90.292676580981961</v>
      </c>
      <c r="Z5" s="4">
        <f>'Broadcast television viewership'!B4</f>
        <v>71.448916892681765</v>
      </c>
      <c r="AA5" s="4">
        <f>'Cable.audiovisual internet view'!B4*100/'Cable.audiovisual internet view'!B$10</f>
        <v>144.10486054956675</v>
      </c>
      <c r="AB5" s="4">
        <f>'Nonaudiovisual internet time'!$B5*100/'Nonaudiovisual internet time'!B$11</f>
        <v>153.10377180419894</v>
      </c>
      <c r="AC5" s="4">
        <f>'Search internet time'!B5</f>
        <v>247.5348869647309</v>
      </c>
      <c r="AD5" s="4">
        <v>-9999</v>
      </c>
      <c r="AE5" s="4">
        <v>-9999</v>
      </c>
      <c r="AF5" s="4">
        <v>-9999</v>
      </c>
      <c r="AH5" s="4">
        <f t="shared" si="0"/>
        <v>95.693892581521908</v>
      </c>
      <c r="AI5" s="4" t="str">
        <f t="shared" si="1"/>
        <v>.</v>
      </c>
      <c r="AJ5" s="4" t="str">
        <f t="shared" si="2"/>
        <v>.</v>
      </c>
      <c r="AK5" s="4">
        <f t="shared" si="3"/>
        <v>82.513991648629286</v>
      </c>
      <c r="AL5" s="4">
        <f t="shared" si="4"/>
        <v>56.672822290832499</v>
      </c>
      <c r="AM5" s="4" t="str">
        <f t="shared" si="5"/>
        <v>.</v>
      </c>
      <c r="AN5" s="4">
        <f t="shared" si="6"/>
        <v>131.64004732279292</v>
      </c>
      <c r="AO5" s="4">
        <f t="shared" si="7"/>
        <v>93.88057125100849</v>
      </c>
      <c r="AP5" s="4">
        <f t="shared" si="8"/>
        <v>172.25562227140773</v>
      </c>
      <c r="AQ5" s="4">
        <f t="shared" si="9"/>
        <v>111.12816547016639</v>
      </c>
      <c r="AR5" s="4">
        <f t="shared" si="10"/>
        <v>154.02077609074806</v>
      </c>
      <c r="AS5" s="4">
        <f t="shared" si="11"/>
        <v>94.880429586180398</v>
      </c>
      <c r="AT5" s="4" t="str">
        <f t="shared" si="12"/>
        <v>.</v>
      </c>
      <c r="AU5" s="4" t="str">
        <f t="shared" si="13"/>
        <v>.</v>
      </c>
      <c r="AV5" s="4" t="str">
        <f t="shared" si="14"/>
        <v>.</v>
      </c>
      <c r="AX5" s="1">
        <f t="shared" si="15"/>
        <v>262129325.62671956</v>
      </c>
      <c r="AY5" s="4">
        <f t="shared" si="16"/>
        <v>114.03055532930036</v>
      </c>
    </row>
    <row r="6" spans="1:51" x14ac:dyDescent="0.3">
      <c r="A6" s="4">
        <v>2017</v>
      </c>
      <c r="B6" s="1">
        <v>5761750.4097875301</v>
      </c>
      <c r="C6" s="1">
        <v>7741801.6244993517</v>
      </c>
      <c r="D6" s="1">
        <v>11457799.409754107</v>
      </c>
      <c r="E6" s="1">
        <v>10667494.557437649</v>
      </c>
      <c r="F6" s="1">
        <v>8740784.3118664492</v>
      </c>
      <c r="G6" s="1">
        <v>2804335.4781767409</v>
      </c>
      <c r="H6" s="1">
        <v>197985.95293031842</v>
      </c>
      <c r="I6" s="1">
        <v>12343025.753602102</v>
      </c>
      <c r="J6" s="1">
        <v>37212871.299163088</v>
      </c>
      <c r="K6" s="1">
        <v>62873776.317489862</v>
      </c>
      <c r="L6" s="1">
        <v>48458598.107638851</v>
      </c>
      <c r="M6" s="1">
        <v>55513373.426550373</v>
      </c>
      <c r="N6" s="1">
        <v>140941249.78838041</v>
      </c>
      <c r="O6" s="1">
        <v>17802612.491547283</v>
      </c>
      <c r="P6" s="1">
        <v>2656426.1116745519</v>
      </c>
      <c r="Q6" s="1"/>
      <c r="R6" s="4">
        <f>'Direct mail readership'!B5</f>
        <v>83.342614457491337</v>
      </c>
      <c r="S6" s="4">
        <v>-9999</v>
      </c>
      <c r="T6" s="4">
        <v>-9999</v>
      </c>
      <c r="U6" s="4">
        <f>'Print newspapers, readership'!B5</f>
        <v>72.397977978286448</v>
      </c>
      <c r="V6" s="4">
        <f>'Print periodical, readership'!B5</f>
        <v>98.342552759187754</v>
      </c>
      <c r="W6" s="4">
        <v>-9999</v>
      </c>
      <c r="X6" s="4">
        <f>'Movie theater viewership'!B6</f>
        <v>97.197999999999993</v>
      </c>
      <c r="Y6" s="4">
        <f>'Radio listenership'!B5</f>
        <v>90.488805741424912</v>
      </c>
      <c r="Z6" s="4">
        <f>'Broadcast television viewership'!B5</f>
        <v>77.33665766995145</v>
      </c>
      <c r="AA6" s="4">
        <f>'Cable.audiovisual internet view'!B5*100/'Cable.audiovisual internet view'!B$10</f>
        <v>139.85883368666802</v>
      </c>
      <c r="AB6" s="4">
        <f>'Nonaudiovisual internet time'!$B6*100/'Nonaudiovisual internet time'!B$11</f>
        <v>147.0707936872968</v>
      </c>
      <c r="AC6" s="4">
        <f>'Search internet time'!B6</f>
        <v>171.25207190891365</v>
      </c>
      <c r="AD6" s="4">
        <v>-9999</v>
      </c>
      <c r="AE6" s="4">
        <v>-9999</v>
      </c>
      <c r="AF6" s="4">
        <v>-9999</v>
      </c>
      <c r="AH6" s="4">
        <f t="shared" si="0"/>
        <v>100.98016913445538</v>
      </c>
      <c r="AI6" s="4" t="str">
        <f t="shared" si="1"/>
        <v>.</v>
      </c>
      <c r="AJ6" s="4" t="str">
        <f t="shared" si="2"/>
        <v>.</v>
      </c>
      <c r="AK6" s="4">
        <f t="shared" si="3"/>
        <v>83.353058863928055</v>
      </c>
      <c r="AL6" s="4">
        <f t="shared" si="4"/>
        <v>69.759449988242551</v>
      </c>
      <c r="AM6" s="4" t="str">
        <f t="shared" si="5"/>
        <v>.</v>
      </c>
      <c r="AN6" s="4">
        <f t="shared" si="6"/>
        <v>124.96530258223044</v>
      </c>
      <c r="AO6" s="4">
        <f t="shared" si="7"/>
        <v>91.51019649671224</v>
      </c>
      <c r="AP6" s="4">
        <f t="shared" si="8"/>
        <v>142.36034357797794</v>
      </c>
      <c r="AQ6" s="4">
        <f t="shared" si="9"/>
        <v>106.03976433496881</v>
      </c>
      <c r="AR6" s="4">
        <f t="shared" si="10"/>
        <v>141.71910216153165</v>
      </c>
      <c r="AS6" s="4">
        <f t="shared" si="11"/>
        <v>121.8394392445239</v>
      </c>
      <c r="AT6" s="4" t="str">
        <f t="shared" si="12"/>
        <v>.</v>
      </c>
      <c r="AU6" s="4" t="str">
        <f t="shared" si="13"/>
        <v>.</v>
      </c>
      <c r="AV6" s="4" t="str">
        <f t="shared" si="14"/>
        <v>.</v>
      </c>
      <c r="AX6" s="1">
        <f t="shared" si="15"/>
        <v>241769660.13646626</v>
      </c>
      <c r="AY6" s="4">
        <f t="shared" si="16"/>
        <v>114.76046739027521</v>
      </c>
    </row>
    <row r="7" spans="1:51" x14ac:dyDescent="0.3">
      <c r="A7" s="4">
        <v>2016</v>
      </c>
      <c r="B7" s="1">
        <v>6186999.2579655191</v>
      </c>
      <c r="C7" s="1">
        <v>8498687.5297202561</v>
      </c>
      <c r="D7" s="1">
        <v>11577586.575647429</v>
      </c>
      <c r="E7" s="1">
        <v>11375306.73819321</v>
      </c>
      <c r="F7" s="1">
        <v>9750915.9067129847</v>
      </c>
      <c r="G7" s="1">
        <v>3640040.3185886764</v>
      </c>
      <c r="H7" s="1">
        <v>200538.61657710024</v>
      </c>
      <c r="I7" s="1">
        <v>13173943.444194308</v>
      </c>
      <c r="J7" s="1">
        <v>39727639.415890969</v>
      </c>
      <c r="K7" s="1">
        <v>58525093.760684848</v>
      </c>
      <c r="L7" s="1">
        <v>41768171.103336439</v>
      </c>
      <c r="M7" s="1">
        <v>49828570.454664379</v>
      </c>
      <c r="N7" s="1">
        <v>135350246.11806536</v>
      </c>
      <c r="O7" s="1">
        <v>17186071.799199324</v>
      </c>
      <c r="P7" s="1">
        <v>2564428.6705775973</v>
      </c>
      <c r="Q7" s="1"/>
      <c r="R7" s="4">
        <f>'Direct mail readership'!B6</f>
        <v>92.24739425775148</v>
      </c>
      <c r="S7" s="4">
        <v>-9999</v>
      </c>
      <c r="T7" s="4">
        <v>-9999</v>
      </c>
      <c r="U7" s="4">
        <f>'Print newspapers, readership'!B6</f>
        <v>80.805332303525262</v>
      </c>
      <c r="V7" s="4">
        <f>'Print periodical, readership'!B6</f>
        <v>98.269236423170838</v>
      </c>
      <c r="W7" s="4">
        <v>-9999</v>
      </c>
      <c r="X7" s="4">
        <f>'Movie theater viewership'!B7</f>
        <v>103.23699999999999</v>
      </c>
      <c r="Y7" s="4">
        <f>'Radio listenership'!B6</f>
        <v>93.263037766258563</v>
      </c>
      <c r="Z7" s="4">
        <f>'Broadcast television viewership'!B6</f>
        <v>82.293620809666294</v>
      </c>
      <c r="AA7" s="4">
        <f>'Cable.audiovisual internet view'!B6*100/'Cable.audiovisual internet view'!B$10</f>
        <v>131.90716359069154</v>
      </c>
      <c r="AB7" s="4">
        <f>'Nonaudiovisual internet time'!$B7*100/'Nonaudiovisual internet time'!B$11</f>
        <v>127.8609784843707</v>
      </c>
      <c r="AC7" s="4">
        <f>'Search internet time'!B7</f>
        <v>168.33314321262458</v>
      </c>
      <c r="AD7" s="4">
        <v>-9999</v>
      </c>
      <c r="AE7" s="4">
        <v>-9999</v>
      </c>
      <c r="AF7" s="4">
        <v>-9999</v>
      </c>
      <c r="AH7" s="4">
        <f t="shared" si="0"/>
        <v>97.965854092957528</v>
      </c>
      <c r="AI7" s="4" t="str">
        <f t="shared" si="1"/>
        <v>.</v>
      </c>
      <c r="AJ7" s="4" t="str">
        <f t="shared" si="2"/>
        <v>.</v>
      </c>
      <c r="AK7" s="4">
        <f t="shared" si="3"/>
        <v>79.635854548323977</v>
      </c>
      <c r="AL7" s="4">
        <f t="shared" si="4"/>
        <v>77.87928417923338</v>
      </c>
      <c r="AM7" s="4" t="str">
        <f t="shared" si="5"/>
        <v>.</v>
      </c>
      <c r="AN7" s="4">
        <f t="shared" si="6"/>
        <v>119.1722213168926</v>
      </c>
      <c r="AO7" s="4">
        <f t="shared" si="7"/>
        <v>94.765213793630409</v>
      </c>
      <c r="AP7" s="4">
        <f t="shared" si="8"/>
        <v>142.82618455389769</v>
      </c>
      <c r="AQ7" s="4">
        <f t="shared" si="9"/>
        <v>104.65569034538618</v>
      </c>
      <c r="AR7" s="4">
        <f t="shared" si="10"/>
        <v>140.50488314561838</v>
      </c>
      <c r="AS7" s="4">
        <f t="shared" si="11"/>
        <v>111.25893582942514</v>
      </c>
      <c r="AT7" s="4" t="str">
        <f t="shared" si="12"/>
        <v>.</v>
      </c>
      <c r="AU7" s="4" t="str">
        <f t="shared" si="13"/>
        <v>.</v>
      </c>
      <c r="AV7" s="4" t="str">
        <f t="shared" si="14"/>
        <v>.</v>
      </c>
      <c r="AX7" s="1">
        <f t="shared" si="15"/>
        <v>230537178.69821975</v>
      </c>
      <c r="AY7" s="4">
        <f t="shared" si="16"/>
        <v>112.32093427792907</v>
      </c>
    </row>
    <row r="8" spans="1:51" x14ac:dyDescent="0.3">
      <c r="A8" s="4">
        <v>2015</v>
      </c>
      <c r="B8" s="1">
        <v>6145232.8639428494</v>
      </c>
      <c r="C8" s="1">
        <v>8731168.6542060748</v>
      </c>
      <c r="D8" s="1">
        <v>11718971.050115816</v>
      </c>
      <c r="E8" s="1">
        <v>13046924.415310713</v>
      </c>
      <c r="F8" s="1">
        <v>11107979.167610995</v>
      </c>
      <c r="G8" s="1">
        <v>4114651.5572440429</v>
      </c>
      <c r="H8" s="1">
        <v>187828.98127893612</v>
      </c>
      <c r="I8" s="1">
        <v>13357495.98286785</v>
      </c>
      <c r="J8" s="1">
        <v>35876396.421127893</v>
      </c>
      <c r="K8" s="1">
        <v>52055603.218278065</v>
      </c>
      <c r="L8" s="1">
        <v>35969018.196547024</v>
      </c>
      <c r="M8" s="1">
        <v>43105160.076181114</v>
      </c>
      <c r="N8" s="1">
        <v>127011362.54588673</v>
      </c>
      <c r="O8" s="1">
        <v>16492463.520307871</v>
      </c>
      <c r="P8" s="1">
        <v>2460931.549343524</v>
      </c>
      <c r="Q8" s="1"/>
      <c r="R8" s="4">
        <f>'Direct mail readership'!B7</f>
        <v>90.293552539873943</v>
      </c>
      <c r="S8" s="4">
        <v>-9999</v>
      </c>
      <c r="T8" s="4">
        <v>-9999</v>
      </c>
      <c r="U8" s="4">
        <f>'Print newspapers, readership'!B7</f>
        <v>87.728662278301883</v>
      </c>
      <c r="V8" s="4">
        <f>'Print periodical, readership'!B7</f>
        <v>97.17171450325506</v>
      </c>
      <c r="W8" s="4">
        <v>-9999</v>
      </c>
      <c r="X8" s="4">
        <f>'Movie theater viewership'!B8</f>
        <v>102.35599999999999</v>
      </c>
      <c r="Y8" s="4">
        <f>'Radio listenership'!B7</f>
        <v>97.071985100254324</v>
      </c>
      <c r="Z8" s="4">
        <f>'Broadcast television viewership'!B7</f>
        <v>85.929147192976842</v>
      </c>
      <c r="AA8" s="4">
        <f>'Cable.audiovisual internet view'!B7*100/'Cable.audiovisual internet view'!B$10</f>
        <v>123.69576952519139</v>
      </c>
      <c r="AB8" s="4">
        <f>'Nonaudiovisual internet time'!$B8*100/'Nonaudiovisual internet time'!B$11</f>
        <v>123.98377907224258</v>
      </c>
      <c r="AC8" s="4">
        <f>'Search internet time'!B8</f>
        <v>138.41318275676221</v>
      </c>
      <c r="AD8" s="4">
        <v>-9999</v>
      </c>
      <c r="AE8" s="4">
        <v>-9999</v>
      </c>
      <c r="AF8" s="4">
        <v>-9999</v>
      </c>
      <c r="AH8" s="4">
        <f t="shared" si="0"/>
        <v>99.410069310926829</v>
      </c>
      <c r="AI8" s="4" t="str">
        <f t="shared" si="1"/>
        <v>.</v>
      </c>
      <c r="AJ8" s="4" t="str">
        <f t="shared" si="2"/>
        <v>.</v>
      </c>
      <c r="AK8" s="4">
        <f t="shared" si="3"/>
        <v>84.130251698939418</v>
      </c>
      <c r="AL8" s="4">
        <f t="shared" si="4"/>
        <v>89.720009853271165</v>
      </c>
      <c r="AM8" s="4" t="str">
        <f t="shared" si="5"/>
        <v>.</v>
      </c>
      <c r="AN8" s="4">
        <f t="shared" si="6"/>
        <v>112.580116311802</v>
      </c>
      <c r="AO8" s="4">
        <f t="shared" si="7"/>
        <v>92.31533511194931</v>
      </c>
      <c r="AP8" s="4">
        <f t="shared" si="8"/>
        <v>123.52349121975129</v>
      </c>
      <c r="AQ8" s="4">
        <f t="shared" si="9"/>
        <v>99.266280028025733</v>
      </c>
      <c r="AR8" s="4">
        <f t="shared" si="10"/>
        <v>124.78078007706989</v>
      </c>
      <c r="AS8" s="4">
        <f t="shared" si="11"/>
        <v>117.05175075298983</v>
      </c>
      <c r="AT8" s="4" t="str">
        <f t="shared" si="12"/>
        <v>.</v>
      </c>
      <c r="AU8" s="4" t="str">
        <f t="shared" si="13"/>
        <v>.</v>
      </c>
      <c r="AV8" s="4" t="str">
        <f t="shared" si="14"/>
        <v>.</v>
      </c>
      <c r="AX8" s="1">
        <f t="shared" si="15"/>
        <v>210851639.32314545</v>
      </c>
      <c r="AY8" s="4">
        <f t="shared" si="16"/>
        <v>107.93608310544674</v>
      </c>
    </row>
    <row r="9" spans="1:51" x14ac:dyDescent="0.3">
      <c r="A9" s="4">
        <v>2014</v>
      </c>
      <c r="B9" s="1">
        <v>6469532.8198213922</v>
      </c>
      <c r="C9" s="1">
        <v>8614600.7379725073</v>
      </c>
      <c r="D9" s="1">
        <v>11404321.268040992</v>
      </c>
      <c r="E9" s="1">
        <v>14061868.165115263</v>
      </c>
      <c r="F9" s="1">
        <v>10266541.200191293</v>
      </c>
      <c r="G9" s="1">
        <v>4494423.4762596805</v>
      </c>
      <c r="H9" s="1">
        <v>178330.09016869825</v>
      </c>
      <c r="I9" s="1">
        <v>13473310.902094545</v>
      </c>
      <c r="J9" s="1">
        <v>38169054.866425976</v>
      </c>
      <c r="K9" s="1">
        <v>47022978.126267098</v>
      </c>
      <c r="L9" s="1">
        <v>28715523.270031899</v>
      </c>
      <c r="M9" s="1">
        <v>31656172.448109865</v>
      </c>
      <c r="N9" s="1">
        <v>123315711.30378325</v>
      </c>
      <c r="O9" s="1">
        <v>15875922.827959912</v>
      </c>
      <c r="P9" s="1">
        <v>2368934.1082465695</v>
      </c>
      <c r="Q9" s="1"/>
      <c r="R9" s="4">
        <f>'Direct mail readership'!B8</f>
        <v>95.118962572279003</v>
      </c>
      <c r="S9" s="4">
        <v>-9999</v>
      </c>
      <c r="T9" s="4">
        <v>-9999</v>
      </c>
      <c r="U9" s="4">
        <f>'Print newspapers, readership'!B8</f>
        <v>92.751103709276663</v>
      </c>
      <c r="V9" s="4">
        <f>'Print periodical, readership'!B8</f>
        <v>96.086450278713116</v>
      </c>
      <c r="W9" s="4">
        <v>-9999</v>
      </c>
      <c r="X9" s="4">
        <f>'Movie theater viewership'!B9</f>
        <v>101.596</v>
      </c>
      <c r="Y9" s="4">
        <f>'Radio listenership'!B8</f>
        <v>98.134404262639762</v>
      </c>
      <c r="Z9" s="4">
        <f>'Broadcast television viewership'!B8</f>
        <v>92.300032730268541</v>
      </c>
      <c r="AA9" s="4">
        <f>'Cable.audiovisual internet view'!B8*100/'Cable.audiovisual internet view'!B$10</f>
        <v>115.73243746694524</v>
      </c>
      <c r="AB9" s="4">
        <f>'Nonaudiovisual internet time'!$B9*100/'Nonaudiovisual internet time'!B$11</f>
        <v>109.21125336621171</v>
      </c>
      <c r="AC9" s="4">
        <f>'Search internet time'!B9</f>
        <v>128.58479024724517</v>
      </c>
      <c r="AD9" s="4">
        <v>-9999</v>
      </c>
      <c r="AE9" s="4">
        <v>-9999</v>
      </c>
      <c r="AF9" s="4">
        <v>-9999</v>
      </c>
      <c r="AH9" s="4">
        <f t="shared" si="0"/>
        <v>99.346961295006309</v>
      </c>
      <c r="AI9" s="4" t="str">
        <f t="shared" si="1"/>
        <v>.</v>
      </c>
      <c r="AJ9" s="4" t="str">
        <f t="shared" si="2"/>
        <v>.</v>
      </c>
      <c r="AK9" s="4">
        <f t="shared" si="3"/>
        <v>85.764880063023668</v>
      </c>
      <c r="AL9" s="4">
        <f t="shared" si="4"/>
        <v>83.860244896129188</v>
      </c>
      <c r="AM9" s="4" t="str">
        <f t="shared" si="5"/>
        <v>.</v>
      </c>
      <c r="AN9" s="4">
        <f t="shared" si="6"/>
        <v>107.68629010362604</v>
      </c>
      <c r="AO9" s="4">
        <f t="shared" si="7"/>
        <v>92.107660237309616</v>
      </c>
      <c r="AP9" s="4">
        <f t="shared" si="8"/>
        <v>122.346287768034</v>
      </c>
      <c r="AQ9" s="4">
        <f t="shared" si="9"/>
        <v>95.839412203537265</v>
      </c>
      <c r="AR9" s="4">
        <f t="shared" si="10"/>
        <v>113.09237530724272</v>
      </c>
      <c r="AS9" s="4">
        <f t="shared" si="11"/>
        <v>92.532630663708545</v>
      </c>
      <c r="AT9" s="4" t="str">
        <f t="shared" si="12"/>
        <v>.</v>
      </c>
      <c r="AU9" s="4" t="str">
        <f t="shared" si="13"/>
        <v>.</v>
      </c>
      <c r="AV9" s="4" t="str">
        <f t="shared" si="14"/>
        <v>.</v>
      </c>
      <c r="AX9" s="1">
        <f t="shared" si="15"/>
        <v>190013311.88822603</v>
      </c>
      <c r="AY9" s="4">
        <f t="shared" si="16"/>
        <v>100.37041265648344</v>
      </c>
    </row>
    <row r="10" spans="1:51" x14ac:dyDescent="0.3">
      <c r="A10" s="4">
        <v>2013</v>
      </c>
      <c r="B10" s="1">
        <v>6611038.4123038538</v>
      </c>
      <c r="C10" s="1">
        <v>8483122.379754765</v>
      </c>
      <c r="D10" s="1">
        <v>10757347.268075556</v>
      </c>
      <c r="E10" s="1">
        <v>15789758.667836608</v>
      </c>
      <c r="F10" s="1">
        <v>11915964.680736719</v>
      </c>
      <c r="G10" s="1">
        <v>4660433.9052383499</v>
      </c>
      <c r="H10" s="1">
        <v>172007.15832784632</v>
      </c>
      <c r="I10" s="1">
        <v>14239912.272837033</v>
      </c>
      <c r="J10" s="1">
        <v>34738664.867594197</v>
      </c>
      <c r="K10" s="1">
        <v>43417971.444321267</v>
      </c>
      <c r="L10" s="1">
        <v>24742014.505305957</v>
      </c>
      <c r="M10" s="1">
        <v>29972772.51816066</v>
      </c>
      <c r="N10" s="1">
        <v>118339524.35939583</v>
      </c>
      <c r="O10" s="1">
        <v>15259382.135611953</v>
      </c>
      <c r="P10" s="1">
        <v>2276936.6671496155</v>
      </c>
      <c r="Q10" s="1"/>
      <c r="R10" s="4">
        <f>'Direct mail readership'!B9</f>
        <v>94.230602873631696</v>
      </c>
      <c r="S10" s="4">
        <v>-9999</v>
      </c>
      <c r="T10" s="4">
        <v>-9999</v>
      </c>
      <c r="U10" s="4">
        <f>'Print newspapers, readership'!B9</f>
        <v>97.847558671564613</v>
      </c>
      <c r="V10" s="4">
        <f>'Print periodical, readership'!B9</f>
        <v>99.983186475863292</v>
      </c>
      <c r="W10" s="4">
        <v>-9999</v>
      </c>
      <c r="X10" s="4">
        <f>'Movie theater viewership'!B10</f>
        <v>102.006</v>
      </c>
      <c r="Y10" s="4">
        <f>'Radio listenership'!B9</f>
        <v>100.77570015716718</v>
      </c>
      <c r="Z10" s="4">
        <f>'Broadcast television viewership'!B9</f>
        <v>97.050074439996678</v>
      </c>
      <c r="AA10" s="4">
        <f>'Cable.audiovisual internet view'!B9*100/'Cable.audiovisual internet view'!B$10</f>
        <v>108.37062986745958</v>
      </c>
      <c r="AB10" s="4">
        <f>'Nonaudiovisual internet time'!$B10*100/'Nonaudiovisual internet time'!B$11</f>
        <v>108.22876951639284</v>
      </c>
      <c r="AC10" s="4">
        <f>'Search internet time'!B10</f>
        <v>121.8089914030742</v>
      </c>
      <c r="AD10" s="4">
        <v>-9999</v>
      </c>
      <c r="AE10" s="4">
        <v>-9999</v>
      </c>
      <c r="AF10" s="4">
        <v>-9999</v>
      </c>
      <c r="AH10" s="4">
        <f t="shared" si="0"/>
        <v>102.47701897462888</v>
      </c>
      <c r="AI10" s="4" t="str">
        <f t="shared" si="1"/>
        <v>.</v>
      </c>
      <c r="AJ10" s="4" t="str">
        <f t="shared" si="2"/>
        <v>.</v>
      </c>
      <c r="AK10" s="4">
        <f t="shared" si="3"/>
        <v>91.287443923195951</v>
      </c>
      <c r="AL10" s="4">
        <f t="shared" si="4"/>
        <v>93.53978237514697</v>
      </c>
      <c r="AM10" s="4" t="str">
        <f t="shared" si="5"/>
        <v>.</v>
      </c>
      <c r="AN10" s="4">
        <f t="shared" si="6"/>
        <v>103.45064408447905</v>
      </c>
      <c r="AO10" s="4">
        <f t="shared" si="7"/>
        <v>94.796913828093764</v>
      </c>
      <c r="AP10" s="4">
        <f t="shared" si="8"/>
        <v>105.90061823105279</v>
      </c>
      <c r="AQ10" s="4">
        <f t="shared" si="9"/>
        <v>94.503314680931737</v>
      </c>
      <c r="AR10" s="4">
        <f t="shared" si="10"/>
        <v>98.32779919757678</v>
      </c>
      <c r="AS10" s="4">
        <f t="shared" si="11"/>
        <v>92.485506047479703</v>
      </c>
      <c r="AT10" s="4" t="str">
        <f t="shared" si="12"/>
        <v>.</v>
      </c>
      <c r="AU10" s="4" t="str">
        <f t="shared" si="13"/>
        <v>.</v>
      </c>
      <c r="AV10" s="4" t="str">
        <f t="shared" si="14"/>
        <v>.</v>
      </c>
      <c r="AX10" s="1">
        <f t="shared" si="15"/>
        <v>181600104.52742416</v>
      </c>
      <c r="AY10" s="4">
        <f t="shared" si="16"/>
        <v>96.703920074328892</v>
      </c>
    </row>
    <row r="11" spans="1:51" x14ac:dyDescent="0.3">
      <c r="A11" s="4">
        <v>2012</v>
      </c>
      <c r="B11" s="1">
        <v>6846225.936492526</v>
      </c>
      <c r="C11" s="1">
        <v>8425641.1710813008</v>
      </c>
      <c r="D11" s="1">
        <v>9832000</v>
      </c>
      <c r="E11" s="1">
        <v>17677239.705744918</v>
      </c>
      <c r="F11" s="1">
        <v>12741069.316850906</v>
      </c>
      <c r="G11" s="1">
        <v>6442850.3988847593</v>
      </c>
      <c r="H11" s="1">
        <v>163000</v>
      </c>
      <c r="I11" s="1">
        <v>14905868.678497588</v>
      </c>
      <c r="J11" s="1">
        <v>33800159.885107361</v>
      </c>
      <c r="K11" s="1">
        <v>42394633.929623336</v>
      </c>
      <c r="L11" s="1">
        <v>23249628.486956041</v>
      </c>
      <c r="M11" s="1">
        <v>26605651.199999996</v>
      </c>
      <c r="N11" s="1">
        <v>115374132.89242618</v>
      </c>
      <c r="O11" s="1">
        <v>14565773.8567205</v>
      </c>
      <c r="P11" s="1">
        <v>2173439.5459155417</v>
      </c>
      <c r="Q11" s="1"/>
      <c r="R11" s="4">
        <f>'Direct mail readership'!B10</f>
        <v>99.999999999999986</v>
      </c>
      <c r="S11" s="4">
        <v>-9999</v>
      </c>
      <c r="T11" s="4">
        <v>-9999</v>
      </c>
      <c r="U11" s="4">
        <f>'Print newspapers, readership'!B10</f>
        <v>100</v>
      </c>
      <c r="V11" s="4">
        <f>'Print periodical, readership'!B10</f>
        <v>100</v>
      </c>
      <c r="W11" s="4">
        <v>-9999</v>
      </c>
      <c r="X11" s="4">
        <f>'Movie theater viewership'!B11</f>
        <v>100</v>
      </c>
      <c r="Y11" s="4">
        <f>'Radio listenership'!B10</f>
        <v>100</v>
      </c>
      <c r="Z11" s="4">
        <f>'Broadcast television viewership'!B10</f>
        <v>100</v>
      </c>
      <c r="AA11" s="4">
        <f>'Cable.audiovisual internet view'!B10*100/'Cable.audiovisual internet view'!B$10</f>
        <v>100</v>
      </c>
      <c r="AB11" s="4">
        <f>'Nonaudiovisual internet time'!$B11*100/'Nonaudiovisual internet time'!B$11</f>
        <v>100</v>
      </c>
      <c r="AC11" s="4">
        <f>'Search internet time'!B11</f>
        <v>100</v>
      </c>
      <c r="AD11" s="4">
        <v>-9999</v>
      </c>
      <c r="AE11" s="4">
        <v>-9999</v>
      </c>
      <c r="AF11" s="4">
        <v>-9999</v>
      </c>
      <c r="AH11" s="4">
        <f t="shared" si="0"/>
        <v>100</v>
      </c>
      <c r="AI11" s="4" t="str">
        <f t="shared" si="1"/>
        <v>.</v>
      </c>
      <c r="AJ11" s="4" t="str">
        <f t="shared" si="2"/>
        <v>.</v>
      </c>
      <c r="AK11" s="4">
        <f t="shared" si="3"/>
        <v>100</v>
      </c>
      <c r="AL11" s="4">
        <f t="shared" si="4"/>
        <v>100</v>
      </c>
      <c r="AM11" s="4" t="str">
        <f t="shared" si="5"/>
        <v>.</v>
      </c>
      <c r="AN11" s="4">
        <f t="shared" si="6"/>
        <v>100</v>
      </c>
      <c r="AO11" s="4">
        <f t="shared" si="7"/>
        <v>100</v>
      </c>
      <c r="AP11" s="4">
        <f t="shared" si="8"/>
        <v>100</v>
      </c>
      <c r="AQ11" s="4">
        <f t="shared" si="9"/>
        <v>100</v>
      </c>
      <c r="AR11" s="4">
        <f t="shared" si="10"/>
        <v>100</v>
      </c>
      <c r="AS11" s="4">
        <f t="shared" si="11"/>
        <v>100</v>
      </c>
      <c r="AT11" s="4" t="str">
        <f t="shared" si="12"/>
        <v>.</v>
      </c>
      <c r="AU11" s="4" t="str">
        <f t="shared" si="13"/>
        <v>.</v>
      </c>
      <c r="AV11" s="4" t="str">
        <f t="shared" si="14"/>
        <v>.</v>
      </c>
      <c r="AX11" s="1">
        <f t="shared" si="15"/>
        <v>178383477.13927266</v>
      </c>
      <c r="AY11" s="4">
        <v>100</v>
      </c>
    </row>
    <row r="12" spans="1:51" x14ac:dyDescent="0.3">
      <c r="A12" s="4">
        <v>2011</v>
      </c>
      <c r="B12" s="1">
        <v>7322932.7174752373</v>
      </c>
      <c r="C12" s="1">
        <v>8857905.4199267831</v>
      </c>
      <c r="D12" s="1">
        <v>9645903.5403261557</v>
      </c>
      <c r="E12" s="1">
        <v>18954295.183239888</v>
      </c>
      <c r="F12" s="1">
        <v>13830360.949538527</v>
      </c>
      <c r="G12" s="1">
        <v>8757630.1835654117</v>
      </c>
      <c r="H12" s="1">
        <v>145753.64530282567</v>
      </c>
      <c r="I12" s="1">
        <v>14760003.837127542</v>
      </c>
      <c r="J12" s="1">
        <v>30490455.094125494</v>
      </c>
      <c r="K12" s="1">
        <v>38478668.082475998</v>
      </c>
      <c r="L12" s="1">
        <v>20196303.799473353</v>
      </c>
      <c r="M12" s="1">
        <v>21693985.115331545</v>
      </c>
      <c r="N12" s="1">
        <v>99333389.323603034</v>
      </c>
      <c r="O12" s="1">
        <v>13949233.164372547</v>
      </c>
      <c r="P12" s="1">
        <v>2081442.1048185881</v>
      </c>
      <c r="Q12" s="1"/>
      <c r="R12" s="4">
        <f>'Direct mail readership'!B11</f>
        <v>105.30565770516408</v>
      </c>
      <c r="S12" s="4">
        <v>-9999</v>
      </c>
      <c r="T12" s="4">
        <v>-9999</v>
      </c>
      <c r="U12" s="4">
        <f>'Print newspapers, readership'!B11</f>
        <v>97.660996333901451</v>
      </c>
      <c r="V12" s="4">
        <f>'Print periodical, readership'!B11</f>
        <v>96.13490886384723</v>
      </c>
      <c r="W12" s="4">
        <v>-9999</v>
      </c>
      <c r="X12" s="4">
        <f>'Movie theater viewership'!B12</f>
        <v>93.75</v>
      </c>
      <c r="Y12" s="4">
        <f>'Radio listenership'!B11</f>
        <v>95.800348573977189</v>
      </c>
      <c r="Z12" s="4">
        <f>'Broadcast television viewership'!B11</f>
        <v>103.63039229720853</v>
      </c>
      <c r="AA12" s="4">
        <f>'Cable.audiovisual internet view'!B11*100/'Cable.audiovisual internet view'!B$10</f>
        <v>91.035802693953414</v>
      </c>
      <c r="AB12" s="4">
        <f>'Nonaudiovisual internet time'!$B12*100/'Nonaudiovisual internet time'!B$11</f>
        <v>90.753939071107311</v>
      </c>
      <c r="AC12" s="4">
        <f>'Search internet time'!B12</f>
        <v>94.456302221253651</v>
      </c>
      <c r="AD12" s="4">
        <v>-9999</v>
      </c>
      <c r="AE12" s="4">
        <v>-9999</v>
      </c>
      <c r="AF12" s="4">
        <v>-9999</v>
      </c>
      <c r="AH12" s="4">
        <f t="shared" si="0"/>
        <v>101.57389618518242</v>
      </c>
      <c r="AI12" s="4" t="str">
        <f t="shared" si="1"/>
        <v>.</v>
      </c>
      <c r="AJ12" s="4" t="str">
        <f t="shared" si="2"/>
        <v>.</v>
      </c>
      <c r="AK12" s="4">
        <f t="shared" si="3"/>
        <v>109.79233919880812</v>
      </c>
      <c r="AL12" s="4">
        <f t="shared" si="4"/>
        <v>112.913668402056</v>
      </c>
      <c r="AM12" s="4" t="str">
        <f t="shared" si="5"/>
        <v>.</v>
      </c>
      <c r="AN12" s="4">
        <f t="shared" si="6"/>
        <v>95.380708582626198</v>
      </c>
      <c r="AO12" s="4">
        <f t="shared" si="7"/>
        <v>103.36228232852453</v>
      </c>
      <c r="AP12" s="4">
        <f t="shared" si="8"/>
        <v>87.04784215401412</v>
      </c>
      <c r="AQ12" s="4">
        <f t="shared" si="9"/>
        <v>99.700403353319601</v>
      </c>
      <c r="AR12" s="4">
        <f t="shared" si="10"/>
        <v>95.717289782175143</v>
      </c>
      <c r="AS12" s="4">
        <f t="shared" si="11"/>
        <v>86.32458612872</v>
      </c>
      <c r="AT12" s="4" t="str">
        <f t="shared" si="12"/>
        <v>.</v>
      </c>
      <c r="AU12" s="4" t="str">
        <f t="shared" si="13"/>
        <v>.</v>
      </c>
      <c r="AV12" s="4" t="str">
        <f t="shared" si="14"/>
        <v>.</v>
      </c>
      <c r="AX12" s="1">
        <f t="shared" si="15"/>
        <v>165872758.42409039</v>
      </c>
      <c r="AY12" s="4">
        <f t="shared" ref="AY12:AY26" si="17">AY11*((E12/U12)/(E11/U11))^((E12+E11)/(AX12+AX11))*((F12/V12)/(F11/V11))^((F12+F11)/(AX12+AX11))*((H12/X12)/(H11/X11))^((H12+H11)/(AX12+AX11))*((I12/Y12)/(I11/Y11))^((I12+I11)/(AX12+AX11))*((J12/Z12)/(J11/Z11))^((J12+J11)/(AX12+AX11))*((K12/AA12)/(K11/AA11))^((K12+K11)/(AX12+AX11))*((L12/AB12)/(L11/AB11))^((L12+L11)/(AX12+AX11))*((M12/AC12)/(M11/AC11))^((M12+M11)/(AX12+AX11))*((B12/R12)/(B11/R11))^((B12+B11)/(AX12+AX11))</f>
        <v>97.044484175651064</v>
      </c>
    </row>
    <row r="13" spans="1:51" x14ac:dyDescent="0.3">
      <c r="A13" s="4">
        <v>2010</v>
      </c>
      <c r="B13" s="1">
        <v>7712282.6176343486</v>
      </c>
      <c r="C13" s="1">
        <v>9167776.6205131784</v>
      </c>
      <c r="D13" s="1">
        <v>9275656.7083783168</v>
      </c>
      <c r="E13" s="1">
        <v>20466011.697151419</v>
      </c>
      <c r="F13" s="1">
        <v>14373649.731678357</v>
      </c>
      <c r="G13" s="1">
        <v>9024991.831107121</v>
      </c>
      <c r="H13" s="1">
        <v>153148.47994769565</v>
      </c>
      <c r="I13" s="1">
        <v>14737716.70951196</v>
      </c>
      <c r="J13" s="1">
        <v>29201991.785301339</v>
      </c>
      <c r="K13" s="1">
        <v>33943116.857021749</v>
      </c>
      <c r="L13" s="1">
        <v>17073313.971540216</v>
      </c>
      <c r="M13" s="1">
        <v>16686399.303696372</v>
      </c>
      <c r="N13" s="1">
        <v>100980803.67292935</v>
      </c>
      <c r="O13" s="1">
        <v>13255624.885481091</v>
      </c>
      <c r="P13" s="1">
        <v>1977944.9835845146</v>
      </c>
      <c r="Q13" s="1"/>
      <c r="R13" s="4">
        <f>'Direct mail readership'!B12</f>
        <v>106.65128955698187</v>
      </c>
      <c r="S13" s="4">
        <v>-9999</v>
      </c>
      <c r="T13" s="4">
        <v>-9999</v>
      </c>
      <c r="U13" s="4">
        <f>'Print newspapers, readership'!B12</f>
        <v>103.84413454719092</v>
      </c>
      <c r="V13" s="4">
        <f>'Print periodical, readership'!B12</f>
        <v>97.936230047773037</v>
      </c>
      <c r="W13" s="4">
        <v>-9999</v>
      </c>
      <c r="X13" s="4">
        <f>'Movie theater viewership'!B13</f>
        <v>102.39</v>
      </c>
      <c r="Y13" s="4">
        <f>'Radio listenership'!B12</f>
        <v>100.29880914296238</v>
      </c>
      <c r="Z13" s="4">
        <f>'Broadcast television viewership'!B12</f>
        <v>105.72123952303332</v>
      </c>
      <c r="AA13" s="4">
        <f>'Cable.audiovisual internet view'!B12*100/'Cable.audiovisual internet view'!B$10</f>
        <v>84.947554919865937</v>
      </c>
      <c r="AB13" s="4">
        <f>'Nonaudiovisual internet time'!$B13*100/'Nonaudiovisual internet time'!B$11</f>
        <v>96.92291773502609</v>
      </c>
      <c r="AC13" s="4">
        <f>'Search internet time'!B13</f>
        <v>84.232649032187084</v>
      </c>
      <c r="AD13" s="4">
        <v>-9999</v>
      </c>
      <c r="AE13" s="4">
        <v>-9999</v>
      </c>
      <c r="AF13" s="4">
        <v>-9999</v>
      </c>
      <c r="AH13" s="4">
        <f t="shared" si="0"/>
        <v>105.62472651802811</v>
      </c>
      <c r="AI13" s="4" t="str">
        <f t="shared" si="1"/>
        <v>.</v>
      </c>
      <c r="AJ13" s="4" t="str">
        <f t="shared" si="2"/>
        <v>.</v>
      </c>
      <c r="AK13" s="4">
        <f t="shared" si="3"/>
        <v>111.49022598388217</v>
      </c>
      <c r="AL13" s="4">
        <f t="shared" si="4"/>
        <v>115.19080058402255</v>
      </c>
      <c r="AM13" s="4" t="str">
        <f t="shared" si="5"/>
        <v>.</v>
      </c>
      <c r="AN13" s="4">
        <f t="shared" si="6"/>
        <v>91.762987271508891</v>
      </c>
      <c r="AO13" s="4">
        <f t="shared" si="7"/>
        <v>98.577349485166522</v>
      </c>
      <c r="AP13" s="4">
        <f t="shared" si="8"/>
        <v>81.720586240313907</v>
      </c>
      <c r="AQ13" s="4">
        <f t="shared" si="9"/>
        <v>94.25186376262657</v>
      </c>
      <c r="AR13" s="4">
        <f t="shared" si="10"/>
        <v>75.766169255212006</v>
      </c>
      <c r="AS13" s="4">
        <f t="shared" si="11"/>
        <v>74.457470787131257</v>
      </c>
      <c r="AT13" s="4" t="str">
        <f t="shared" si="12"/>
        <v>.</v>
      </c>
      <c r="AU13" s="4" t="str">
        <f t="shared" si="13"/>
        <v>.</v>
      </c>
      <c r="AV13" s="4" t="str">
        <f t="shared" si="14"/>
        <v>.</v>
      </c>
      <c r="AX13" s="1">
        <f t="shared" si="15"/>
        <v>154347631.15348345</v>
      </c>
      <c r="AY13" s="4">
        <f t="shared" si="17"/>
        <v>90.634816661564486</v>
      </c>
    </row>
    <row r="14" spans="1:51" x14ac:dyDescent="0.3">
      <c r="A14" s="4">
        <v>2009</v>
      </c>
      <c r="B14" s="1">
        <v>7817420.4910219219</v>
      </c>
      <c r="C14" s="1">
        <v>9131013.0241931994</v>
      </c>
      <c r="D14" s="1">
        <v>10749469.423196977</v>
      </c>
      <c r="E14" s="1">
        <v>21844897.270285301</v>
      </c>
      <c r="F14" s="1">
        <v>15029477.013932921</v>
      </c>
      <c r="G14" s="1">
        <v>12468517.108609624</v>
      </c>
      <c r="H14" s="1">
        <v>143348.92076645937</v>
      </c>
      <c r="I14" s="1">
        <v>13818719.145443328</v>
      </c>
      <c r="J14" s="1">
        <v>25498935.925748341</v>
      </c>
      <c r="K14" s="1">
        <v>30310432.655648846</v>
      </c>
      <c r="L14" s="1">
        <v>14538514.47249886</v>
      </c>
      <c r="M14" s="1">
        <v>13746554.666066807</v>
      </c>
      <c r="N14" s="1">
        <v>99280231.613135964</v>
      </c>
      <c r="O14" s="1">
        <v>12716151.779676629</v>
      </c>
      <c r="P14" s="1">
        <v>1897447.2226246798</v>
      </c>
      <c r="Q14" s="1"/>
      <c r="R14" s="4">
        <f>'Direct mail readership'!B13</f>
        <v>101.64411686041083</v>
      </c>
      <c r="S14" s="4">
        <v>-9999</v>
      </c>
      <c r="T14" s="4">
        <v>-9999</v>
      </c>
      <c r="U14" s="4">
        <f>'Print newspapers, readership'!B13</f>
        <v>116.26232215568973</v>
      </c>
      <c r="V14" s="4">
        <f>'Print periodical, readership'!B13</f>
        <v>105.04006736156786</v>
      </c>
      <c r="W14" s="4">
        <v>-9999</v>
      </c>
      <c r="X14" s="4">
        <f>'Movie theater viewership'!B14</f>
        <v>100.07599999999999</v>
      </c>
      <c r="Y14" s="4">
        <f>'Radio listenership'!B13</f>
        <v>104.6686127145814</v>
      </c>
      <c r="Z14" s="4">
        <f>'Broadcast television viewership'!B13</f>
        <v>105.13383466773563</v>
      </c>
      <c r="AA14" s="4">
        <f>'Cable.audiovisual internet view'!B13*100/'Cable.audiovisual internet view'!B$10</f>
        <v>75.703703522368372</v>
      </c>
      <c r="AB14" s="4">
        <f>'Nonaudiovisual internet time'!$B14*100/'Nonaudiovisual internet time'!B$11</f>
        <v>90.67858340231831</v>
      </c>
      <c r="AC14" s="4">
        <f>'Search internet time'!B14</f>
        <v>72.188707504914177</v>
      </c>
      <c r="AD14" s="4">
        <v>-9999</v>
      </c>
      <c r="AE14" s="4">
        <v>-9999</v>
      </c>
      <c r="AF14" s="4">
        <v>-9999</v>
      </c>
      <c r="AH14" s="4">
        <f t="shared" si="0"/>
        <v>112.33885641839969</v>
      </c>
      <c r="AI14" s="4" t="str">
        <f t="shared" si="1"/>
        <v>.</v>
      </c>
      <c r="AJ14" s="4" t="str">
        <f t="shared" si="2"/>
        <v>.</v>
      </c>
      <c r="AK14" s="4">
        <f t="shared" si="3"/>
        <v>106.29101703964203</v>
      </c>
      <c r="AL14" s="4">
        <f t="shared" si="4"/>
        <v>112.30083838062751</v>
      </c>
      <c r="AM14" s="4" t="str">
        <f t="shared" si="5"/>
        <v>.</v>
      </c>
      <c r="AN14" s="4">
        <f t="shared" si="6"/>
        <v>87.877336393947587</v>
      </c>
      <c r="AO14" s="4">
        <f t="shared" si="7"/>
        <v>88.571506468554347</v>
      </c>
      <c r="AP14" s="4">
        <f t="shared" si="8"/>
        <v>71.756425716488948</v>
      </c>
      <c r="AQ14" s="4">
        <f t="shared" si="9"/>
        <v>94.441770406866567</v>
      </c>
      <c r="AR14" s="4">
        <f t="shared" si="10"/>
        <v>68.960323268149082</v>
      </c>
      <c r="AS14" s="4">
        <f t="shared" si="11"/>
        <v>71.573244408329856</v>
      </c>
      <c r="AT14" s="4" t="str">
        <f t="shared" si="12"/>
        <v>.</v>
      </c>
      <c r="AU14" s="4" t="str">
        <f t="shared" si="13"/>
        <v>.</v>
      </c>
      <c r="AV14" s="4" t="str">
        <f t="shared" si="14"/>
        <v>.</v>
      </c>
      <c r="AX14" s="1">
        <f t="shared" si="15"/>
        <v>142748300.56141278</v>
      </c>
      <c r="AY14" s="4">
        <f t="shared" si="17"/>
        <v>85.87099897110285</v>
      </c>
    </row>
    <row r="15" spans="1:51" x14ac:dyDescent="0.3">
      <c r="A15" s="4">
        <v>2008</v>
      </c>
      <c r="B15" s="1">
        <v>9686346.2352210693</v>
      </c>
      <c r="C15" s="1">
        <v>11115464.504298158</v>
      </c>
      <c r="D15" s="1">
        <v>12202052.647923863</v>
      </c>
      <c r="E15" s="1">
        <v>29988323.282846171</v>
      </c>
      <c r="F15" s="1">
        <v>20351902.93147517</v>
      </c>
      <c r="G15" s="1">
        <v>13936792.358994721</v>
      </c>
      <c r="H15" s="1">
        <v>130960.07390276117</v>
      </c>
      <c r="I15" s="1">
        <v>15755902.591173008</v>
      </c>
      <c r="J15" s="1">
        <v>30173726.290780224</v>
      </c>
      <c r="K15" s="1">
        <v>30276322.027784351</v>
      </c>
      <c r="L15" s="1">
        <v>15465285.100047674</v>
      </c>
      <c r="M15" s="1">
        <v>13770579.803132912</v>
      </c>
      <c r="N15" s="1">
        <v>112852564.2776417</v>
      </c>
      <c r="O15" s="1">
        <v>12793219.366220124</v>
      </c>
      <c r="P15" s="1">
        <v>1908946.9027617991</v>
      </c>
      <c r="Q15" s="1"/>
      <c r="R15" s="4">
        <f>'Direct mail readership'!B14</f>
        <v>120.58903246364088</v>
      </c>
      <c r="S15" s="4">
        <v>-9999</v>
      </c>
      <c r="T15" s="4">
        <v>-9999</v>
      </c>
      <c r="U15" s="4">
        <f>'Print newspapers, readership'!B14</f>
        <v>114.82050371820301</v>
      </c>
      <c r="V15" s="4">
        <f>'Print periodical, readership'!B14</f>
        <v>104.09323044476399</v>
      </c>
      <c r="W15" s="4">
        <v>-9999</v>
      </c>
      <c r="X15" s="4">
        <f>'Movie theater viewership'!B15</f>
        <v>95.515000000000001</v>
      </c>
      <c r="Y15" s="4">
        <f>'Radio listenership'!B14</f>
        <v>109.81535717407931</v>
      </c>
      <c r="Z15" s="4">
        <f>'Broadcast television viewership'!B14</f>
        <v>109.23586242071903</v>
      </c>
      <c r="AA15" s="4">
        <f>'Cable.audiovisual internet view'!B14*100/'Cable.audiovisual internet view'!B$10</f>
        <v>70.628407062833787</v>
      </c>
      <c r="AB15" s="4">
        <f>'Nonaudiovisual internet time'!$B15*100/'Nonaudiovisual internet time'!B$11</f>
        <v>91.786426222443922</v>
      </c>
      <c r="AC15" s="4">
        <f>'Search internet time'!B15</f>
        <v>57.84218017436767</v>
      </c>
      <c r="AD15" s="4">
        <v>-9999</v>
      </c>
      <c r="AE15" s="4">
        <v>-9999</v>
      </c>
      <c r="AF15" s="4">
        <v>-9999</v>
      </c>
      <c r="AH15" s="4">
        <f t="shared" si="0"/>
        <v>117.32780628207709</v>
      </c>
      <c r="AI15" s="4" t="str">
        <f t="shared" si="1"/>
        <v>.</v>
      </c>
      <c r="AJ15" s="4" t="str">
        <f t="shared" si="2"/>
        <v>.</v>
      </c>
      <c r="AK15" s="4">
        <f t="shared" si="3"/>
        <v>147.74686864109245</v>
      </c>
      <c r="AL15" s="4">
        <f t="shared" si="4"/>
        <v>153.45345020483398</v>
      </c>
      <c r="AM15" s="4" t="str">
        <f t="shared" si="5"/>
        <v>.</v>
      </c>
      <c r="AN15" s="4">
        <f t="shared" si="6"/>
        <v>84.116215904649394</v>
      </c>
      <c r="AO15" s="4">
        <f t="shared" si="7"/>
        <v>96.254915695053697</v>
      </c>
      <c r="AP15" s="4">
        <f t="shared" si="8"/>
        <v>81.723122149878293</v>
      </c>
      <c r="AQ15" s="4">
        <f t="shared" si="9"/>
        <v>101.11435478034556</v>
      </c>
      <c r="AR15" s="4">
        <f t="shared" si="10"/>
        <v>72.470866236061084</v>
      </c>
      <c r="AS15" s="4">
        <f t="shared" si="11"/>
        <v>89.481587279929954</v>
      </c>
      <c r="AT15" s="4" t="str">
        <f t="shared" si="12"/>
        <v>.</v>
      </c>
      <c r="AU15" s="4" t="str">
        <f t="shared" si="13"/>
        <v>.</v>
      </c>
      <c r="AV15" s="4" t="str">
        <f t="shared" si="14"/>
        <v>.</v>
      </c>
      <c r="AX15" s="1">
        <f t="shared" si="15"/>
        <v>165599348.33636335</v>
      </c>
      <c r="AY15" s="4">
        <f t="shared" si="17"/>
        <v>101.09828600318488</v>
      </c>
    </row>
    <row r="16" spans="1:51" x14ac:dyDescent="0.3">
      <c r="A16" s="4">
        <v>2007</v>
      </c>
      <c r="B16" s="1">
        <v>11298400.82494349</v>
      </c>
      <c r="C16" s="1">
        <v>12735993.965912495</v>
      </c>
      <c r="D16" s="1">
        <v>10119066.93832887</v>
      </c>
      <c r="E16" s="1">
        <v>35815189.927831829</v>
      </c>
      <c r="F16" s="1">
        <v>21589075.258640677</v>
      </c>
      <c r="G16" s="1">
        <v>14524901.750872547</v>
      </c>
      <c r="H16" s="1">
        <v>124695.37609598524</v>
      </c>
      <c r="I16" s="1">
        <v>16663551.340659622</v>
      </c>
      <c r="J16" s="1">
        <v>30924539.785782252</v>
      </c>
      <c r="K16" s="1">
        <v>27590211.867939796</v>
      </c>
      <c r="L16" s="1">
        <v>14574950.947299751</v>
      </c>
      <c r="M16" s="1">
        <v>11286083.077157866</v>
      </c>
      <c r="N16" s="1">
        <v>115492591.97429527</v>
      </c>
      <c r="O16" s="1">
        <v>11483070.394980714</v>
      </c>
      <c r="P16" s="1">
        <v>1713452.3404307715</v>
      </c>
      <c r="Q16" s="1"/>
      <c r="R16" s="4">
        <f>'Direct mail readership'!B15</f>
        <v>134.85030164738438</v>
      </c>
      <c r="S16" s="4">
        <v>-9999</v>
      </c>
      <c r="T16" s="4">
        <v>-9999</v>
      </c>
      <c r="U16" s="4">
        <f>'Print newspapers, readership'!B15</f>
        <v>118.37729213913471</v>
      </c>
      <c r="V16" s="4">
        <f>'Print periodical, readership'!B15</f>
        <v>107.63287902019317</v>
      </c>
      <c r="W16" s="4">
        <v>-9999</v>
      </c>
      <c r="X16" s="4">
        <f>'Movie theater viewership'!B16</f>
        <v>95.67</v>
      </c>
      <c r="Y16" s="4">
        <f>'Radio listenership'!B15</f>
        <v>100.82190962126344</v>
      </c>
      <c r="Z16" s="4">
        <f>'Broadcast television viewership'!B15</f>
        <v>111.2315414936393</v>
      </c>
      <c r="AA16" s="4">
        <f>'Cable.audiovisual internet view'!B15*100/'Cable.audiovisual internet view'!B$10</f>
        <v>63.549873997889776</v>
      </c>
      <c r="AB16" s="4">
        <f>'Nonaudiovisual internet time'!$B16*100/'Nonaudiovisual internet time'!B$11</f>
        <v>74.994111783623879</v>
      </c>
      <c r="AC16" s="4">
        <f>'Search internet time'!B16</f>
        <v>47.803454689560056</v>
      </c>
      <c r="AD16" s="4">
        <v>-9999</v>
      </c>
      <c r="AE16" s="4">
        <v>-9999</v>
      </c>
      <c r="AF16" s="4">
        <v>-9999</v>
      </c>
      <c r="AH16" s="4">
        <f t="shared" si="0"/>
        <v>122.38095223884926</v>
      </c>
      <c r="AI16" s="4" t="str">
        <f t="shared" si="1"/>
        <v>.</v>
      </c>
      <c r="AJ16" s="4" t="str">
        <f t="shared" si="2"/>
        <v>.</v>
      </c>
      <c r="AK16" s="4">
        <f t="shared" si="3"/>
        <v>171.1529567455982</v>
      </c>
      <c r="AL16" s="4">
        <f t="shared" si="4"/>
        <v>157.42844460482925</v>
      </c>
      <c r="AM16" s="4" t="str">
        <f t="shared" si="5"/>
        <v>.</v>
      </c>
      <c r="AN16" s="4">
        <f t="shared" si="6"/>
        <v>79.962611825789978</v>
      </c>
      <c r="AO16" s="4">
        <f t="shared" si="7"/>
        <v>110.88054558033892</v>
      </c>
      <c r="AP16" s="4">
        <f t="shared" si="8"/>
        <v>82.253906798866083</v>
      </c>
      <c r="AQ16" s="4">
        <f t="shared" si="9"/>
        <v>102.40695481949358</v>
      </c>
      <c r="AR16" s="4">
        <f t="shared" si="10"/>
        <v>83.591846457162788</v>
      </c>
      <c r="AS16" s="4">
        <f t="shared" si="11"/>
        <v>88.738087811077804</v>
      </c>
      <c r="AT16" s="4" t="str">
        <f t="shared" si="12"/>
        <v>.</v>
      </c>
      <c r="AU16" s="4" t="str">
        <f t="shared" si="13"/>
        <v>.</v>
      </c>
      <c r="AV16" s="4" t="str">
        <f t="shared" si="14"/>
        <v>.</v>
      </c>
      <c r="AX16" s="1">
        <f t="shared" si="15"/>
        <v>169866698.40635127</v>
      </c>
      <c r="AY16" s="4">
        <f t="shared" si="17"/>
        <v>107.76325315983193</v>
      </c>
    </row>
    <row r="17" spans="1:51" x14ac:dyDescent="0.3">
      <c r="A17" s="4">
        <v>2006</v>
      </c>
      <c r="B17" s="1">
        <v>10745001.308472143</v>
      </c>
      <c r="C17" s="1">
        <v>12766137.957457008</v>
      </c>
      <c r="D17" s="1">
        <v>11235809.592260921</v>
      </c>
      <c r="E17" s="1">
        <v>38441573.025164768</v>
      </c>
      <c r="F17" s="1">
        <v>20895198.925995022</v>
      </c>
      <c r="G17" s="1">
        <v>14751152.123572344</v>
      </c>
      <c r="H17" s="1">
        <v>124863.36936140817</v>
      </c>
      <c r="I17" s="1">
        <v>16073645.657752439</v>
      </c>
      <c r="J17" s="1">
        <v>31375802.139919929</v>
      </c>
      <c r="K17" s="1">
        <v>25881935.964493062</v>
      </c>
      <c r="L17" s="1">
        <v>12170690.280343259</v>
      </c>
      <c r="M17" s="1">
        <v>9128310.6975923572</v>
      </c>
      <c r="N17" s="1">
        <v>104408224.61953467</v>
      </c>
      <c r="O17" s="1">
        <v>10280277.882704308</v>
      </c>
      <c r="P17" s="1">
        <v>1533977.0281385595</v>
      </c>
      <c r="Q17" s="1"/>
      <c r="R17" s="4">
        <f>'Direct mail readership'!B16</f>
        <v>136.32292458070796</v>
      </c>
      <c r="S17" s="4">
        <v>-9999</v>
      </c>
      <c r="T17" s="4">
        <v>-9999</v>
      </c>
      <c r="U17" s="4">
        <f>'Print newspapers, readership'!B16</f>
        <v>123.1350179719268</v>
      </c>
      <c r="V17" s="4">
        <f>'Print periodical, readership'!B16</f>
        <v>109.25019105612841</v>
      </c>
      <c r="W17" s="4">
        <v>-9999</v>
      </c>
      <c r="X17" s="4">
        <f>'Movie theater viewership'!B17</f>
        <v>94.721999999999994</v>
      </c>
      <c r="Y17" s="4">
        <f>'Radio listenership'!B16</f>
        <v>101.31493911775456</v>
      </c>
      <c r="Z17" s="4">
        <f>'Broadcast television viewership'!B16</f>
        <v>106.02499244999562</v>
      </c>
      <c r="AA17" s="4">
        <f>'Cable.audiovisual internet view'!B16*100/'Cable.audiovisual internet view'!B$10</f>
        <v>59.932990690441869</v>
      </c>
      <c r="AB17" s="4">
        <f>'Nonaudiovisual internet time'!$B17*100/'Nonaudiovisual internet time'!B$11</f>
        <v>69.767803367517644</v>
      </c>
      <c r="AC17" s="4">
        <f>'Search internet time'!B17</f>
        <v>41.56822146918266</v>
      </c>
      <c r="AD17" s="4">
        <v>-9999</v>
      </c>
      <c r="AE17" s="4">
        <v>-9999</v>
      </c>
      <c r="AF17" s="4">
        <v>-9999</v>
      </c>
      <c r="AH17" s="4">
        <f t="shared" si="0"/>
        <v>115.12942898587528</v>
      </c>
      <c r="AI17" s="4" t="str">
        <f t="shared" si="1"/>
        <v>.</v>
      </c>
      <c r="AJ17" s="4" t="str">
        <f t="shared" si="2"/>
        <v>.</v>
      </c>
      <c r="AK17" s="4">
        <f t="shared" si="3"/>
        <v>176.6058647079071</v>
      </c>
      <c r="AL17" s="4">
        <f t="shared" si="4"/>
        <v>150.11304219224323</v>
      </c>
      <c r="AM17" s="4" t="str">
        <f t="shared" si="5"/>
        <v>.</v>
      </c>
      <c r="AN17" s="4">
        <f t="shared" si="6"/>
        <v>80.871702547194403</v>
      </c>
      <c r="AO17" s="4">
        <f t="shared" si="7"/>
        <v>106.43479096853676</v>
      </c>
      <c r="AP17" s="4">
        <f t="shared" si="8"/>
        <v>87.552355093813674</v>
      </c>
      <c r="AQ17" s="4">
        <f t="shared" si="9"/>
        <v>101.8638107080918</v>
      </c>
      <c r="AR17" s="4">
        <f t="shared" si="10"/>
        <v>75.031588945598116</v>
      </c>
      <c r="AS17" s="4">
        <f t="shared" si="11"/>
        <v>82.538215899948767</v>
      </c>
      <c r="AT17" s="4" t="str">
        <f t="shared" si="12"/>
        <v>.</v>
      </c>
      <c r="AU17" s="4" t="str">
        <f t="shared" si="13"/>
        <v>.</v>
      </c>
      <c r="AV17" s="4" t="str">
        <f t="shared" si="14"/>
        <v>.</v>
      </c>
      <c r="AX17" s="1">
        <f t="shared" si="15"/>
        <v>164837021.3690944</v>
      </c>
      <c r="AY17" s="4">
        <f t="shared" si="17"/>
        <v>106.75728063056442</v>
      </c>
    </row>
    <row r="18" spans="1:51" x14ac:dyDescent="0.3">
      <c r="A18" s="4">
        <v>2005</v>
      </c>
      <c r="B18" s="1">
        <v>10034254.220245091</v>
      </c>
      <c r="C18" s="1">
        <v>12549871.851552615</v>
      </c>
      <c r="D18" s="1">
        <v>9863600.8806902878</v>
      </c>
      <c r="E18" s="1">
        <v>38045513.202168308</v>
      </c>
      <c r="F18" s="1">
        <v>20632417.839000314</v>
      </c>
      <c r="G18" s="1">
        <v>14650700.597651739</v>
      </c>
      <c r="H18" s="1">
        <v>123256.67803004148</v>
      </c>
      <c r="I18" s="1">
        <v>15091503.769263996</v>
      </c>
      <c r="J18" s="1">
        <v>30956952.427033473</v>
      </c>
      <c r="K18" s="1">
        <v>24431173.496158116</v>
      </c>
      <c r="L18" s="1">
        <v>9021181.971940035</v>
      </c>
      <c r="M18" s="1">
        <v>6773606.1634384487</v>
      </c>
      <c r="N18" s="1">
        <v>94114185.954735622</v>
      </c>
      <c r="O18" s="1">
        <v>9303418.8983749412</v>
      </c>
      <c r="P18" s="1">
        <v>1388214.505102769</v>
      </c>
      <c r="Q18" s="1"/>
      <c r="R18" s="4">
        <f>'Direct mail readership'!B17</f>
        <v>135.29228856575389</v>
      </c>
      <c r="S18" s="4">
        <v>-9999</v>
      </c>
      <c r="T18" s="4">
        <v>-9999</v>
      </c>
      <c r="U18" s="4">
        <f>'Print newspapers, readership'!B17</f>
        <v>126.49219435055389</v>
      </c>
      <c r="V18" s="4">
        <f>'Print periodical, readership'!B17</f>
        <v>108.93212369010112</v>
      </c>
      <c r="W18" s="4">
        <v>-9999</v>
      </c>
      <c r="X18" s="4">
        <f>'Movie theater viewership'!B18</f>
        <v>92.087999999999994</v>
      </c>
      <c r="Y18" s="4">
        <f>'Radio listenership'!B17</f>
        <v>101.77616795912822</v>
      </c>
      <c r="Z18" s="4">
        <f>'Broadcast television viewership'!B17</f>
        <v>101.31978702463695</v>
      </c>
      <c r="AA18" s="4">
        <f>'Cable.audiovisual internet view'!B17*100/'Cable.audiovisual internet view'!B$10</f>
        <v>57.077723927551816</v>
      </c>
      <c r="AB18" s="4">
        <f>'Nonaudiovisual internet time'!$B18*100/'Nonaudiovisual internet time'!B$11</f>
        <v>63.314747113284184</v>
      </c>
      <c r="AC18" s="4">
        <f>'Search internet time'!B18</f>
        <v>31.975554976294355</v>
      </c>
      <c r="AD18" s="4">
        <v>-9999</v>
      </c>
      <c r="AE18" s="4">
        <v>-9999</v>
      </c>
      <c r="AF18" s="4">
        <v>-9999</v>
      </c>
      <c r="AH18" s="4">
        <f t="shared" si="0"/>
        <v>108.33301474719006</v>
      </c>
      <c r="AI18" s="4" t="str">
        <f t="shared" si="1"/>
        <v>.</v>
      </c>
      <c r="AJ18" s="4" t="str">
        <f t="shared" si="2"/>
        <v>.</v>
      </c>
      <c r="AK18" s="4">
        <f t="shared" si="3"/>
        <v>170.14738117475403</v>
      </c>
      <c r="AL18" s="4">
        <f t="shared" si="4"/>
        <v>148.65799648992498</v>
      </c>
      <c r="AM18" s="4" t="str">
        <f t="shared" si="5"/>
        <v>.</v>
      </c>
      <c r="AN18" s="4">
        <f t="shared" si="6"/>
        <v>82.114492532643823</v>
      </c>
      <c r="AO18" s="4">
        <f t="shared" si="7"/>
        <v>99.478477724688503</v>
      </c>
      <c r="AP18" s="4">
        <f t="shared" si="8"/>
        <v>90.395159815675683</v>
      </c>
      <c r="AQ18" s="4">
        <f t="shared" si="9"/>
        <v>100.96405662364376</v>
      </c>
      <c r="AR18" s="4">
        <f t="shared" si="10"/>
        <v>61.283357280665612</v>
      </c>
      <c r="AS18" s="4">
        <f t="shared" si="11"/>
        <v>79.621060500552133</v>
      </c>
      <c r="AT18" s="4" t="str">
        <f t="shared" si="12"/>
        <v>.</v>
      </c>
      <c r="AU18" s="4" t="str">
        <f t="shared" si="13"/>
        <v>.</v>
      </c>
      <c r="AV18" s="4" t="str">
        <f t="shared" si="14"/>
        <v>.</v>
      </c>
      <c r="AX18" s="1">
        <f t="shared" si="15"/>
        <v>155109859.76727781</v>
      </c>
      <c r="AY18" s="4">
        <f t="shared" si="17"/>
        <v>103.49248450954983</v>
      </c>
    </row>
    <row r="19" spans="1:51" x14ac:dyDescent="0.3">
      <c r="A19" s="4">
        <v>2004</v>
      </c>
      <c r="B19" s="1">
        <v>8810649.1538407113</v>
      </c>
      <c r="C19" s="1">
        <v>11586857.611983275</v>
      </c>
      <c r="D19" s="1">
        <v>9277764.5479266457</v>
      </c>
      <c r="E19" s="1">
        <v>36527214.400036201</v>
      </c>
      <c r="F19" s="1">
        <v>19824143.053096507</v>
      </c>
      <c r="G19" s="1">
        <v>14457068.1094165</v>
      </c>
      <c r="H19" s="1">
        <v>132319.08700176058</v>
      </c>
      <c r="I19" s="1">
        <v>14596777.57200258</v>
      </c>
      <c r="J19" s="1">
        <v>31197365.109032668</v>
      </c>
      <c r="K19" s="1">
        <v>22678548.354141455</v>
      </c>
      <c r="L19" s="1">
        <v>7198298.3136011129</v>
      </c>
      <c r="M19" s="1">
        <v>5112055.4352595834</v>
      </c>
      <c r="N19" s="1">
        <v>87472549.014942765</v>
      </c>
      <c r="O19" s="1">
        <v>8543084.3878557757</v>
      </c>
      <c r="P19" s="1">
        <v>1274760.7944010734</v>
      </c>
      <c r="Q19" s="1"/>
      <c r="R19" s="4">
        <f>'Direct mail readership'!B18</f>
        <v>130.2873069703958</v>
      </c>
      <c r="S19" s="4">
        <v>-9999</v>
      </c>
      <c r="T19" s="4">
        <v>-9999</v>
      </c>
      <c r="U19" s="4">
        <f>'Print newspapers, readership'!B18</f>
        <v>127.66188948408484</v>
      </c>
      <c r="V19" s="4">
        <f>'Print periodical, readership'!B18</f>
        <v>107.29360136888772</v>
      </c>
      <c r="W19" s="4">
        <v>-9999</v>
      </c>
      <c r="X19" s="4">
        <f>'Movie theater viewership'!B19</f>
        <v>97.114999999999995</v>
      </c>
      <c r="Y19" s="4">
        <f>'Radio listenership'!B18</f>
        <v>102.26270899210775</v>
      </c>
      <c r="Z19" s="4">
        <f>'Broadcast television viewership'!B18</f>
        <v>102.48810853764894</v>
      </c>
      <c r="AA19" s="4">
        <f>'Cable.audiovisual internet view'!B18*100/'Cable.audiovisual internet view'!B$10</f>
        <v>52.154439487624487</v>
      </c>
      <c r="AB19" s="4">
        <f>'Nonaudiovisual internet time'!$B19*100/'Nonaudiovisual internet time'!B$11</f>
        <v>60.835347320321382</v>
      </c>
      <c r="AC19" s="4">
        <f>'Search internet time'!B19</f>
        <v>28.884873510654341</v>
      </c>
      <c r="AD19" s="4">
        <v>-9999</v>
      </c>
      <c r="AE19" s="4">
        <v>-9999</v>
      </c>
      <c r="AF19" s="4">
        <v>-9999</v>
      </c>
      <c r="AH19" s="4">
        <f t="shared" si="0"/>
        <v>98.776713652487999</v>
      </c>
      <c r="AI19" s="4" t="str">
        <f t="shared" si="1"/>
        <v>.</v>
      </c>
      <c r="AJ19" s="4" t="str">
        <f t="shared" si="2"/>
        <v>.</v>
      </c>
      <c r="AK19" s="4">
        <f t="shared" si="3"/>
        <v>161.86048400562396</v>
      </c>
      <c r="AL19" s="4">
        <f t="shared" si="4"/>
        <v>145.01559926760913</v>
      </c>
      <c r="AM19" s="4" t="str">
        <f t="shared" si="5"/>
        <v>.</v>
      </c>
      <c r="AN19" s="4">
        <f t="shared" si="6"/>
        <v>83.588893568254306</v>
      </c>
      <c r="AO19" s="4">
        <f t="shared" si="7"/>
        <v>95.759618288781184</v>
      </c>
      <c r="AP19" s="4">
        <f t="shared" si="8"/>
        <v>90.058701914282878</v>
      </c>
      <c r="AQ19" s="4">
        <f t="shared" si="9"/>
        <v>102.56828175487991</v>
      </c>
      <c r="AR19" s="4">
        <f t="shared" si="10"/>
        <v>50.892974141172196</v>
      </c>
      <c r="AS19" s="4">
        <f t="shared" si="11"/>
        <v>66.519839308047906</v>
      </c>
      <c r="AT19" s="4" t="str">
        <f t="shared" si="12"/>
        <v>.</v>
      </c>
      <c r="AU19" s="4" t="str">
        <f t="shared" si="13"/>
        <v>.</v>
      </c>
      <c r="AV19" s="4" t="str">
        <f t="shared" si="14"/>
        <v>.</v>
      </c>
      <c r="AX19" s="1">
        <f t="shared" si="15"/>
        <v>146077370.47801259</v>
      </c>
      <c r="AY19" s="4">
        <f t="shared" si="17"/>
        <v>99.373213787049565</v>
      </c>
    </row>
    <row r="20" spans="1:51" x14ac:dyDescent="0.3">
      <c r="A20" s="4">
        <v>2003</v>
      </c>
      <c r="B20" s="1">
        <v>7671407.5878736153</v>
      </c>
      <c r="C20" s="1">
        <v>10596769.98261366</v>
      </c>
      <c r="D20" s="1">
        <v>9020754.5014303755</v>
      </c>
      <c r="E20" s="1">
        <v>34313578.039610155</v>
      </c>
      <c r="F20" s="1">
        <v>18879548.755236968</v>
      </c>
      <c r="G20" s="1">
        <v>14367864.685595846</v>
      </c>
      <c r="H20" s="1">
        <v>138463.10854289643</v>
      </c>
      <c r="I20" s="1">
        <v>14008461.445506696</v>
      </c>
      <c r="J20" s="1">
        <v>29602649.682433553</v>
      </c>
      <c r="K20" s="1">
        <v>20579657.641553175</v>
      </c>
      <c r="L20" s="1">
        <v>5698918.247050412</v>
      </c>
      <c r="M20" s="1">
        <v>3520725.5046283221</v>
      </c>
      <c r="N20" s="1">
        <v>79033645.285938725</v>
      </c>
      <c r="O20" s="1">
        <v>7881074.1585385371</v>
      </c>
      <c r="P20" s="1">
        <v>1175978.5926209162</v>
      </c>
      <c r="Q20" s="1"/>
      <c r="R20" s="4">
        <f>'Direct mail readership'!B19</f>
        <v>121.23236138575561</v>
      </c>
      <c r="S20" s="4">
        <v>-9999</v>
      </c>
      <c r="T20" s="4">
        <v>-9999</v>
      </c>
      <c r="U20" s="4">
        <f>'Print newspapers, readership'!B19</f>
        <v>128.65079216272051</v>
      </c>
      <c r="V20" s="4">
        <f>'Print periodical, readership'!B19</f>
        <v>106.51191881880763</v>
      </c>
      <c r="W20" s="4">
        <v>-9999</v>
      </c>
      <c r="X20" s="4">
        <f>'Movie theater viewership'!B20</f>
        <v>99.757000000000005</v>
      </c>
      <c r="Y20" s="4">
        <f>'Radio listenership'!B19</f>
        <v>102.72788129112682</v>
      </c>
      <c r="Z20" s="4">
        <f>'Broadcast television viewership'!B19</f>
        <v>98.59660628600642</v>
      </c>
      <c r="AA20" s="4">
        <f>'Cable.audiovisual internet view'!B19*100/'Cable.audiovisual internet view'!B$10</f>
        <v>49.86976057495631</v>
      </c>
      <c r="AB20" s="4">
        <f>'Nonaudiovisual internet time'!$B20*100/'Nonaudiovisual internet time'!B$11</f>
        <v>56.756536796548978</v>
      </c>
      <c r="AC20" s="4">
        <f>'Search internet time'!B20</f>
        <v>20.564956401894438</v>
      </c>
      <c r="AD20" s="4">
        <v>-9999</v>
      </c>
      <c r="AE20" s="4">
        <v>-9999</v>
      </c>
      <c r="AF20" s="4">
        <v>-9999</v>
      </c>
      <c r="AH20" s="4">
        <f t="shared" si="0"/>
        <v>92.428363955041689</v>
      </c>
      <c r="AI20" s="4" t="str">
        <f t="shared" si="1"/>
        <v>.</v>
      </c>
      <c r="AJ20" s="4" t="str">
        <f t="shared" si="2"/>
        <v>.</v>
      </c>
      <c r="AK20" s="4">
        <f t="shared" si="3"/>
        <v>150.8825761700742</v>
      </c>
      <c r="AL20" s="4">
        <f t="shared" si="4"/>
        <v>139.11934454686443</v>
      </c>
      <c r="AM20" s="4" t="str">
        <f t="shared" si="5"/>
        <v>.</v>
      </c>
      <c r="AN20" s="4">
        <f t="shared" si="6"/>
        <v>85.153615643619162</v>
      </c>
      <c r="AO20" s="4">
        <f t="shared" si="7"/>
        <v>91.483930927371361</v>
      </c>
      <c r="AP20" s="4">
        <f t="shared" si="8"/>
        <v>88.827996017809156</v>
      </c>
      <c r="AQ20" s="4">
        <f t="shared" si="9"/>
        <v>97.33969316700491</v>
      </c>
      <c r="AR20" s="4">
        <f t="shared" si="10"/>
        <v>43.187744339949091</v>
      </c>
      <c r="AS20" s="4">
        <f t="shared" si="11"/>
        <v>64.347322423871788</v>
      </c>
      <c r="AT20" s="4" t="str">
        <f t="shared" si="12"/>
        <v>.</v>
      </c>
      <c r="AU20" s="4" t="str">
        <f t="shared" si="13"/>
        <v>.</v>
      </c>
      <c r="AV20" s="4" t="str">
        <f t="shared" si="14"/>
        <v>.</v>
      </c>
      <c r="AX20" s="1">
        <f t="shared" si="15"/>
        <v>134413410.01243579</v>
      </c>
      <c r="AY20" s="4">
        <f t="shared" si="17"/>
        <v>94.372586134770657</v>
      </c>
    </row>
    <row r="21" spans="1:51" x14ac:dyDescent="0.3">
      <c r="A21" s="4">
        <v>2002</v>
      </c>
      <c r="B21" s="1">
        <v>7311311.3849316677</v>
      </c>
      <c r="C21" s="1">
        <v>10597486.525556717</v>
      </c>
      <c r="D21" s="1">
        <v>9126288.1596937906</v>
      </c>
      <c r="E21" s="1">
        <v>32849987.736412041</v>
      </c>
      <c r="F21" s="1">
        <v>18251608.735143326</v>
      </c>
      <c r="G21" s="1">
        <v>14248957.793097064</v>
      </c>
      <c r="H21" s="1">
        <v>140967.7957237348</v>
      </c>
      <c r="I21" s="1">
        <v>13817353.510128831</v>
      </c>
      <c r="J21" s="1">
        <v>29958307.795847978</v>
      </c>
      <c r="K21" s="1">
        <v>18742075.950345401</v>
      </c>
      <c r="L21" s="1">
        <v>5950167.2357215127</v>
      </c>
      <c r="M21" s="1">
        <v>1679152.4930813843</v>
      </c>
      <c r="N21" s="1">
        <v>74869973.017984703</v>
      </c>
      <c r="O21" s="1">
        <v>7420973.7839345923</v>
      </c>
      <c r="P21" s="1">
        <v>1107324.4751609382</v>
      </c>
      <c r="Q21" s="1"/>
      <c r="R21" s="4">
        <f>'Direct mail readership'!B20</f>
        <v>119.3806504317363</v>
      </c>
      <c r="S21" s="4">
        <v>-9999</v>
      </c>
      <c r="T21" s="4">
        <v>-9999</v>
      </c>
      <c r="U21" s="4">
        <f>'Print newspapers, readership'!B20</f>
        <v>130.88533148784524</v>
      </c>
      <c r="V21" s="4">
        <f>'Print periodical, readership'!B20</f>
        <v>106.64833270262162</v>
      </c>
      <c r="W21" s="4">
        <v>-9999</v>
      </c>
      <c r="X21" s="4">
        <f>'Movie theater viewership'!B21</f>
        <v>101.66</v>
      </c>
      <c r="Y21" s="4">
        <f>'Radio listenership'!B20</f>
        <v>103.94151966502697</v>
      </c>
      <c r="Z21" s="4">
        <f>'Broadcast television viewership'!B20</f>
        <v>98.298308822935141</v>
      </c>
      <c r="AA21" s="4">
        <f>'Cable.audiovisual internet view'!B20*100/'Cable.audiovisual internet view'!B$10</f>
        <v>46.834451190433398</v>
      </c>
      <c r="AB21" s="4">
        <f>'Nonaudiovisual internet time'!$B21*100/'Nonaudiovisual internet time'!B$11</f>
        <v>51.09613029887695</v>
      </c>
      <c r="AC21" s="4">
        <f>'Search internet time'!B21</f>
        <v>13.754701671740165</v>
      </c>
      <c r="AD21" s="4">
        <v>-9999</v>
      </c>
      <c r="AE21" s="4">
        <v>-9999</v>
      </c>
      <c r="AF21" s="4">
        <v>-9999</v>
      </c>
      <c r="AH21" s="4">
        <f t="shared" si="0"/>
        <v>89.456131319949336</v>
      </c>
      <c r="AI21" s="4" t="str">
        <f t="shared" si="1"/>
        <v>.</v>
      </c>
      <c r="AJ21" s="4" t="str">
        <f t="shared" si="2"/>
        <v>.</v>
      </c>
      <c r="AK21" s="4">
        <f t="shared" si="3"/>
        <v>141.98085379564699</v>
      </c>
      <c r="AL21" s="4">
        <f t="shared" si="4"/>
        <v>134.32016028969184</v>
      </c>
      <c r="AM21" s="4" t="str">
        <f t="shared" si="5"/>
        <v>.</v>
      </c>
      <c r="AN21" s="4">
        <f t="shared" si="6"/>
        <v>85.071129510092476</v>
      </c>
      <c r="AO21" s="4">
        <f t="shared" si="7"/>
        <v>89.182268693623797</v>
      </c>
      <c r="AP21" s="4">
        <f t="shared" si="8"/>
        <v>90.168008512485386</v>
      </c>
      <c r="AQ21" s="4">
        <f t="shared" si="9"/>
        <v>94.393343270512389</v>
      </c>
      <c r="AR21" s="4">
        <f t="shared" si="10"/>
        <v>50.087014295580438</v>
      </c>
      <c r="AS21" s="4">
        <f t="shared" si="11"/>
        <v>45.884401372185181</v>
      </c>
      <c r="AT21" s="4" t="str">
        <f t="shared" si="12"/>
        <v>.</v>
      </c>
      <c r="AU21" s="4" t="str">
        <f t="shared" si="13"/>
        <v>.</v>
      </c>
      <c r="AV21" s="4" t="str">
        <f t="shared" si="14"/>
        <v>.</v>
      </c>
      <c r="AX21" s="1">
        <f t="shared" si="15"/>
        <v>128700932.63733588</v>
      </c>
      <c r="AY21" s="4">
        <f t="shared" si="17"/>
        <v>91.917479662032179</v>
      </c>
    </row>
    <row r="22" spans="1:51" x14ac:dyDescent="0.3">
      <c r="A22" s="4">
        <v>2001</v>
      </c>
      <c r="B22" s="1">
        <v>7403307.5799994171</v>
      </c>
      <c r="C22" s="1">
        <v>11517951.938063161</v>
      </c>
      <c r="D22" s="1">
        <v>8962691.8854292743</v>
      </c>
      <c r="E22" s="1">
        <v>33165668.260327142</v>
      </c>
      <c r="F22" s="1">
        <v>19006532.729751751</v>
      </c>
      <c r="G22" s="1">
        <v>14131104.914786782</v>
      </c>
      <c r="H22" s="1">
        <v>132095.79941060196</v>
      </c>
      <c r="I22" s="1">
        <v>12834476.261140417</v>
      </c>
      <c r="J22" s="1">
        <v>27055416.575593594</v>
      </c>
      <c r="K22" s="1">
        <v>17335148.569181297</v>
      </c>
      <c r="L22" s="1">
        <v>7340942.4134250218</v>
      </c>
      <c r="M22" s="1">
        <v>1328048.5053433469</v>
      </c>
      <c r="N22" s="1">
        <v>79412523.306634545</v>
      </c>
      <c r="O22" s="1">
        <v>7236982.6983824959</v>
      </c>
      <c r="P22" s="1">
        <v>1079870.1493305017</v>
      </c>
      <c r="Q22" s="1"/>
      <c r="R22" s="4">
        <f>'Direct mail readership'!B21</f>
        <v>120.25561111133601</v>
      </c>
      <c r="S22" s="4">
        <v>-9999</v>
      </c>
      <c r="T22" s="4">
        <v>-9999</v>
      </c>
      <c r="U22" s="4">
        <f>'Print newspapers, readership'!B21</f>
        <v>132.59438992618843</v>
      </c>
      <c r="V22" s="4">
        <f>'Print periodical, readership'!B21</f>
        <v>108.05487213857018</v>
      </c>
      <c r="W22" s="4">
        <v>-9999</v>
      </c>
      <c r="X22" s="4">
        <f>'Movie theater viewership'!B22</f>
        <v>98.286000000000001</v>
      </c>
      <c r="Y22" s="4">
        <f>'Radio listenership'!B21</f>
        <v>104.36391626763076</v>
      </c>
      <c r="Z22" s="4">
        <f>'Broadcast television viewership'!B21</f>
        <v>98.33051388499598</v>
      </c>
      <c r="AA22" s="4">
        <f>'Cable.audiovisual internet view'!B21*100/'Cable.audiovisual internet view'!B$10</f>
        <v>42.363664604915719</v>
      </c>
      <c r="AB22" s="4">
        <f>'Nonaudiovisual internet time'!$B22*100/'Nonaudiovisual internet time'!B$11</f>
        <v>44.504306148978557</v>
      </c>
      <c r="AC22" s="4">
        <f>'Search internet time'!B22</f>
        <v>9.1997188995325754</v>
      </c>
      <c r="AD22" s="4">
        <v>-9999</v>
      </c>
      <c r="AE22" s="4">
        <v>-9999</v>
      </c>
      <c r="AF22" s="4">
        <v>-9999</v>
      </c>
      <c r="AH22" s="4">
        <f t="shared" si="0"/>
        <v>89.922674641772161</v>
      </c>
      <c r="AI22" s="4" t="str">
        <f t="shared" si="1"/>
        <v>.</v>
      </c>
      <c r="AJ22" s="4" t="str">
        <f t="shared" si="2"/>
        <v>.</v>
      </c>
      <c r="AK22" s="4">
        <f t="shared" si="3"/>
        <v>141.49762548645288</v>
      </c>
      <c r="AL22" s="4">
        <f t="shared" si="4"/>
        <v>138.05516698482208</v>
      </c>
      <c r="AM22" s="4" t="str">
        <f t="shared" si="5"/>
        <v>.</v>
      </c>
      <c r="AN22" s="4">
        <f t="shared" si="6"/>
        <v>82.453622831904454</v>
      </c>
      <c r="AO22" s="4">
        <f t="shared" si="7"/>
        <v>82.503142821141893</v>
      </c>
      <c r="AP22" s="4">
        <f t="shared" si="8"/>
        <v>81.40426543866036</v>
      </c>
      <c r="AQ22" s="4">
        <f t="shared" si="9"/>
        <v>96.521298865118965</v>
      </c>
      <c r="AR22" s="4">
        <f t="shared" si="10"/>
        <v>70.946955758388839</v>
      </c>
      <c r="AS22" s="4">
        <f t="shared" si="11"/>
        <v>54.258213068570278</v>
      </c>
      <c r="AT22" s="4" t="str">
        <f t="shared" si="12"/>
        <v>.</v>
      </c>
      <c r="AU22" s="4" t="str">
        <f t="shared" si="13"/>
        <v>.</v>
      </c>
      <c r="AV22" s="4" t="str">
        <f t="shared" si="14"/>
        <v>.</v>
      </c>
      <c r="AX22" s="1">
        <f t="shared" si="15"/>
        <v>125601636.69417259</v>
      </c>
      <c r="AY22" s="4">
        <f t="shared" si="17"/>
        <v>91.51950408886313</v>
      </c>
    </row>
    <row r="23" spans="1:51" x14ac:dyDescent="0.3">
      <c r="A23" s="4">
        <v>2000</v>
      </c>
      <c r="B23" s="1">
        <v>7132257.6959356517</v>
      </c>
      <c r="C23" s="1">
        <v>11887473.283729635</v>
      </c>
      <c r="D23" s="1">
        <v>8944216.4888626691</v>
      </c>
      <c r="E23" s="1">
        <v>36422137.696864709</v>
      </c>
      <c r="F23" s="1">
        <v>21089199.182593558</v>
      </c>
      <c r="G23" s="1">
        <v>13748348.194499517</v>
      </c>
      <c r="H23" s="1">
        <v>126484.70240461398</v>
      </c>
      <c r="I23" s="1">
        <v>13830168.475479031</v>
      </c>
      <c r="J23" s="1">
        <v>29749572.608187336</v>
      </c>
      <c r="K23" s="1">
        <v>16706686.844872251</v>
      </c>
      <c r="L23" s="1">
        <v>8543504.544963045</v>
      </c>
      <c r="M23" s="1">
        <v>602744.03412216972</v>
      </c>
      <c r="N23" s="1">
        <v>82893686.164825067</v>
      </c>
      <c r="O23" s="1">
        <v>6786784.8844936322</v>
      </c>
      <c r="P23" s="1">
        <v>1012693.6476344164</v>
      </c>
      <c r="Q23" s="1"/>
      <c r="R23" s="4">
        <f>'Direct mail readership'!B22</f>
        <v>131.51911937319795</v>
      </c>
      <c r="S23" s="4">
        <v>-9999</v>
      </c>
      <c r="T23" s="4">
        <v>-9999</v>
      </c>
      <c r="U23" s="4">
        <f>'Print newspapers, readership'!B22</f>
        <v>134.6954851377125</v>
      </c>
      <c r="V23" s="4">
        <f>'Print periodical, readership'!B22</f>
        <v>111.13718782760115</v>
      </c>
      <c r="W23" s="4">
        <v>-9999</v>
      </c>
      <c r="X23" s="4">
        <f>'Movie theater viewership'!B23</f>
        <v>97.572000000000003</v>
      </c>
      <c r="Y23" s="4">
        <f>'Radio listenership'!B22</f>
        <v>104.70476803801645</v>
      </c>
      <c r="Z23" s="4">
        <f>'Broadcast television viewership'!B22</f>
        <v>101.91431938296461</v>
      </c>
      <c r="AA23" s="4">
        <f>'Cable.audiovisual internet view'!B22*100/'Cable.audiovisual internet view'!B$10</f>
        <v>38.348825243565756</v>
      </c>
      <c r="AB23" s="4">
        <f>'Nonaudiovisual internet time'!$B23*100/'Nonaudiovisual internet time'!B$11</f>
        <v>35.629290244994934</v>
      </c>
      <c r="AC23" s="4">
        <f>'Search internet time'!B23</f>
        <v>6.1531561970772533</v>
      </c>
      <c r="AD23" s="4">
        <v>-9999</v>
      </c>
      <c r="AE23" s="4">
        <v>-9999</v>
      </c>
      <c r="AF23" s="4">
        <v>-9999</v>
      </c>
      <c r="AH23" s="4">
        <f t="shared" si="0"/>
        <v>79.211257263859849</v>
      </c>
      <c r="AI23" s="4" t="str">
        <f t="shared" si="1"/>
        <v>.</v>
      </c>
      <c r="AJ23" s="4" t="str">
        <f t="shared" si="2"/>
        <v>.</v>
      </c>
      <c r="AK23" s="4">
        <f t="shared" si="3"/>
        <v>152.9670678650931</v>
      </c>
      <c r="AL23" s="4">
        <f t="shared" si="4"/>
        <v>148.93432683995317</v>
      </c>
      <c r="AM23" s="4" t="str">
        <f t="shared" si="5"/>
        <v>.</v>
      </c>
      <c r="AN23" s="4">
        <f t="shared" si="6"/>
        <v>79.528939588556142</v>
      </c>
      <c r="AO23" s="4">
        <f t="shared" si="7"/>
        <v>88.614281572113867</v>
      </c>
      <c r="AP23" s="4">
        <f t="shared" si="8"/>
        <v>86.362810637820516</v>
      </c>
      <c r="AQ23" s="4">
        <f t="shared" si="9"/>
        <v>102.76077667118287</v>
      </c>
      <c r="AR23" s="4">
        <f t="shared" si="10"/>
        <v>103.13661325988382</v>
      </c>
      <c r="AS23" s="4">
        <f t="shared" si="11"/>
        <v>36.818075805187512</v>
      </c>
      <c r="AT23" s="4" t="str">
        <f t="shared" si="12"/>
        <v>.</v>
      </c>
      <c r="AU23" s="4" t="str">
        <f t="shared" si="13"/>
        <v>.</v>
      </c>
      <c r="AV23" s="4" t="str">
        <f t="shared" si="14"/>
        <v>.</v>
      </c>
      <c r="AX23" s="1">
        <f t="shared" si="15"/>
        <v>134202755.78542235</v>
      </c>
      <c r="AY23" s="4">
        <f t="shared" si="17"/>
        <v>98.540172030221314</v>
      </c>
    </row>
    <row r="24" spans="1:51" x14ac:dyDescent="0.3">
      <c r="A24" s="4">
        <v>1999</v>
      </c>
      <c r="B24" s="1">
        <v>6807794.9534009369</v>
      </c>
      <c r="C24" s="1">
        <v>12134687.969669929</v>
      </c>
      <c r="D24" s="1">
        <v>8584484.6011046469</v>
      </c>
      <c r="E24" s="1">
        <v>34772365.124323942</v>
      </c>
      <c r="F24" s="1">
        <v>19328618.778550718</v>
      </c>
      <c r="G24" s="1">
        <v>13201522.941091334</v>
      </c>
      <c r="H24" s="1">
        <v>116746.07069003275</v>
      </c>
      <c r="I24" s="1">
        <v>12173407.181570822</v>
      </c>
      <c r="J24" s="1">
        <v>27028491.145881191</v>
      </c>
      <c r="K24" s="1">
        <v>14388985.03739108</v>
      </c>
      <c r="L24" s="1">
        <v>4895156.5511485403</v>
      </c>
      <c r="M24" s="1">
        <v>312009.90910336009</v>
      </c>
      <c r="N24" s="1">
        <v>75530225.451444685</v>
      </c>
      <c r="O24" s="1">
        <v>5801220.2414268032</v>
      </c>
      <c r="P24" s="1">
        <v>865632.10518782295</v>
      </c>
      <c r="Q24" s="1"/>
      <c r="R24" s="4">
        <f>'Direct mail readership'!B23</f>
        <v>124.68104044775116</v>
      </c>
      <c r="S24" s="4">
        <v>-9999</v>
      </c>
      <c r="T24" s="4">
        <v>-9999</v>
      </c>
      <c r="U24" s="4">
        <f>'Print newspapers, readership'!B23</f>
        <v>138.3067429825187</v>
      </c>
      <c r="V24" s="4">
        <f>'Print periodical, readership'!B23</f>
        <v>117.33061362515663</v>
      </c>
      <c r="W24" s="4">
        <v>-9999</v>
      </c>
      <c r="X24" s="4">
        <f>'Movie theater viewership'!B24</f>
        <v>95.783000000000001</v>
      </c>
      <c r="Y24" s="4">
        <f>'Radio listenership'!B23</f>
        <v>106.24802471524066</v>
      </c>
      <c r="Z24" s="4">
        <f>'Broadcast television viewership'!B23</f>
        <v>104.37330885636797</v>
      </c>
      <c r="AA24" s="4">
        <f>'Cable.audiovisual internet view'!B23*100/'Cable.audiovisual internet view'!B$10</f>
        <v>33.976013470677714</v>
      </c>
      <c r="AB24" s="4">
        <f>'Nonaudiovisual internet time'!$B24*100/'Nonaudiovisual internet time'!B$11</f>
        <v>27.139442216021578</v>
      </c>
      <c r="AC24" s="4">
        <f>'Search internet time'!B24</f>
        <v>4.1154878316503654</v>
      </c>
      <c r="AD24" s="4">
        <v>-9999</v>
      </c>
      <c r="AE24" s="4">
        <v>-9999</v>
      </c>
      <c r="AF24" s="4">
        <v>-9999</v>
      </c>
      <c r="AH24" s="4">
        <f t="shared" si="0"/>
        <v>79.754431079078515</v>
      </c>
      <c r="AI24" s="4" t="str">
        <f t="shared" si="1"/>
        <v>.</v>
      </c>
      <c r="AJ24" s="4" t="str">
        <f t="shared" si="2"/>
        <v>.</v>
      </c>
      <c r="AK24" s="4">
        <f t="shared" si="3"/>
        <v>142.2251583769457</v>
      </c>
      <c r="AL24" s="4">
        <f t="shared" si="4"/>
        <v>129.29555658956028</v>
      </c>
      <c r="AM24" s="4" t="str">
        <f t="shared" si="5"/>
        <v>.</v>
      </c>
      <c r="AN24" s="4">
        <f t="shared" si="6"/>
        <v>74.776689236663955</v>
      </c>
      <c r="AO24" s="4">
        <f t="shared" si="7"/>
        <v>76.865948972305489</v>
      </c>
      <c r="AP24" s="4">
        <f t="shared" si="8"/>
        <v>76.614962913893578</v>
      </c>
      <c r="AQ24" s="4">
        <f t="shared" si="9"/>
        <v>99.895713061876322</v>
      </c>
      <c r="AR24" s="4">
        <f t="shared" si="10"/>
        <v>77.579977683170483</v>
      </c>
      <c r="AS24" s="4">
        <f t="shared" si="11"/>
        <v>28.495295947589714</v>
      </c>
      <c r="AT24" s="4" t="str">
        <f t="shared" si="12"/>
        <v>.</v>
      </c>
      <c r="AU24" s="4" t="str">
        <f t="shared" si="13"/>
        <v>.</v>
      </c>
      <c r="AV24" s="4" t="str">
        <f t="shared" si="14"/>
        <v>.</v>
      </c>
      <c r="AX24" s="1">
        <f t="shared" si="15"/>
        <v>119823574.75206064</v>
      </c>
      <c r="AY24" s="4">
        <f t="shared" si="17"/>
        <v>88.863270331678379</v>
      </c>
    </row>
    <row r="25" spans="1:51" x14ac:dyDescent="0.3">
      <c r="A25" s="4">
        <v>1998</v>
      </c>
      <c r="B25" s="1">
        <v>6541894.8414926864</v>
      </c>
      <c r="C25" s="1">
        <v>12450821.881713424</v>
      </c>
      <c r="D25" s="1">
        <v>7496089.9189360915</v>
      </c>
      <c r="E25" s="1">
        <v>33102437.571737699</v>
      </c>
      <c r="F25" s="1">
        <v>18316049.934480142</v>
      </c>
      <c r="G25" s="1">
        <v>12552289.479604382</v>
      </c>
      <c r="H25" s="1">
        <v>106140.8035740031</v>
      </c>
      <c r="I25" s="1">
        <v>10828759.298493765</v>
      </c>
      <c r="J25" s="1">
        <v>25269814.40789178</v>
      </c>
      <c r="K25" s="1">
        <v>12131915.21904465</v>
      </c>
      <c r="L25" s="1">
        <v>2033800.2289651472</v>
      </c>
      <c r="M25" s="1">
        <v>126285.67834821728</v>
      </c>
      <c r="N25" s="1">
        <v>69367459.62658447</v>
      </c>
      <c r="O25" s="1">
        <v>5017075.4750275183</v>
      </c>
      <c r="P25" s="1">
        <v>748625.53473165957</v>
      </c>
      <c r="Q25" s="1"/>
      <c r="R25" s="4">
        <f>'Direct mail readership'!B24</f>
        <v>123.39303127556569</v>
      </c>
      <c r="S25" s="4">
        <v>-9999</v>
      </c>
      <c r="T25" s="4">
        <v>-9999</v>
      </c>
      <c r="U25" s="4">
        <f>'Print newspapers, readership'!B24</f>
        <v>140.12807958020881</v>
      </c>
      <c r="V25" s="4">
        <f>'Print periodical, readership'!B24</f>
        <v>121.72630654128642</v>
      </c>
      <c r="W25" s="4">
        <v>-9999</v>
      </c>
      <c r="X25" s="4">
        <f>'Movie theater viewership'!B25</f>
        <v>92.492000000000004</v>
      </c>
      <c r="Y25" s="4">
        <f>'Radio listenership'!B24</f>
        <v>107.71443997298562</v>
      </c>
      <c r="Z25" s="4">
        <f>'Broadcast television viewership'!B24</f>
        <v>104.87313560176214</v>
      </c>
      <c r="AA25" s="4">
        <f>'Cable.audiovisual internet view'!B24*100/'Cable.audiovisual internet view'!B$10</f>
        <v>30.526607506012798</v>
      </c>
      <c r="AB25" s="4">
        <f>'Nonaudiovisual internet time'!$B25*100/'Nonaudiovisual internet time'!B$11</f>
        <v>17.067793599746903</v>
      </c>
      <c r="AC25" s="4">
        <f>'Search internet time'!B25</f>
        <v>2.7526101320989396</v>
      </c>
      <c r="AD25" s="4">
        <v>-9999</v>
      </c>
      <c r="AE25" s="4">
        <v>-9999</v>
      </c>
      <c r="AF25" s="4">
        <v>-9999</v>
      </c>
      <c r="AH25" s="4">
        <f t="shared" si="0"/>
        <v>77.439349826723742</v>
      </c>
      <c r="AI25" s="4" t="str">
        <f t="shared" si="1"/>
        <v>.</v>
      </c>
      <c r="AJ25" s="4" t="str">
        <f t="shared" si="2"/>
        <v>.</v>
      </c>
      <c r="AK25" s="4">
        <f t="shared" si="3"/>
        <v>133.6350418475414</v>
      </c>
      <c r="AL25" s="4">
        <f t="shared" si="4"/>
        <v>118.09771524054796</v>
      </c>
      <c r="AM25" s="4" t="str">
        <f t="shared" si="5"/>
        <v>.</v>
      </c>
      <c r="AN25" s="4">
        <f t="shared" si="6"/>
        <v>70.402907718898788</v>
      </c>
      <c r="AO25" s="4">
        <f t="shared" si="7"/>
        <v>67.444646350097315</v>
      </c>
      <c r="AP25" s="4">
        <f t="shared" si="8"/>
        <v>71.28842905347615</v>
      </c>
      <c r="AQ25" s="4">
        <f t="shared" si="9"/>
        <v>93.743234512251234</v>
      </c>
      <c r="AR25" s="4">
        <f t="shared" si="10"/>
        <v>51.25248084857693</v>
      </c>
      <c r="AS25" s="4">
        <f t="shared" si="11"/>
        <v>17.243900334996138</v>
      </c>
      <c r="AT25" s="4" t="str">
        <f t="shared" si="12"/>
        <v>.</v>
      </c>
      <c r="AU25" s="4" t="str">
        <f t="shared" si="13"/>
        <v>.</v>
      </c>
      <c r="AV25" s="4" t="str">
        <f t="shared" si="14"/>
        <v>.</v>
      </c>
      <c r="AX25" s="1">
        <f t="shared" si="15"/>
        <v>108457097.98402809</v>
      </c>
      <c r="AY25" s="4">
        <f t="shared" si="17"/>
        <v>81.551921297080867</v>
      </c>
    </row>
    <row r="26" spans="1:51" x14ac:dyDescent="0.3">
      <c r="A26" s="4">
        <v>1997</v>
      </c>
      <c r="B26" s="1">
        <v>6065819.8143033581</v>
      </c>
      <c r="C26" s="1">
        <v>12309128.734868912</v>
      </c>
      <c r="D26" s="1">
        <v>7280506.3727654517</v>
      </c>
      <c r="E26" s="1">
        <v>31185464.07889495</v>
      </c>
      <c r="F26" s="1">
        <v>17361371.845219016</v>
      </c>
      <c r="G26" s="1">
        <v>11974041.018969679</v>
      </c>
      <c r="H26" s="1">
        <v>97063.164962221505</v>
      </c>
      <c r="I26" s="1">
        <v>9842842.0930953398</v>
      </c>
      <c r="J26" s="1">
        <v>23312250.10394631</v>
      </c>
      <c r="K26" s="1">
        <v>10114937.311924588</v>
      </c>
      <c r="L26" s="1">
        <v>960422.85996778251</v>
      </c>
      <c r="M26" s="1">
        <v>59260.875861406537</v>
      </c>
      <c r="N26" s="1">
        <v>65107692.450632513</v>
      </c>
      <c r="O26" s="1">
        <v>4830594.4613584979</v>
      </c>
      <c r="P26" s="1">
        <v>720799.67297810351</v>
      </c>
      <c r="Q26" s="1"/>
      <c r="R26" s="4">
        <f>'Direct mail readership'!B25</f>
        <v>111.81258924235516</v>
      </c>
      <c r="S26" s="4">
        <v>-9999</v>
      </c>
      <c r="T26" s="4">
        <v>-9999</v>
      </c>
      <c r="U26" s="4">
        <f>'Print newspapers, readership'!B25</f>
        <v>139.2482831753579</v>
      </c>
      <c r="V26" s="4">
        <f>'Print periodical, readership'!B25</f>
        <v>124.31918284641773</v>
      </c>
      <c r="W26" s="4">
        <v>-9999</v>
      </c>
      <c r="X26" s="4">
        <f>'Movie theater viewership'!B26</f>
        <v>86.396000000000001</v>
      </c>
      <c r="Y26" s="4">
        <f>'Radio listenership'!B25</f>
        <v>107.7874723957941</v>
      </c>
      <c r="Z26" s="4">
        <f>'Broadcast television viewership'!B25</f>
        <v>106.63088239655934</v>
      </c>
      <c r="AA26" s="4">
        <f>'Cable.audiovisual internet view'!B25*100/'Cable.audiovisual internet view'!B$10</f>
        <v>27.749993008701377</v>
      </c>
      <c r="AB26" s="4">
        <f>'Nonaudiovisual internet time'!$B26*100/'Nonaudiovisual internet time'!B$11</f>
        <v>9.7335323317356774</v>
      </c>
      <c r="AC26" s="4">
        <f>'Search internet time'!B26</f>
        <v>1.8410606103761262</v>
      </c>
      <c r="AD26" s="4">
        <v>-9999</v>
      </c>
      <c r="AE26" s="4">
        <v>-9999</v>
      </c>
      <c r="AF26" s="4">
        <v>-9999</v>
      </c>
      <c r="AH26" s="4">
        <f t="shared" si="0"/>
        <v>79.240566813010915</v>
      </c>
      <c r="AI26" s="4" t="str">
        <f t="shared" si="1"/>
        <v>.</v>
      </c>
      <c r="AJ26" s="4" t="str">
        <f t="shared" si="2"/>
        <v>.</v>
      </c>
      <c r="AK26" s="4">
        <f t="shared" si="3"/>
        <v>126.69162623851003</v>
      </c>
      <c r="AL26" s="4">
        <f t="shared" si="4"/>
        <v>109.60743473381471</v>
      </c>
      <c r="AM26" s="4" t="str">
        <f t="shared" si="5"/>
        <v>.</v>
      </c>
      <c r="AN26" s="4">
        <f t="shared" si="6"/>
        <v>68.924433960545699</v>
      </c>
      <c r="AO26" s="4">
        <f t="shared" si="7"/>
        <v>61.262531554825486</v>
      </c>
      <c r="AP26" s="4">
        <f t="shared" si="8"/>
        <v>64.681850462893308</v>
      </c>
      <c r="AQ26" s="4">
        <f t="shared" si="9"/>
        <v>85.978413662466878</v>
      </c>
      <c r="AR26" s="4">
        <f t="shared" si="10"/>
        <v>42.440060586211061</v>
      </c>
      <c r="AS26" s="4">
        <f t="shared" si="11"/>
        <v>12.098348387891331</v>
      </c>
      <c r="AT26" s="4" t="str">
        <f t="shared" si="12"/>
        <v>.</v>
      </c>
      <c r="AU26" s="4" t="str">
        <f t="shared" si="13"/>
        <v>.</v>
      </c>
      <c r="AV26" s="4" t="str">
        <f t="shared" si="14"/>
        <v>.</v>
      </c>
      <c r="AX26" s="1">
        <f t="shared" si="15"/>
        <v>98999432.148174971</v>
      </c>
      <c r="AY26" s="4">
        <f t="shared" si="17"/>
        <v>75.836906506394214</v>
      </c>
    </row>
    <row r="27" spans="1:51" x14ac:dyDescent="0.3">
      <c r="A27" s="4">
        <v>1996</v>
      </c>
      <c r="B27" s="1">
        <v>5905822.0746388854</v>
      </c>
      <c r="C27" s="1">
        <v>12089503.916385585</v>
      </c>
      <c r="D27" s="1">
        <v>6665512.2913051993</v>
      </c>
      <c r="E27" s="1">
        <v>28753840.128608491</v>
      </c>
      <c r="F27" s="1">
        <v>16011509.301000245</v>
      </c>
      <c r="G27" s="1">
        <v>11382348.280278753</v>
      </c>
      <c r="H27" s="1">
        <v>89586.59853277677</v>
      </c>
      <c r="I27" s="1">
        <v>9000984.4033863265</v>
      </c>
      <c r="J27" s="1">
        <v>22655751.471902851</v>
      </c>
      <c r="K27" s="1">
        <v>8527922.7249387857</v>
      </c>
      <c r="L27" s="1">
        <v>282073.25473278458</v>
      </c>
      <c r="M27" s="1">
        <v>17415.903012456332</v>
      </c>
      <c r="N27" s="1">
        <v>58474664.406291917</v>
      </c>
      <c r="O27" s="1">
        <v>3848565.6111209439</v>
      </c>
      <c r="P27" s="1">
        <v>574265.72570337704</v>
      </c>
      <c r="Q27" s="1"/>
      <c r="R27" s="4">
        <f>'Direct mail readership'!B26</f>
        <v>106.09777437019866</v>
      </c>
      <c r="S27" s="4">
        <v>-9999</v>
      </c>
      <c r="T27" s="4">
        <v>-9999</v>
      </c>
      <c r="U27" s="4">
        <f>'Print newspapers, readership'!B26</f>
        <v>141.05451893789657</v>
      </c>
      <c r="V27" s="4">
        <f>'Print periodical, readership'!B26</f>
        <v>126.82897782352029</v>
      </c>
      <c r="W27" s="4">
        <v>-9999</v>
      </c>
      <c r="X27" s="4">
        <f>'Movie theater viewership'!B27</f>
        <v>81.948999999999998</v>
      </c>
      <c r="Y27" s="4">
        <f>'Radio listenership'!B26</f>
        <v>107.81266944183722</v>
      </c>
      <c r="Z27" s="4">
        <f>'Broadcast television viewership'!B26</f>
        <v>108.13930373506007</v>
      </c>
      <c r="AA27" s="4">
        <f>'Cable.audiovisual internet view'!B26*100/'Cable.audiovisual internet view'!B$10</f>
        <v>25.6131949489953</v>
      </c>
      <c r="AB27" s="4">
        <f>'Nonaudiovisual internet time'!$B27*100/'Nonaudiovisual internet time'!B$11</f>
        <v>2.9320462118179735</v>
      </c>
      <c r="AC27" s="4">
        <f>'Search internet time'!B27</f>
        <v>1.2313782222744076</v>
      </c>
      <c r="AD27" s="4">
        <v>-9999</v>
      </c>
      <c r="AE27" s="4">
        <v>-9999</v>
      </c>
      <c r="AF27" s="4">
        <v>-9999</v>
      </c>
      <c r="AH27" s="4">
        <f t="shared" si="0"/>
        <v>81.30604903770228</v>
      </c>
      <c r="AI27" s="4" t="str">
        <f t="shared" si="1"/>
        <v>.</v>
      </c>
      <c r="AJ27" s="4" t="str">
        <f t="shared" si="2"/>
        <v>.</v>
      </c>
      <c r="AK27" s="4">
        <f t="shared" si="3"/>
        <v>115.31728224656274</v>
      </c>
      <c r="AL27" s="4">
        <f t="shared" si="4"/>
        <v>99.084997151212505</v>
      </c>
      <c r="AM27" s="4" t="str">
        <f t="shared" si="5"/>
        <v>.</v>
      </c>
      <c r="AN27" s="4">
        <f t="shared" si="6"/>
        <v>67.067448528159687</v>
      </c>
      <c r="AO27" s="4">
        <f t="shared" si="7"/>
        <v>56.009657777692986</v>
      </c>
      <c r="AP27" s="4">
        <f t="shared" si="8"/>
        <v>61.983507500489623</v>
      </c>
      <c r="AQ27" s="4">
        <f t="shared" si="9"/>
        <v>78.535969942336408</v>
      </c>
      <c r="AR27" s="4">
        <f t="shared" si="10"/>
        <v>41.378532215091376</v>
      </c>
      <c r="AS27" s="4">
        <f t="shared" si="11"/>
        <v>5.3159469191152446</v>
      </c>
      <c r="AT27" s="4" t="str">
        <f t="shared" si="12"/>
        <v>.</v>
      </c>
      <c r="AU27" s="4" t="str">
        <f t="shared" si="13"/>
        <v>.</v>
      </c>
      <c r="AV27" s="4" t="str">
        <f t="shared" si="14"/>
        <v>.</v>
      </c>
      <c r="AX27" s="1">
        <f t="shared" si="15"/>
        <v>91244905.860753596</v>
      </c>
      <c r="AY27" s="4">
        <f t="shared" ref="AY27:AY44" si="18">AY26*((E27/U27)/(E26/U26))^((E27+E26)/(AX27+AX26))*((F27/V27)/(F26/V26))^((F27+F26)/(AX27+AX26))*((H27/X27)/(H26/X26))^((H27+H26)/(AX27+AX26))*((I27/Y27)/(I26/Y26))^((I27+I26)/(AX27+AX26))*((J27/Z27)/(J26/Z26))^((J27+J26)/(AX27+AX26))*((K27/AA27)/(K26/AA26))^((K27+K26)/(AX27+AX26))*((B27/R27)/(B26/R26))^((B27+B26)/(AX27+AX26))</f>
        <v>70.441818843777071</v>
      </c>
    </row>
    <row r="28" spans="1:51" x14ac:dyDescent="0.3">
      <c r="A28" s="4">
        <v>1995</v>
      </c>
      <c r="B28" s="1">
        <v>5854124.7011273969</v>
      </c>
      <c r="C28" s="1">
        <v>12088421.049698811</v>
      </c>
      <c r="D28" s="1">
        <v>6169846.1093492927</v>
      </c>
      <c r="E28" s="1">
        <v>27263796.830736931</v>
      </c>
      <c r="F28" s="1">
        <v>15169188.681512604</v>
      </c>
      <c r="G28" s="1">
        <v>10742266.295994541</v>
      </c>
      <c r="H28" s="1">
        <v>82433.184286922988</v>
      </c>
      <c r="I28" s="1">
        <v>8219979.2175643574</v>
      </c>
      <c r="J28" s="1">
        <v>21512446.881082792</v>
      </c>
      <c r="K28" s="1">
        <v>7176633.8740795963</v>
      </c>
      <c r="L28" s="1">
        <v>10224.699075894425</v>
      </c>
      <c r="M28" s="1">
        <v>0</v>
      </c>
      <c r="N28" s="1">
        <v>51680923.219716653</v>
      </c>
      <c r="O28" s="1">
        <v>3550931.0382491243</v>
      </c>
      <c r="P28" s="1">
        <v>529854.02761753683</v>
      </c>
      <c r="Q28" s="1"/>
      <c r="R28" s="4">
        <f>'Direct mail readership'!B27</f>
        <v>103.6031185647951</v>
      </c>
      <c r="S28" s="4">
        <v>-9999</v>
      </c>
      <c r="T28" s="4">
        <v>-9999</v>
      </c>
      <c r="U28" s="4">
        <f>'Print newspapers, readership'!B27</f>
        <v>143.11275449339055</v>
      </c>
      <c r="V28" s="4">
        <f>'Print periodical, readership'!B27</f>
        <v>127.55576254612252</v>
      </c>
      <c r="W28" s="4">
        <v>-9999</v>
      </c>
      <c r="X28" s="4">
        <f>'Movie theater viewership'!B28</f>
        <v>79.111000000000004</v>
      </c>
      <c r="Y28" s="4">
        <f>'Radio listenership'!B27</f>
        <v>107.86104273034618</v>
      </c>
      <c r="Z28" s="4">
        <f>'Broadcast television viewership'!B27</f>
        <v>112.67041175652842</v>
      </c>
      <c r="AA28" s="4">
        <f>'Cable.audiovisual internet view'!B27*100/'Cable.audiovisual internet view'!B$10</f>
        <v>24.021205944090518</v>
      </c>
      <c r="AB28" s="4">
        <v>-9999</v>
      </c>
      <c r="AC28" s="4">
        <v>-9999</v>
      </c>
      <c r="AD28" s="4">
        <v>-9999</v>
      </c>
      <c r="AE28" s="4">
        <v>-9999</v>
      </c>
      <c r="AF28" s="4">
        <v>-9999</v>
      </c>
      <c r="AH28" s="4">
        <f t="shared" si="0"/>
        <v>82.534953984472281</v>
      </c>
      <c r="AI28" s="4" t="str">
        <f t="shared" si="1"/>
        <v>.</v>
      </c>
      <c r="AJ28" s="4" t="str">
        <f t="shared" si="2"/>
        <v>.</v>
      </c>
      <c r="AK28" s="4">
        <f t="shared" si="3"/>
        <v>107.76892357263164</v>
      </c>
      <c r="AL28" s="4">
        <f t="shared" si="4"/>
        <v>93.337548819384764</v>
      </c>
      <c r="AM28" s="4" t="str">
        <f t="shared" si="5"/>
        <v>.</v>
      </c>
      <c r="AN28" s="4">
        <f t="shared" si="6"/>
        <v>63.926009906964602</v>
      </c>
      <c r="AO28" s="4">
        <f t="shared" si="7"/>
        <v>51.126823899103982</v>
      </c>
      <c r="AP28" s="4">
        <f t="shared" si="8"/>
        <v>56.488647275613907</v>
      </c>
      <c r="AQ28" s="4">
        <f t="shared" si="9"/>
        <v>70.471756191505463</v>
      </c>
      <c r="AR28" s="4" t="str">
        <f t="shared" si="10"/>
        <v>.</v>
      </c>
      <c r="AS28" s="4" t="str">
        <f t="shared" si="11"/>
        <v>.</v>
      </c>
      <c r="AT28" s="4" t="str">
        <f t="shared" si="12"/>
        <v>.</v>
      </c>
      <c r="AU28" s="4" t="str">
        <f t="shared" si="13"/>
        <v>.</v>
      </c>
      <c r="AV28" s="4" t="str">
        <f t="shared" si="14"/>
        <v>.</v>
      </c>
      <c r="AX28" s="1">
        <f t="shared" si="15"/>
        <v>85288828.069466501</v>
      </c>
      <c r="AY28" s="4">
        <f t="shared" si="18"/>
        <v>65.492877854933866</v>
      </c>
    </row>
    <row r="29" spans="1:51" x14ac:dyDescent="0.3">
      <c r="A29" s="4">
        <v>1994</v>
      </c>
      <c r="B29" s="1">
        <v>5494537.5554863345</v>
      </c>
      <c r="C29" s="1">
        <v>11444782.451833813</v>
      </c>
      <c r="D29" s="1">
        <v>5679304.0369164171</v>
      </c>
      <c r="E29" s="1">
        <v>25769035.690088961</v>
      </c>
      <c r="F29" s="1">
        <v>14097497.863613911</v>
      </c>
      <c r="G29" s="1">
        <v>10312258.765659289</v>
      </c>
      <c r="H29" s="1">
        <v>77967.80865912103</v>
      </c>
      <c r="I29" s="1">
        <v>7560265.2038600417</v>
      </c>
      <c r="J29" s="1">
        <v>19838791.669918854</v>
      </c>
      <c r="K29" s="1">
        <v>5967368.7065268122</v>
      </c>
      <c r="L29" s="1">
        <v>0</v>
      </c>
      <c r="M29" s="1">
        <v>0</v>
      </c>
      <c r="N29" s="1">
        <v>46249801.242600881</v>
      </c>
      <c r="O29" s="1">
        <v>3258108.7039525188</v>
      </c>
      <c r="P29" s="1">
        <v>486160.39022154635</v>
      </c>
      <c r="Q29" s="1"/>
      <c r="R29" s="4">
        <f>'Direct mail readership'!B28</f>
        <v>103.82774036512221</v>
      </c>
      <c r="S29" s="4">
        <v>-9999</v>
      </c>
      <c r="T29" s="4">
        <v>-9999</v>
      </c>
      <c r="U29" s="4">
        <f>'Print newspapers, readership'!B28</f>
        <v>144.17914861127525</v>
      </c>
      <c r="V29" s="4">
        <f>'Print periodical, readership'!B28</f>
        <v>125.8072544029102</v>
      </c>
      <c r="W29" s="4">
        <v>-9999</v>
      </c>
      <c r="X29" s="4">
        <f>'Movie theater viewership'!B29</f>
        <v>77.453999999999994</v>
      </c>
      <c r="Y29" s="4">
        <f>'Radio listenership'!B28</f>
        <v>107.87476917191113</v>
      </c>
      <c r="Z29" s="4">
        <f>'Broadcast television viewership'!B28</f>
        <v>115.543865494651</v>
      </c>
      <c r="AA29" s="4">
        <f>'Cable.audiovisual internet view'!B28*100/'Cable.audiovisual internet view'!B$10</f>
        <v>22.488937278375339</v>
      </c>
      <c r="AB29" s="4">
        <v>-9999</v>
      </c>
      <c r="AC29" s="4">
        <v>-9999</v>
      </c>
      <c r="AD29" s="4">
        <v>-9999</v>
      </c>
      <c r="AE29" s="4">
        <v>-9999</v>
      </c>
      <c r="AF29" s="4">
        <v>-9999</v>
      </c>
      <c r="AH29" s="4">
        <f t="shared" si="0"/>
        <v>77.297690144993737</v>
      </c>
      <c r="AI29" s="4" t="str">
        <f t="shared" si="1"/>
        <v>.</v>
      </c>
      <c r="AJ29" s="4" t="str">
        <f t="shared" si="2"/>
        <v>.</v>
      </c>
      <c r="AK29" s="4">
        <f t="shared" si="3"/>
        <v>101.10700812593865</v>
      </c>
      <c r="AL29" s="4">
        <f t="shared" si="4"/>
        <v>87.948912658364904</v>
      </c>
      <c r="AM29" s="4" t="str">
        <f t="shared" si="5"/>
        <v>.</v>
      </c>
      <c r="AN29" s="4">
        <f t="shared" si="6"/>
        <v>61.756670342801549</v>
      </c>
      <c r="AO29" s="4">
        <f t="shared" si="7"/>
        <v>47.017535381699219</v>
      </c>
      <c r="AP29" s="4">
        <f t="shared" si="8"/>
        <v>50.798345733076374</v>
      </c>
      <c r="AQ29" s="4">
        <f t="shared" si="9"/>
        <v>62.589725910363271</v>
      </c>
      <c r="AR29" s="4" t="str">
        <f t="shared" si="10"/>
        <v>.</v>
      </c>
      <c r="AS29" s="4" t="str">
        <f t="shared" si="11"/>
        <v>.</v>
      </c>
      <c r="AT29" s="4" t="str">
        <f t="shared" si="12"/>
        <v>.</v>
      </c>
      <c r="AU29" s="4" t="str">
        <f t="shared" si="13"/>
        <v>.</v>
      </c>
      <c r="AV29" s="4" t="str">
        <f t="shared" si="14"/>
        <v>.</v>
      </c>
      <c r="AX29" s="1">
        <f t="shared" si="15"/>
        <v>78805464.498154044</v>
      </c>
      <c r="AY29" s="4">
        <f t="shared" si="18"/>
        <v>60.450869436529167</v>
      </c>
    </row>
    <row r="30" spans="1:51" x14ac:dyDescent="0.3">
      <c r="A30" s="4">
        <v>1993</v>
      </c>
      <c r="B30" s="1">
        <v>5261030.4681311287</v>
      </c>
      <c r="C30" s="1">
        <v>11053642.649641946</v>
      </c>
      <c r="D30" s="1">
        <v>5214239.6829685681</v>
      </c>
      <c r="E30" s="1">
        <v>24076736.298555955</v>
      </c>
      <c r="F30" s="1">
        <v>13285119.961102333</v>
      </c>
      <c r="G30" s="1">
        <v>9988983.8852701746</v>
      </c>
      <c r="H30" s="1">
        <v>74266.247283443081</v>
      </c>
      <c r="I30" s="1">
        <v>6918170.7304947497</v>
      </c>
      <c r="J30" s="1">
        <v>18073287.828950886</v>
      </c>
      <c r="K30" s="1">
        <v>4928545.5557069927</v>
      </c>
      <c r="L30" s="1">
        <v>0</v>
      </c>
      <c r="M30" s="1">
        <v>0</v>
      </c>
      <c r="N30" s="1">
        <v>44729764.890345335</v>
      </c>
      <c r="O30" s="1">
        <v>3045646.2950543826</v>
      </c>
      <c r="P30" s="1">
        <v>454457.70102274156</v>
      </c>
      <c r="Q30" s="1"/>
      <c r="R30" s="4">
        <f>'Direct mail readership'!B29</f>
        <v>95.055068372464788</v>
      </c>
      <c r="S30" s="4">
        <v>-9999</v>
      </c>
      <c r="T30" s="4">
        <v>-9999</v>
      </c>
      <c r="U30" s="4">
        <f>'Print newspapers, readership'!B29</f>
        <v>145.65777429692662</v>
      </c>
      <c r="V30" s="4">
        <f>'Print periodical, readership'!B29</f>
        <v>126.26361908593131</v>
      </c>
      <c r="W30" s="4">
        <v>-9999</v>
      </c>
      <c r="X30" s="4">
        <f>'Movie theater viewership'!B30</f>
        <v>76.328999999999994</v>
      </c>
      <c r="Y30" s="4">
        <f>'Radio listenership'!B29</f>
        <v>108.46399091136483</v>
      </c>
      <c r="Z30" s="4">
        <f>'Broadcast television viewership'!B29</f>
        <v>113.01431541539181</v>
      </c>
      <c r="AA30" s="4">
        <f>'Cable.audiovisual internet view'!B29*100/'Cable.audiovisual internet view'!B$10</f>
        <v>20.058255962738937</v>
      </c>
      <c r="AB30" s="4">
        <v>-9999</v>
      </c>
      <c r="AC30" s="4">
        <v>-9999</v>
      </c>
      <c r="AD30" s="4">
        <v>-9999</v>
      </c>
      <c r="AE30" s="4">
        <v>-9999</v>
      </c>
      <c r="AF30" s="4">
        <v>-9999</v>
      </c>
      <c r="AH30" s="4">
        <f t="shared" si="0"/>
        <v>80.843351735520258</v>
      </c>
      <c r="AI30" s="4" t="str">
        <f t="shared" si="1"/>
        <v>.</v>
      </c>
      <c r="AJ30" s="4" t="str">
        <f t="shared" si="2"/>
        <v>.</v>
      </c>
      <c r="AK30" s="4">
        <f t="shared" si="3"/>
        <v>93.508156625785105</v>
      </c>
      <c r="AL30" s="4">
        <f t="shared" si="4"/>
        <v>82.58123406649193</v>
      </c>
      <c r="AM30" s="4" t="str">
        <f t="shared" si="5"/>
        <v>.</v>
      </c>
      <c r="AN30" s="4">
        <f t="shared" si="6"/>
        <v>59.691748742703098</v>
      </c>
      <c r="AO30" s="4">
        <f t="shared" si="7"/>
        <v>42.790602812143682</v>
      </c>
      <c r="AP30" s="4">
        <f t="shared" si="8"/>
        <v>47.313486467734819</v>
      </c>
      <c r="AQ30" s="4">
        <f t="shared" si="9"/>
        <v>57.958176969078586</v>
      </c>
      <c r="AR30" s="4" t="str">
        <f t="shared" si="10"/>
        <v>.</v>
      </c>
      <c r="AS30" s="4" t="str">
        <f t="shared" si="11"/>
        <v>.</v>
      </c>
      <c r="AT30" s="4" t="str">
        <f t="shared" si="12"/>
        <v>.</v>
      </c>
      <c r="AU30" s="4" t="str">
        <f t="shared" si="13"/>
        <v>.</v>
      </c>
      <c r="AV30" s="4" t="str">
        <f t="shared" si="14"/>
        <v>.</v>
      </c>
      <c r="AX30" s="1">
        <f t="shared" si="15"/>
        <v>72617157.090225488</v>
      </c>
      <c r="AY30" s="4">
        <f t="shared" si="18"/>
        <v>56.573595679924573</v>
      </c>
    </row>
    <row r="31" spans="1:51" x14ac:dyDescent="0.3">
      <c r="A31" s="4">
        <v>1992</v>
      </c>
      <c r="B31" s="1">
        <v>5099333.6643223027</v>
      </c>
      <c r="C31" s="1">
        <v>10806766.871956958</v>
      </c>
      <c r="D31" s="1">
        <v>4983866.1570020905</v>
      </c>
      <c r="E31" s="1">
        <v>23147482.614812385</v>
      </c>
      <c r="F31" s="1">
        <v>12624914.001389788</v>
      </c>
      <c r="G31" s="1">
        <v>9782213.9130732398</v>
      </c>
      <c r="H31" s="1">
        <v>72547.665216164038</v>
      </c>
      <c r="I31" s="1">
        <v>6560205.3981819311</v>
      </c>
      <c r="J31" s="1">
        <v>18136978.623629216</v>
      </c>
      <c r="K31" s="1">
        <v>4152032.5758510539</v>
      </c>
      <c r="L31" s="1">
        <v>0</v>
      </c>
      <c r="M31" s="1">
        <v>0</v>
      </c>
      <c r="N31" s="1">
        <v>43457909.434940368</v>
      </c>
      <c r="O31" s="1">
        <v>2840808.1925732857</v>
      </c>
      <c r="P31" s="1">
        <v>423892.67668403778</v>
      </c>
      <c r="Q31" s="1"/>
      <c r="R31" s="4">
        <f>'Direct mail readership'!B30</f>
        <v>92.476496846749868</v>
      </c>
      <c r="S31" s="4">
        <v>-9999</v>
      </c>
      <c r="T31" s="4">
        <v>-9999</v>
      </c>
      <c r="U31" s="4">
        <f>'Print newspapers, readership'!B30</f>
        <v>148.16039262182665</v>
      </c>
      <c r="V31" s="4">
        <f>'Print periodical, readership'!B30</f>
        <v>125.75818464349722</v>
      </c>
      <c r="W31" s="4">
        <v>-9999</v>
      </c>
      <c r="X31" s="4">
        <f>'Movie theater viewership'!B31</f>
        <v>75.361000000000004</v>
      </c>
      <c r="Y31" s="4">
        <f>'Radio listenership'!B30</f>
        <v>107.06325903895855</v>
      </c>
      <c r="Z31" s="4">
        <f>'Broadcast television viewership'!B30</f>
        <v>108.49449148702028</v>
      </c>
      <c r="AA31" s="4">
        <f>'Cable.audiovisual internet view'!B30*100/'Cable.audiovisual internet view'!B$10</f>
        <v>17.923368822271005</v>
      </c>
      <c r="AB31" s="4">
        <v>-9999</v>
      </c>
      <c r="AC31" s="4">
        <v>-9999</v>
      </c>
      <c r="AD31" s="4">
        <v>-9999</v>
      </c>
      <c r="AE31" s="4">
        <v>-9999</v>
      </c>
      <c r="AF31" s="4">
        <v>-9999</v>
      </c>
      <c r="AH31" s="4">
        <f t="shared" si="0"/>
        <v>80.543562148639637</v>
      </c>
      <c r="AI31" s="4" t="str">
        <f t="shared" si="1"/>
        <v>.</v>
      </c>
      <c r="AJ31" s="4" t="str">
        <f t="shared" si="2"/>
        <v>.</v>
      </c>
      <c r="AK31" s="4">
        <f t="shared" si="3"/>
        <v>88.380650823218716</v>
      </c>
      <c r="AL31" s="4">
        <f t="shared" si="4"/>
        <v>78.79275581945916</v>
      </c>
      <c r="AM31" s="4" t="str">
        <f t="shared" si="5"/>
        <v>.</v>
      </c>
      <c r="AN31" s="4">
        <f t="shared" si="6"/>
        <v>59.059420749812602</v>
      </c>
      <c r="AO31" s="4">
        <f t="shared" si="7"/>
        <v>41.107369539367753</v>
      </c>
      <c r="AP31" s="4">
        <f t="shared" si="8"/>
        <v>49.458221802453586</v>
      </c>
      <c r="AQ31" s="4">
        <f t="shared" si="9"/>
        <v>54.64245722753536</v>
      </c>
      <c r="AR31" s="4" t="str">
        <f t="shared" si="10"/>
        <v>.</v>
      </c>
      <c r="AS31" s="4" t="str">
        <f t="shared" si="11"/>
        <v>.</v>
      </c>
      <c r="AT31" s="4" t="str">
        <f t="shared" si="12"/>
        <v>.</v>
      </c>
      <c r="AU31" s="4" t="str">
        <f t="shared" si="13"/>
        <v>.</v>
      </c>
      <c r="AV31" s="4" t="str">
        <f t="shared" si="14"/>
        <v>.</v>
      </c>
      <c r="AX31" s="1">
        <f t="shared" si="15"/>
        <v>69793494.543402836</v>
      </c>
      <c r="AY31" s="4">
        <f t="shared" si="18"/>
        <v>55.242564668803787</v>
      </c>
    </row>
    <row r="32" spans="1:51" x14ac:dyDescent="0.3">
      <c r="A32" s="4">
        <v>1991</v>
      </c>
      <c r="B32" s="1">
        <v>4875160.3253432596</v>
      </c>
      <c r="C32" s="1">
        <v>10426272.986822048</v>
      </c>
      <c r="D32" s="1">
        <v>4752260.3439353099</v>
      </c>
      <c r="E32" s="1">
        <v>22928390.282872844</v>
      </c>
      <c r="F32" s="1">
        <v>11900840.920763992</v>
      </c>
      <c r="G32" s="1">
        <v>9637369.9731586352</v>
      </c>
      <c r="H32" s="1">
        <v>76836.776016552758</v>
      </c>
      <c r="I32" s="1">
        <v>6439637.4403011119</v>
      </c>
      <c r="J32" s="1">
        <v>17482873.13097851</v>
      </c>
      <c r="K32" s="1">
        <v>3691971.4663166068</v>
      </c>
      <c r="L32" s="1">
        <v>0</v>
      </c>
      <c r="M32" s="1">
        <v>0</v>
      </c>
      <c r="N32" s="1">
        <v>41048820.479511842</v>
      </c>
      <c r="O32" s="1">
        <v>2514453.9074194073</v>
      </c>
      <c r="P32" s="1">
        <v>375195.55174514087</v>
      </c>
      <c r="Q32" s="1"/>
      <c r="R32" s="4">
        <f>'Direct mail readership'!B31</f>
        <v>90.770001994482186</v>
      </c>
      <c r="S32" s="4">
        <v>-9999</v>
      </c>
      <c r="T32" s="4">
        <v>-9999</v>
      </c>
      <c r="U32" s="4">
        <f>'Print newspapers, readership'!B31</f>
        <v>148.19803579550094</v>
      </c>
      <c r="V32" s="4">
        <f>'Print periodical, readership'!B31</f>
        <v>126.79976022925241</v>
      </c>
      <c r="W32" s="4">
        <v>-9999</v>
      </c>
      <c r="X32" s="4">
        <f>'Movie theater viewership'!B32</f>
        <v>80.760999999999996</v>
      </c>
      <c r="Y32" s="4">
        <f>'Radio listenership'!B31</f>
        <v>106.2600768459281</v>
      </c>
      <c r="Z32" s="4">
        <f>'Broadcast television viewership'!B31</f>
        <v>109.44421965904715</v>
      </c>
      <c r="AA32" s="4">
        <f>'Cable.audiovisual internet view'!B31*100/'Cable.audiovisual internet view'!B$10</f>
        <v>16.412100710475723</v>
      </c>
      <c r="AB32" s="4">
        <v>-9999</v>
      </c>
      <c r="AC32" s="4">
        <v>-9999</v>
      </c>
      <c r="AD32" s="4">
        <v>-9999</v>
      </c>
      <c r="AE32" s="4">
        <v>-9999</v>
      </c>
      <c r="AF32" s="4">
        <v>-9999</v>
      </c>
      <c r="AH32" s="4">
        <f t="shared" si="0"/>
        <v>78.4504303135501</v>
      </c>
      <c r="AI32" s="4" t="str">
        <f t="shared" si="1"/>
        <v>.</v>
      </c>
      <c r="AJ32" s="4" t="str">
        <f t="shared" si="2"/>
        <v>.</v>
      </c>
      <c r="AK32" s="4">
        <f t="shared" si="3"/>
        <v>87.521885860843597</v>
      </c>
      <c r="AL32" s="4">
        <f t="shared" si="4"/>
        <v>73.663667820499285</v>
      </c>
      <c r="AM32" s="4" t="str">
        <f t="shared" si="5"/>
        <v>.</v>
      </c>
      <c r="AN32" s="4">
        <f t="shared" si="6"/>
        <v>58.368675958102507</v>
      </c>
      <c r="AO32" s="4">
        <f t="shared" si="7"/>
        <v>40.65687554390891</v>
      </c>
      <c r="AP32" s="4">
        <f t="shared" si="8"/>
        <v>47.260816704064624</v>
      </c>
      <c r="AQ32" s="4">
        <f t="shared" si="9"/>
        <v>53.061958185816025</v>
      </c>
      <c r="AR32" s="4" t="str">
        <f t="shared" si="10"/>
        <v>.</v>
      </c>
      <c r="AS32" s="4" t="str">
        <f t="shared" si="11"/>
        <v>.</v>
      </c>
      <c r="AT32" s="4" t="str">
        <f t="shared" si="12"/>
        <v>.</v>
      </c>
      <c r="AU32" s="4" t="str">
        <f t="shared" si="13"/>
        <v>.</v>
      </c>
      <c r="AV32" s="4" t="str">
        <f t="shared" si="14"/>
        <v>.</v>
      </c>
      <c r="AX32" s="1">
        <f t="shared" si="15"/>
        <v>67395710.342592895</v>
      </c>
      <c r="AY32" s="4">
        <f t="shared" si="18"/>
        <v>53.515508601017444</v>
      </c>
    </row>
    <row r="33" spans="1:51" x14ac:dyDescent="0.3">
      <c r="A33" s="4">
        <v>1990</v>
      </c>
      <c r="B33" s="1">
        <v>4622821.1487835115</v>
      </c>
      <c r="C33" s="1">
        <v>9976854.9541724827</v>
      </c>
      <c r="D33" s="1">
        <v>4826317.6554502714</v>
      </c>
      <c r="E33" s="1">
        <v>24387243.017270267</v>
      </c>
      <c r="F33" s="1">
        <v>12101075.032339124</v>
      </c>
      <c r="G33" s="1">
        <v>9368673.9686793722</v>
      </c>
      <c r="H33" s="1">
        <v>75441.346132864637</v>
      </c>
      <c r="I33" s="1">
        <v>6704139.2393729864</v>
      </c>
      <c r="J33" s="1">
        <v>18608569.347441908</v>
      </c>
      <c r="K33" s="1">
        <v>3216276.8171454081</v>
      </c>
      <c r="L33" s="1">
        <v>0</v>
      </c>
      <c r="M33" s="1">
        <v>0</v>
      </c>
      <c r="N33" s="1">
        <v>42521871.060720064</v>
      </c>
      <c r="O33" s="1">
        <v>2370430.7383813034</v>
      </c>
      <c r="P33" s="1">
        <v>353705.05943112855</v>
      </c>
      <c r="Q33" s="1"/>
      <c r="R33" s="4">
        <f>'Direct mail readership'!B32</f>
        <v>95.110620582469267</v>
      </c>
      <c r="S33" s="4">
        <v>-9999</v>
      </c>
      <c r="T33" s="4">
        <v>-9999</v>
      </c>
      <c r="U33" s="4">
        <f>'Print newspapers, readership'!B32</f>
        <v>148.05576408864883</v>
      </c>
      <c r="V33" s="4">
        <f>'Print periodical, readership'!B32</f>
        <v>127.46994949669941</v>
      </c>
      <c r="W33" s="4">
        <v>-9999</v>
      </c>
      <c r="X33" s="4">
        <f>'Movie theater viewership'!B33</f>
        <v>83.522000000000006</v>
      </c>
      <c r="Y33" s="4">
        <f>'Radio listenership'!B32</f>
        <v>106.0633537984049</v>
      </c>
      <c r="Z33" s="4">
        <f>'Broadcast television viewership'!B32</f>
        <v>104.21672161687711</v>
      </c>
      <c r="AA33" s="4">
        <f>'Cable.audiovisual internet view'!B32*100/'Cable.audiovisual internet view'!B$10</f>
        <v>14.540766965317887</v>
      </c>
      <c r="AB33" s="4">
        <v>-9999</v>
      </c>
      <c r="AC33" s="4">
        <v>-9999</v>
      </c>
      <c r="AD33" s="4">
        <v>-9999</v>
      </c>
      <c r="AE33" s="4">
        <v>-9999</v>
      </c>
      <c r="AF33" s="4">
        <v>-9999</v>
      </c>
      <c r="AH33" s="4">
        <f t="shared" si="0"/>
        <v>70.994850436063771</v>
      </c>
      <c r="AI33" s="4" t="str">
        <f t="shared" si="1"/>
        <v>.</v>
      </c>
      <c r="AJ33" s="4" t="str">
        <f t="shared" si="2"/>
        <v>.</v>
      </c>
      <c r="AK33" s="4">
        <f t="shared" si="3"/>
        <v>93.180049109821752</v>
      </c>
      <c r="AL33" s="4">
        <f t="shared" si="4"/>
        <v>74.509261958025775</v>
      </c>
      <c r="AM33" s="4" t="str">
        <f t="shared" si="5"/>
        <v>.</v>
      </c>
      <c r="AN33" s="4">
        <f t="shared" si="6"/>
        <v>55.414183613108236</v>
      </c>
      <c r="AO33" s="4">
        <f t="shared" si="7"/>
        <v>42.405323354649113</v>
      </c>
      <c r="AP33" s="4">
        <f t="shared" si="8"/>
        <v>52.827106453634784</v>
      </c>
      <c r="AQ33" s="4">
        <f t="shared" si="9"/>
        <v>52.174130056053855</v>
      </c>
      <c r="AR33" s="4" t="str">
        <f t="shared" si="10"/>
        <v>.</v>
      </c>
      <c r="AS33" s="4" t="str">
        <f t="shared" si="11"/>
        <v>.</v>
      </c>
      <c r="AT33" s="4" t="str">
        <f t="shared" si="12"/>
        <v>.</v>
      </c>
      <c r="AU33" s="4" t="str">
        <f t="shared" si="13"/>
        <v>.</v>
      </c>
      <c r="AV33" s="4" t="str">
        <f t="shared" si="14"/>
        <v>.</v>
      </c>
      <c r="AX33" s="1">
        <f t="shared" si="15"/>
        <v>69715565.94848606</v>
      </c>
      <c r="AY33" s="4">
        <f t="shared" si="18"/>
        <v>56.210697131127354</v>
      </c>
    </row>
    <row r="34" spans="1:51" x14ac:dyDescent="0.3">
      <c r="A34" s="4">
        <v>1989</v>
      </c>
      <c r="B34" s="1">
        <v>4308240.047733386</v>
      </c>
      <c r="C34" s="1">
        <v>9382563.5779127907</v>
      </c>
      <c r="D34" s="1">
        <v>4602248.1746679861</v>
      </c>
      <c r="E34" s="1">
        <v>24453726.207651921</v>
      </c>
      <c r="F34" s="1">
        <v>11847290.976691648</v>
      </c>
      <c r="G34" s="1">
        <v>8743116.0832510833</v>
      </c>
      <c r="H34" s="1">
        <v>67156.899244442597</v>
      </c>
      <c r="I34" s="1">
        <v>6706008.510037805</v>
      </c>
      <c r="J34" s="1">
        <v>17584661.976825371</v>
      </c>
      <c r="K34" s="1">
        <v>2744837.4120520786</v>
      </c>
      <c r="L34" s="1">
        <v>0</v>
      </c>
      <c r="M34" s="1">
        <v>0</v>
      </c>
      <c r="N34" s="1">
        <v>39136770.669244029</v>
      </c>
      <c r="O34" s="1">
        <v>2514066.3468174976</v>
      </c>
      <c r="P34" s="1">
        <v>375137.72168771207</v>
      </c>
      <c r="Q34" s="1"/>
      <c r="R34" s="4">
        <f>'Direct mail readership'!B33</f>
        <v>90.606216396459175</v>
      </c>
      <c r="S34" s="4">
        <v>-9999</v>
      </c>
      <c r="T34" s="4">
        <v>-9999</v>
      </c>
      <c r="U34" s="4">
        <f>'Print newspapers, readership'!B33</f>
        <v>147.99907624499946</v>
      </c>
      <c r="V34" s="4">
        <f>'Print periodical, readership'!B33</f>
        <v>124.57521740814549</v>
      </c>
      <c r="W34" s="4">
        <v>-9999</v>
      </c>
      <c r="X34" s="4">
        <f>'Movie theater viewership'!B34</f>
        <v>78.936000000000007</v>
      </c>
      <c r="Y34" s="4">
        <f>'Radio listenership'!B33</f>
        <v>106.07894354686546</v>
      </c>
      <c r="Z34" s="4">
        <f>'Broadcast television viewership'!B33</f>
        <v>106.20918535982715</v>
      </c>
      <c r="AA34" s="4">
        <f>'Cable.audiovisual internet view'!B33*100/'Cable.audiovisual internet view'!B$10</f>
        <v>11.779642995082122</v>
      </c>
      <c r="AB34" s="4">
        <v>-9999</v>
      </c>
      <c r="AC34" s="4">
        <v>-9999</v>
      </c>
      <c r="AD34" s="4">
        <v>-9999</v>
      </c>
      <c r="AE34" s="4">
        <v>-9999</v>
      </c>
      <c r="AF34" s="4">
        <v>-9999</v>
      </c>
      <c r="AH34" s="4">
        <f t="shared" si="0"/>
        <v>69.452945804847246</v>
      </c>
      <c r="AI34" s="4" t="str">
        <f t="shared" si="1"/>
        <v>.</v>
      </c>
      <c r="AJ34" s="4" t="str">
        <f t="shared" si="2"/>
        <v>.</v>
      </c>
      <c r="AK34" s="4">
        <f t="shared" si="3"/>
        <v>93.469859447850695</v>
      </c>
      <c r="AL34" s="4">
        <f t="shared" si="4"/>
        <v>74.641700133148348</v>
      </c>
      <c r="AM34" s="4" t="str">
        <f t="shared" si="5"/>
        <v>.</v>
      </c>
      <c r="AN34" s="4">
        <f t="shared" si="6"/>
        <v>52.194881528969177</v>
      </c>
      <c r="AO34" s="4">
        <f t="shared" si="7"/>
        <v>42.410913170987797</v>
      </c>
      <c r="AP34" s="4">
        <f t="shared" si="8"/>
        <v>48.983881080496616</v>
      </c>
      <c r="AQ34" s="4">
        <f t="shared" si="9"/>
        <v>54.9634020731284</v>
      </c>
      <c r="AR34" s="4" t="str">
        <f t="shared" si="10"/>
        <v>.</v>
      </c>
      <c r="AS34" s="4" t="str">
        <f t="shared" si="11"/>
        <v>.</v>
      </c>
      <c r="AT34" s="4" t="str">
        <f t="shared" si="12"/>
        <v>.</v>
      </c>
      <c r="AU34" s="4" t="str">
        <f t="shared" si="13"/>
        <v>.</v>
      </c>
      <c r="AV34" s="4" t="str">
        <f t="shared" si="14"/>
        <v>.</v>
      </c>
      <c r="AX34" s="1">
        <f t="shared" si="15"/>
        <v>67711922.030236647</v>
      </c>
      <c r="AY34" s="4">
        <f t="shared" si="18"/>
        <v>55.224707309514883</v>
      </c>
    </row>
    <row r="35" spans="1:51" x14ac:dyDescent="0.3">
      <c r="A35" s="4">
        <v>1988</v>
      </c>
      <c r="B35" s="1">
        <v>4114066.6501678783</v>
      </c>
      <c r="C35" s="1">
        <v>9041007.1612741444</v>
      </c>
      <c r="D35" s="1">
        <v>4288342.317696196</v>
      </c>
      <c r="E35" s="1">
        <v>23569046.481096052</v>
      </c>
      <c r="F35" s="1">
        <v>10853394.829333242</v>
      </c>
      <c r="G35" s="1">
        <v>8166889.1048951587</v>
      </c>
      <c r="H35" s="1">
        <v>57051.049139417111</v>
      </c>
      <c r="I35" s="1">
        <v>6286197.2211049255</v>
      </c>
      <c r="J35" s="1">
        <v>17199235.977716725</v>
      </c>
      <c r="K35" s="1">
        <v>2175638.9962376659</v>
      </c>
      <c r="L35" s="1">
        <v>0</v>
      </c>
      <c r="M35" s="1">
        <v>0</v>
      </c>
      <c r="N35" s="1">
        <v>35600380.80813618</v>
      </c>
      <c r="O35" s="1">
        <v>1814832.883578625</v>
      </c>
      <c r="P35" s="1">
        <v>270801.23563622404</v>
      </c>
      <c r="Q35" s="1"/>
      <c r="R35" s="4">
        <f>'Direct mail readership'!B34</f>
        <v>93.37013843047535</v>
      </c>
      <c r="S35" s="4">
        <v>-9999</v>
      </c>
      <c r="T35" s="4">
        <v>-9999</v>
      </c>
      <c r="U35" s="4">
        <f>'Print newspapers, readership'!B34</f>
        <v>147.76458070965307</v>
      </c>
      <c r="V35" s="4">
        <f>'Print periodical, readership'!B34</f>
        <v>121.74622217676907</v>
      </c>
      <c r="W35" s="4">
        <v>-9999</v>
      </c>
      <c r="X35" s="4">
        <f>'Movie theater viewership'!B35</f>
        <v>71.754999999999995</v>
      </c>
      <c r="Y35" s="4">
        <f>'Radio listenership'!B34</f>
        <v>103.30244666063813</v>
      </c>
      <c r="Z35" s="4">
        <f>'Broadcast television viewership'!B34</f>
        <v>111.2221894684812</v>
      </c>
      <c r="AA35" s="4">
        <f>'Cable.audiovisual internet view'!B34*100/'Cable.audiovisual internet view'!B$10</f>
        <v>10.016027622158781</v>
      </c>
      <c r="AB35" s="4">
        <v>-9999</v>
      </c>
      <c r="AC35" s="4">
        <v>-9999</v>
      </c>
      <c r="AD35" s="4">
        <v>-9999</v>
      </c>
      <c r="AE35" s="4">
        <v>-9999</v>
      </c>
      <c r="AF35" s="4">
        <v>-9999</v>
      </c>
      <c r="AH35" s="4">
        <f t="shared" ref="AH35:AH66" si="19">IF(OR(R35=-9999,R35=0), ".", (B35/R35)*100/(B$11/R$11))</f>
        <v>64.359415768932919</v>
      </c>
      <c r="AI35" s="4" t="str">
        <f t="shared" ref="AI35:AI66" si="20">IF(OR(S35=-9999,S35=0), ".", (C35/S35)*100/(C$11/S$11))</f>
        <v>.</v>
      </c>
      <c r="AJ35" s="4" t="str">
        <f t="shared" ref="AJ35:AJ66" si="21">IF(OR(T35=-9999,T35=0), ".", (D35/T35)*100/(D$11/T$11))</f>
        <v>.</v>
      </c>
      <c r="AK35" s="4">
        <f t="shared" ref="AK35:AK66" si="22">IF(OR(U35=-9999,U35=0), ".", (E35/U35)*100/(E$11/U$11))</f>
        <v>90.231300325383074</v>
      </c>
      <c r="AL35" s="4">
        <f t="shared" ref="AL35:AL66" si="23">IF(OR(V35=-9999,V35=0), ".", (F35/V35)*100/(F$11/V$11))</f>
        <v>69.968768482094262</v>
      </c>
      <c r="AM35" s="4" t="str">
        <f t="shared" ref="AM35:AM66" si="24">IF(OR(W35=-9999,W35=0), ".", (G35/W35)*100/(G$11/W$11))</f>
        <v>.</v>
      </c>
      <c r="AN35" s="4">
        <f t="shared" ref="AN35:AN66" si="25">IF(OR(X35=-9999,X35=0), ".", (H35/X35)*100/(H$11/X$11))</f>
        <v>48.777985706660417</v>
      </c>
      <c r="AO35" s="4">
        <f t="shared" ref="AO35:AO66" si="26">IF(OR(Y35=-9999,Y35=0), ".", (I35/Y35)*100/(I$11/Y$11))</f>
        <v>40.824427570988085</v>
      </c>
      <c r="AP35" s="4">
        <f t="shared" ref="AP35:AP66" si="27">IF(OR(Z35=-9999,Z35=0), ".", (J35/Z35)*100/(J$11/Z$11))</f>
        <v>45.750828214764034</v>
      </c>
      <c r="AQ35" s="4">
        <f t="shared" ref="AQ35:AQ66" si="28">IF(OR(AA35=-9999,AA35=0), ".", (K35/AA35)*100/(K$11/AA$11))</f>
        <v>51.236615176457278</v>
      </c>
      <c r="AR35" s="4" t="str">
        <f t="shared" ref="AR35:AR66" si="29">IF(OR(AB35=-9999,AB35=0), ".", (L35/AB35)*100/(L$11/AB$11))</f>
        <v>.</v>
      </c>
      <c r="AS35" s="4" t="str">
        <f t="shared" ref="AS35:AS66" si="30">IF(OR(AC35=-9999,AC35=0), ".", (M35/AC35)*100/(M$11/AC$11))</f>
        <v>.</v>
      </c>
      <c r="AT35" s="4" t="str">
        <f t="shared" ref="AT35:AT66" si="31">IF(OR(AD35=-9999,AD35=0), ".", (N35/AD35)*100/(N$11/AD$11))</f>
        <v>.</v>
      </c>
      <c r="AU35" s="4" t="str">
        <f t="shared" ref="AU35:AU66" si="32">IF(OR(AE35=-9999,AE35=0), ".", (O35/AE35)*100/(O$11/AE$11))</f>
        <v>.</v>
      </c>
      <c r="AV35" s="4" t="str">
        <f t="shared" ref="AV35:AV66" si="33">IF(OR(AF35=-9999,AF35=0), ".", (P35/AF35)*100/(P$11/AF$11))</f>
        <v>.</v>
      </c>
      <c r="AX35" s="1">
        <f t="shared" ref="AX35:AX66" si="34">E35+F35+H35+I35+J35+K35+L35+M35+B35</f>
        <v>64254631.204795904</v>
      </c>
      <c r="AY35" s="4">
        <f t="shared" si="18"/>
        <v>52.361072390679624</v>
      </c>
    </row>
    <row r="36" spans="1:51" x14ac:dyDescent="0.3">
      <c r="A36" s="4">
        <v>1987</v>
      </c>
      <c r="B36" s="1">
        <v>3695554.2257273672</v>
      </c>
      <c r="C36" s="1">
        <v>8194790.9781087656</v>
      </c>
      <c r="D36" s="1">
        <v>3936860.1423559226</v>
      </c>
      <c r="E36" s="1">
        <v>22220495.403468188</v>
      </c>
      <c r="F36" s="1">
        <v>10099109.561288795</v>
      </c>
      <c r="G36" s="1">
        <v>7662034.5027290406</v>
      </c>
      <c r="H36" s="1">
        <v>50573.316731980725</v>
      </c>
      <c r="I36" s="1">
        <v>5811919.5641227337</v>
      </c>
      <c r="J36" s="1">
        <v>16226508.907196797</v>
      </c>
      <c r="K36" s="1">
        <v>1647083.6022662455</v>
      </c>
      <c r="L36" s="1">
        <v>0</v>
      </c>
      <c r="M36" s="1">
        <v>0</v>
      </c>
      <c r="N36" s="1">
        <v>31908471.780382287</v>
      </c>
      <c r="O36" s="1">
        <v>1610423.5319137429</v>
      </c>
      <c r="P36" s="1">
        <v>240300.18757426823</v>
      </c>
      <c r="Q36" s="1"/>
      <c r="R36" s="4">
        <f>'Direct mail readership'!B35</f>
        <v>86.776653042542819</v>
      </c>
      <c r="S36" s="4">
        <v>-9999</v>
      </c>
      <c r="T36" s="4">
        <v>-9999</v>
      </c>
      <c r="U36" s="4">
        <f>'Print newspapers, readership'!B35</f>
        <v>147.52915519086133</v>
      </c>
      <c r="V36" s="4">
        <f>'Print periodical, readership'!B35</f>
        <v>118.98147097551102</v>
      </c>
      <c r="W36" s="4">
        <v>-9999</v>
      </c>
      <c r="X36" s="4">
        <f>'Movie theater viewership'!B36</f>
        <v>66.459999999999994</v>
      </c>
      <c r="Y36" s="4">
        <f>'Radio listenership'!B35</f>
        <v>104.13270616778837</v>
      </c>
      <c r="Z36" s="4">
        <f>'Broadcast television viewership'!B35</f>
        <v>116.37440011388524</v>
      </c>
      <c r="AA36" s="4">
        <f>'Cable.audiovisual internet view'!B35*100/'Cable.audiovisual internet view'!B$10</f>
        <v>8.5272362803624393</v>
      </c>
      <c r="AB36" s="4">
        <v>-9999</v>
      </c>
      <c r="AC36" s="4">
        <v>-9999</v>
      </c>
      <c r="AD36" s="4">
        <v>-9999</v>
      </c>
      <c r="AE36" s="4">
        <v>-9999</v>
      </c>
      <c r="AF36" s="4">
        <v>-9999</v>
      </c>
      <c r="AH36" s="4">
        <f t="shared" si="19"/>
        <v>62.205023177979825</v>
      </c>
      <c r="AI36" s="4" t="str">
        <f t="shared" si="20"/>
        <v>.</v>
      </c>
      <c r="AJ36" s="4" t="str">
        <f t="shared" si="21"/>
        <v>.</v>
      </c>
      <c r="AK36" s="4">
        <f t="shared" si="22"/>
        <v>85.204283891383014</v>
      </c>
      <c r="AL36" s="4">
        <f t="shared" si="23"/>
        <v>66.618963506272621</v>
      </c>
      <c r="AM36" s="4" t="str">
        <f t="shared" si="24"/>
        <v>.</v>
      </c>
      <c r="AN36" s="4">
        <f t="shared" si="25"/>
        <v>46.684584234421855</v>
      </c>
      <c r="AO36" s="4">
        <f t="shared" si="26"/>
        <v>37.443388973217431</v>
      </c>
      <c r="AP36" s="4">
        <f t="shared" si="27"/>
        <v>41.252367931061457</v>
      </c>
      <c r="AQ36" s="4">
        <f t="shared" si="28"/>
        <v>45.561336687327348</v>
      </c>
      <c r="AR36" s="4" t="str">
        <f t="shared" si="29"/>
        <v>.</v>
      </c>
      <c r="AS36" s="4" t="str">
        <f t="shared" si="30"/>
        <v>.</v>
      </c>
      <c r="AT36" s="4" t="str">
        <f t="shared" si="31"/>
        <v>.</v>
      </c>
      <c r="AU36" s="4" t="str">
        <f t="shared" si="32"/>
        <v>.</v>
      </c>
      <c r="AV36" s="4" t="str">
        <f t="shared" si="33"/>
        <v>.</v>
      </c>
      <c r="AX36" s="1">
        <f t="shared" si="34"/>
        <v>59751244.580802105</v>
      </c>
      <c r="AY36" s="4">
        <f t="shared" si="18"/>
        <v>48.743537569446978</v>
      </c>
    </row>
    <row r="37" spans="1:51" x14ac:dyDescent="0.3">
      <c r="A37" s="4">
        <v>1986</v>
      </c>
      <c r="B37" s="1">
        <v>3245589.3496985864</v>
      </c>
      <c r="C37" s="1">
        <v>7167967.4437743593</v>
      </c>
      <c r="D37" s="1">
        <v>3727978.6061624796</v>
      </c>
      <c r="E37" s="1">
        <v>20390696.686373129</v>
      </c>
      <c r="F37" s="1">
        <v>9646782.9013593849</v>
      </c>
      <c r="G37" s="1">
        <v>6822359.4887313368</v>
      </c>
      <c r="H37" s="1">
        <v>49030.999492114919</v>
      </c>
      <c r="I37" s="1">
        <v>5607486.2182911504</v>
      </c>
      <c r="J37" s="1">
        <v>15610395.872625142</v>
      </c>
      <c r="K37" s="1">
        <v>1217778.7637522297</v>
      </c>
      <c r="L37" s="1">
        <v>0</v>
      </c>
      <c r="M37" s="1">
        <v>0</v>
      </c>
      <c r="N37" s="1">
        <v>29421343.286249094</v>
      </c>
      <c r="O37" s="1">
        <v>2734128.7242598659</v>
      </c>
      <c r="P37" s="1">
        <v>407974.44415822852</v>
      </c>
      <c r="Q37" s="1"/>
      <c r="R37" s="4">
        <f>'Direct mail readership'!B36</f>
        <v>82.203621378321159</v>
      </c>
      <c r="S37" s="4">
        <v>-9999</v>
      </c>
      <c r="T37" s="4">
        <v>-9999</v>
      </c>
      <c r="U37" s="4">
        <f>'Print newspapers, readership'!B36</f>
        <v>147.29279518913881</v>
      </c>
      <c r="V37" s="4">
        <f>'Print periodical, readership'!B36</f>
        <v>116.27950487812058</v>
      </c>
      <c r="W37" s="4">
        <v>-9999</v>
      </c>
      <c r="X37" s="4">
        <f>'Movie theater viewership'!B37</f>
        <v>67.506</v>
      </c>
      <c r="Y37" s="4">
        <f>'Radio listenership'!B36</f>
        <v>102.62623344632726</v>
      </c>
      <c r="Z37" s="4">
        <f>'Broadcast television viewership'!B36</f>
        <v>112.45979133593309</v>
      </c>
      <c r="AA37" s="4">
        <f>'Cable.audiovisual internet view'!B36*100/'Cable.audiovisual internet view'!B$10</f>
        <v>6.7328130654859866</v>
      </c>
      <c r="AB37" s="4">
        <v>-9999</v>
      </c>
      <c r="AC37" s="4">
        <v>-9999</v>
      </c>
      <c r="AD37" s="4">
        <v>-9999</v>
      </c>
      <c r="AE37" s="4">
        <v>-9999</v>
      </c>
      <c r="AF37" s="4">
        <v>-9999</v>
      </c>
      <c r="AH37" s="4">
        <f t="shared" si="19"/>
        <v>57.670191276798796</v>
      </c>
      <c r="AI37" s="4" t="str">
        <f t="shared" si="20"/>
        <v>.</v>
      </c>
      <c r="AJ37" s="4" t="str">
        <f t="shared" si="21"/>
        <v>.</v>
      </c>
      <c r="AK37" s="4">
        <f t="shared" si="22"/>
        <v>78.313405439433311</v>
      </c>
      <c r="AL37" s="4">
        <f t="shared" si="23"/>
        <v>65.113861677273363</v>
      </c>
      <c r="AM37" s="4" t="str">
        <f t="shared" si="24"/>
        <v>.</v>
      </c>
      <c r="AN37" s="4">
        <f t="shared" si="25"/>
        <v>44.559546983340105</v>
      </c>
      <c r="AO37" s="4">
        <f t="shared" si="26"/>
        <v>36.656629859445324</v>
      </c>
      <c r="AP37" s="4">
        <f t="shared" si="27"/>
        <v>41.067464342140909</v>
      </c>
      <c r="AQ37" s="4">
        <f t="shared" si="28"/>
        <v>42.663939045770775</v>
      </c>
      <c r="AR37" s="4" t="str">
        <f t="shared" si="29"/>
        <v>.</v>
      </c>
      <c r="AS37" s="4" t="str">
        <f t="shared" si="30"/>
        <v>.</v>
      </c>
      <c r="AT37" s="4" t="str">
        <f t="shared" si="31"/>
        <v>.</v>
      </c>
      <c r="AU37" s="4" t="str">
        <f t="shared" si="32"/>
        <v>.</v>
      </c>
      <c r="AV37" s="4" t="str">
        <f t="shared" si="33"/>
        <v>.</v>
      </c>
      <c r="AX37" s="1">
        <f t="shared" si="34"/>
        <v>55767760.791591741</v>
      </c>
      <c r="AY37" s="4">
        <f t="shared" si="18"/>
        <v>46.618786965663105</v>
      </c>
    </row>
    <row r="38" spans="1:51" x14ac:dyDescent="0.3">
      <c r="A38" s="4">
        <v>1985</v>
      </c>
      <c r="B38" s="1">
        <v>2872418.3450939809</v>
      </c>
      <c r="C38" s="1">
        <v>6318181.3041125527</v>
      </c>
      <c r="D38" s="1">
        <v>3531741.6887751189</v>
      </c>
      <c r="E38" s="1">
        <v>19015703.43075256</v>
      </c>
      <c r="F38" s="1">
        <v>9432844.6162576359</v>
      </c>
      <c r="G38" s="1">
        <v>6087643.8514833469</v>
      </c>
      <c r="H38" s="1">
        <v>47650.258344044574</v>
      </c>
      <c r="I38" s="1">
        <v>5239757.2333638547</v>
      </c>
      <c r="J38" s="1">
        <v>14470758.272339281</v>
      </c>
      <c r="K38" s="1">
        <v>1001581.4654899555</v>
      </c>
      <c r="L38" s="1">
        <v>0</v>
      </c>
      <c r="M38" s="1">
        <v>0</v>
      </c>
      <c r="N38" s="1">
        <v>27142420.827698082</v>
      </c>
      <c r="O38" s="1">
        <v>2547601.4913929449</v>
      </c>
      <c r="P38" s="1">
        <v>380141.68578294228</v>
      </c>
      <c r="Q38" s="1"/>
      <c r="R38" s="4">
        <f>'Direct mail readership'!B37</f>
        <v>75.373720083784207</v>
      </c>
      <c r="S38" s="4">
        <v>-9999</v>
      </c>
      <c r="T38" s="4">
        <v>-9999</v>
      </c>
      <c r="U38" s="4">
        <f>'Print newspapers, readership'!B37</f>
        <v>147.05549618343264</v>
      </c>
      <c r="V38" s="4">
        <f>'Print periodical, readership'!B37</f>
        <v>113.6388980892979</v>
      </c>
      <c r="W38" s="4">
        <v>-9999</v>
      </c>
      <c r="X38" s="4">
        <f>'Movie theater viewership'!B38</f>
        <v>68.090999999999994</v>
      </c>
      <c r="Y38" s="4">
        <f>'Radio listenership'!B37</f>
        <v>104.00567176737027</v>
      </c>
      <c r="Z38" s="4">
        <f>'Broadcast television viewership'!B37</f>
        <v>116.76703059719253</v>
      </c>
      <c r="AA38" s="4">
        <f>'Cable.audiovisual internet view'!B37*100/'Cable.audiovisual internet view'!B$10</f>
        <v>5.6538716607232411</v>
      </c>
      <c r="AB38" s="4">
        <v>-9999</v>
      </c>
      <c r="AC38" s="4">
        <v>-9999</v>
      </c>
      <c r="AD38" s="4">
        <v>-9999</v>
      </c>
      <c r="AE38" s="4">
        <v>-9999</v>
      </c>
      <c r="AF38" s="4">
        <v>-9999</v>
      </c>
      <c r="AH38" s="4">
        <f t="shared" si="19"/>
        <v>55.664269467669477</v>
      </c>
      <c r="AI38" s="4" t="str">
        <f t="shared" si="20"/>
        <v>.</v>
      </c>
      <c r="AJ38" s="4" t="str">
        <f t="shared" si="21"/>
        <v>.</v>
      </c>
      <c r="AK38" s="4">
        <f t="shared" si="22"/>
        <v>73.150396349747453</v>
      </c>
      <c r="AL38" s="4">
        <f t="shared" si="23"/>
        <v>65.149305159729167</v>
      </c>
      <c r="AM38" s="4" t="str">
        <f t="shared" si="24"/>
        <v>.</v>
      </c>
      <c r="AN38" s="4">
        <f t="shared" si="25"/>
        <v>42.932674402835481</v>
      </c>
      <c r="AO38" s="4">
        <f t="shared" si="26"/>
        <v>33.79845527094141</v>
      </c>
      <c r="AP38" s="4">
        <f t="shared" si="27"/>
        <v>36.6650513931883</v>
      </c>
      <c r="AQ38" s="4">
        <f t="shared" si="28"/>
        <v>41.785869499757382</v>
      </c>
      <c r="AR38" s="4" t="str">
        <f t="shared" si="29"/>
        <v>.</v>
      </c>
      <c r="AS38" s="4" t="str">
        <f t="shared" si="30"/>
        <v>.</v>
      </c>
      <c r="AT38" s="4" t="str">
        <f t="shared" si="31"/>
        <v>.</v>
      </c>
      <c r="AU38" s="4" t="str">
        <f t="shared" si="32"/>
        <v>.</v>
      </c>
      <c r="AV38" s="4" t="str">
        <f t="shared" si="33"/>
        <v>.</v>
      </c>
      <c r="AX38" s="1">
        <f t="shared" si="34"/>
        <v>52080713.621641308</v>
      </c>
      <c r="AY38" s="4">
        <f t="shared" si="18"/>
        <v>43.59394221259474</v>
      </c>
    </row>
    <row r="39" spans="1:51" x14ac:dyDescent="0.3">
      <c r="A39" s="4">
        <v>1984</v>
      </c>
      <c r="B39" s="1">
        <v>2503542.644523554</v>
      </c>
      <c r="C39" s="1">
        <v>5484525.9599887095</v>
      </c>
      <c r="D39" s="1">
        <v>3324780.0886603957</v>
      </c>
      <c r="E39" s="1">
        <v>17770654.592696138</v>
      </c>
      <c r="F39" s="1">
        <v>9025750.6223211661</v>
      </c>
      <c r="G39" s="1">
        <v>5143009.4607359311</v>
      </c>
      <c r="H39" s="1">
        <v>50250.164548389796</v>
      </c>
      <c r="I39" s="1">
        <v>4698790.680775064</v>
      </c>
      <c r="J39" s="1">
        <v>13715372.238798048</v>
      </c>
      <c r="K39" s="1">
        <v>795498.73529240687</v>
      </c>
      <c r="L39" s="1">
        <v>0</v>
      </c>
      <c r="M39" s="1">
        <v>0</v>
      </c>
      <c r="N39" s="1">
        <v>24884542.961450823</v>
      </c>
      <c r="O39" s="1">
        <v>2358861.836768799</v>
      </c>
      <c r="P39" s="1">
        <v>351978.79974079138</v>
      </c>
      <c r="Q39" s="1"/>
      <c r="R39" s="4">
        <f>'Direct mail readership'!B38</f>
        <v>71.34915148906866</v>
      </c>
      <c r="S39" s="4">
        <v>-9999</v>
      </c>
      <c r="T39" s="4">
        <v>-9999</v>
      </c>
      <c r="U39" s="4">
        <f>'Print newspapers, readership'!B38</f>
        <v>146.81725363101876</v>
      </c>
      <c r="V39" s="4">
        <f>'Print periodical, readership'!B38</f>
        <v>110.60572660394311</v>
      </c>
      <c r="W39" s="4">
        <v>-9999</v>
      </c>
      <c r="X39" s="4">
        <f>'Movie theater viewership'!B39</f>
        <v>75.364000000000004</v>
      </c>
      <c r="Y39" s="4">
        <f>'Radio listenership'!B38</f>
        <v>103.08191738392235</v>
      </c>
      <c r="Z39" s="4">
        <f>'Broadcast television viewership'!B38</f>
        <v>116.19770544502376</v>
      </c>
      <c r="AA39" s="4">
        <f>'Cable.audiovisual internet view'!B38*100/'Cable.audiovisual internet view'!B$10</f>
        <v>4.6929968795473105</v>
      </c>
      <c r="AB39" s="4">
        <v>-9999</v>
      </c>
      <c r="AC39" s="4">
        <v>-9999</v>
      </c>
      <c r="AD39" s="4">
        <v>-9999</v>
      </c>
      <c r="AE39" s="4">
        <v>-9999</v>
      </c>
      <c r="AF39" s="4">
        <v>-9999</v>
      </c>
      <c r="AH39" s="4">
        <f t="shared" si="19"/>
        <v>51.252488077746442</v>
      </c>
      <c r="AI39" s="4" t="str">
        <f t="shared" si="20"/>
        <v>.</v>
      </c>
      <c r="AJ39" s="4" t="str">
        <f t="shared" si="21"/>
        <v>.</v>
      </c>
      <c r="AK39" s="4">
        <f t="shared" si="22"/>
        <v>68.471821099311214</v>
      </c>
      <c r="AL39" s="4">
        <f t="shared" si="23"/>
        <v>64.047154324363007</v>
      </c>
      <c r="AM39" s="4" t="str">
        <f t="shared" si="24"/>
        <v>.</v>
      </c>
      <c r="AN39" s="4">
        <f t="shared" si="25"/>
        <v>40.905899114733948</v>
      </c>
      <c r="AO39" s="4">
        <f t="shared" si="26"/>
        <v>30.580622374599681</v>
      </c>
      <c r="AP39" s="4">
        <f t="shared" si="27"/>
        <v>34.921371530747251</v>
      </c>
      <c r="AQ39" s="4">
        <f t="shared" si="28"/>
        <v>39.983272657270298</v>
      </c>
      <c r="AR39" s="4" t="str">
        <f t="shared" si="29"/>
        <v>.</v>
      </c>
      <c r="AS39" s="4" t="str">
        <f t="shared" si="30"/>
        <v>.</v>
      </c>
      <c r="AT39" s="4" t="str">
        <f t="shared" si="31"/>
        <v>.</v>
      </c>
      <c r="AU39" s="4" t="str">
        <f t="shared" si="32"/>
        <v>.</v>
      </c>
      <c r="AV39" s="4" t="str">
        <f t="shared" si="33"/>
        <v>.</v>
      </c>
      <c r="AX39" s="1">
        <f t="shared" si="34"/>
        <v>48559859.678954765</v>
      </c>
      <c r="AY39" s="4">
        <f t="shared" si="18"/>
        <v>41.2172898032291</v>
      </c>
    </row>
    <row r="40" spans="1:51" x14ac:dyDescent="0.3">
      <c r="A40" s="4">
        <v>1983</v>
      </c>
      <c r="B40" s="1">
        <v>2094757.556289929</v>
      </c>
      <c r="C40" s="1">
        <v>4570411.8856936032</v>
      </c>
      <c r="D40" s="1">
        <v>2948608.7819264126</v>
      </c>
      <c r="E40" s="1">
        <v>15548756.150509277</v>
      </c>
      <c r="F40" s="1">
        <v>7806913.6494843513</v>
      </c>
      <c r="G40" s="1">
        <v>4618212.5769873671</v>
      </c>
      <c r="H40" s="1">
        <v>46827.689149449485</v>
      </c>
      <c r="I40" s="1">
        <v>4210612.9720852152</v>
      </c>
      <c r="J40" s="1">
        <v>11770683.25145166</v>
      </c>
      <c r="K40" s="1">
        <v>657662.12548849371</v>
      </c>
      <c r="L40" s="1">
        <v>0</v>
      </c>
      <c r="M40" s="1">
        <v>0</v>
      </c>
      <c r="N40" s="1">
        <v>21494462.372743674</v>
      </c>
      <c r="O40" s="1">
        <v>2057565.8837466128</v>
      </c>
      <c r="P40" s="1">
        <v>307020.76690544083</v>
      </c>
      <c r="Q40" s="1"/>
      <c r="R40" s="4">
        <f>'Direct mail readership'!B39</f>
        <v>59.390148977052576</v>
      </c>
      <c r="S40" s="4">
        <v>-9999</v>
      </c>
      <c r="T40" s="4">
        <v>-9999</v>
      </c>
      <c r="U40" s="4">
        <f>'Print newspapers, readership'!B39</f>
        <v>146.57806296739838</v>
      </c>
      <c r="V40" s="4">
        <f>'Print periodical, readership'!B39</f>
        <v>107.65351445042208</v>
      </c>
      <c r="W40" s="4">
        <v>-9999</v>
      </c>
      <c r="X40" s="4">
        <f>'Movie theater viewership'!B40</f>
        <v>74.484999999999999</v>
      </c>
      <c r="Y40" s="4">
        <f>'Radio listenership'!B39</f>
        <v>103.32720998505016</v>
      </c>
      <c r="Z40" s="4">
        <f>'Broadcast television viewership'!B39</f>
        <v>109.89224578418364</v>
      </c>
      <c r="AA40" s="4">
        <f>'Cable.audiovisual internet view'!B39*100/'Cable.audiovisual internet view'!B$10</f>
        <v>4.2692885419096109</v>
      </c>
      <c r="AB40" s="4">
        <v>-9999</v>
      </c>
      <c r="AC40" s="4">
        <v>-9999</v>
      </c>
      <c r="AD40" s="4">
        <v>-9999</v>
      </c>
      <c r="AE40" s="4">
        <v>-9999</v>
      </c>
      <c r="AF40" s="4">
        <v>-9999</v>
      </c>
      <c r="AH40" s="4">
        <f t="shared" si="19"/>
        <v>51.519082910612809</v>
      </c>
      <c r="AI40" s="4" t="str">
        <f t="shared" si="20"/>
        <v>.</v>
      </c>
      <c r="AJ40" s="4" t="str">
        <f t="shared" si="21"/>
        <v>.</v>
      </c>
      <c r="AK40" s="4">
        <f t="shared" si="22"/>
        <v>60.008424322424148</v>
      </c>
      <c r="AL40" s="4">
        <f t="shared" si="23"/>
        <v>56.917430373452746</v>
      </c>
      <c r="AM40" s="4" t="str">
        <f t="shared" si="24"/>
        <v>.</v>
      </c>
      <c r="AN40" s="4">
        <f t="shared" si="25"/>
        <v>38.569703497306854</v>
      </c>
      <c r="AO40" s="4">
        <f t="shared" si="26"/>
        <v>27.338414915279252</v>
      </c>
      <c r="AP40" s="4">
        <f t="shared" si="27"/>
        <v>31.68953521880832</v>
      </c>
      <c r="AQ40" s="4">
        <f t="shared" si="28"/>
        <v>36.335942897052171</v>
      </c>
      <c r="AR40" s="4" t="str">
        <f t="shared" si="29"/>
        <v>.</v>
      </c>
      <c r="AS40" s="4" t="str">
        <f t="shared" si="30"/>
        <v>.</v>
      </c>
      <c r="AT40" s="4" t="str">
        <f t="shared" si="31"/>
        <v>.</v>
      </c>
      <c r="AU40" s="4" t="str">
        <f t="shared" si="32"/>
        <v>.</v>
      </c>
      <c r="AV40" s="4" t="str">
        <f t="shared" si="33"/>
        <v>.</v>
      </c>
      <c r="AX40" s="1">
        <f t="shared" si="34"/>
        <v>42136213.394458376</v>
      </c>
      <c r="AY40" s="4">
        <f t="shared" si="18"/>
        <v>36.923676016768724</v>
      </c>
    </row>
    <row r="41" spans="1:51" x14ac:dyDescent="0.3">
      <c r="A41" s="4">
        <v>1982</v>
      </c>
      <c r="B41" s="1">
        <v>1794045.0583981432</v>
      </c>
      <c r="C41" s="1">
        <v>3898433.6037595109</v>
      </c>
      <c r="D41" s="1">
        <v>2582864.7504717181</v>
      </c>
      <c r="E41" s="1">
        <v>13367654.211511157</v>
      </c>
      <c r="F41" s="1">
        <v>7009840.7244195538</v>
      </c>
      <c r="G41" s="1">
        <v>3988456.3164890897</v>
      </c>
      <c r="H41" s="1">
        <v>46034.497426089925</v>
      </c>
      <c r="I41" s="1">
        <v>3776113.5667277616</v>
      </c>
      <c r="J41" s="1">
        <v>9870410.2722016443</v>
      </c>
      <c r="K41" s="1">
        <v>418119.90607083379</v>
      </c>
      <c r="L41" s="1">
        <v>0</v>
      </c>
      <c r="M41" s="1">
        <v>0</v>
      </c>
      <c r="N41" s="1">
        <v>18339540.734061036</v>
      </c>
      <c r="O41" s="1">
        <v>1772700.1336912604</v>
      </c>
      <c r="P41" s="1">
        <v>264514.3753784619</v>
      </c>
      <c r="Q41" s="1"/>
      <c r="R41" s="4">
        <f>'Direct mail readership'!B40</f>
        <v>55.12048903619759</v>
      </c>
      <c r="S41" s="4">
        <v>-9999</v>
      </c>
      <c r="T41" s="4">
        <v>-9999</v>
      </c>
      <c r="U41" s="4">
        <f>'Print newspapers, readership'!B40</f>
        <v>146.3379196061934</v>
      </c>
      <c r="V41" s="4">
        <f>'Print periodical, readership'!B40</f>
        <v>104.78010071780525</v>
      </c>
      <c r="W41" s="4">
        <v>-9999</v>
      </c>
      <c r="X41" s="4">
        <f>'Movie theater viewership'!B41</f>
        <v>77.834000000000003</v>
      </c>
      <c r="Y41" s="4">
        <f>'Radio listenership'!B40</f>
        <v>100.70495807978375</v>
      </c>
      <c r="Z41" s="4">
        <f>'Broadcast television viewership'!B40</f>
        <v>111.65103197313667</v>
      </c>
      <c r="AA41" s="4">
        <f>'Cable.audiovisual internet view'!B40*100/'Cable.audiovisual internet view'!B$10</f>
        <v>3.2712479793362497</v>
      </c>
      <c r="AB41" s="4">
        <v>-9999</v>
      </c>
      <c r="AC41" s="4">
        <v>-9999</v>
      </c>
      <c r="AD41" s="4">
        <v>-9999</v>
      </c>
      <c r="AE41" s="4">
        <v>-9999</v>
      </c>
      <c r="AF41" s="4">
        <v>-9999</v>
      </c>
      <c r="AH41" s="4">
        <f t="shared" si="19"/>
        <v>47.541081470710758</v>
      </c>
      <c r="AI41" s="4" t="str">
        <f t="shared" si="20"/>
        <v>.</v>
      </c>
      <c r="AJ41" s="4" t="str">
        <f t="shared" si="21"/>
        <v>.</v>
      </c>
      <c r="AK41" s="4">
        <f t="shared" si="22"/>
        <v>51.675403351602327</v>
      </c>
      <c r="AL41" s="4">
        <f t="shared" si="23"/>
        <v>52.507756204690914</v>
      </c>
      <c r="AM41" s="4" t="str">
        <f t="shared" si="24"/>
        <v>.</v>
      </c>
      <c r="AN41" s="4">
        <f t="shared" si="25"/>
        <v>36.284943547538823</v>
      </c>
      <c r="AO41" s="4">
        <f t="shared" si="26"/>
        <v>25.155728768418761</v>
      </c>
      <c r="AP41" s="4">
        <f t="shared" si="27"/>
        <v>26.1549388327897</v>
      </c>
      <c r="AQ41" s="4">
        <f t="shared" si="28"/>
        <v>30.149248210548215</v>
      </c>
      <c r="AR41" s="4" t="str">
        <f t="shared" si="29"/>
        <v>.</v>
      </c>
      <c r="AS41" s="4" t="str">
        <f t="shared" si="30"/>
        <v>.</v>
      </c>
      <c r="AT41" s="4" t="str">
        <f t="shared" si="31"/>
        <v>.</v>
      </c>
      <c r="AU41" s="4" t="str">
        <f t="shared" si="32"/>
        <v>.</v>
      </c>
      <c r="AV41" s="4" t="str">
        <f t="shared" si="33"/>
        <v>.</v>
      </c>
      <c r="AX41" s="1">
        <f t="shared" si="34"/>
        <v>36282218.236755185</v>
      </c>
      <c r="AY41" s="4">
        <f t="shared" si="18"/>
        <v>32.150359181768877</v>
      </c>
    </row>
    <row r="42" spans="1:51" x14ac:dyDescent="0.3">
      <c r="A42" s="4">
        <v>1981</v>
      </c>
      <c r="B42" s="1">
        <v>1634431.4053803694</v>
      </c>
      <c r="C42" s="1">
        <v>3419022.2165011317</v>
      </c>
      <c r="D42" s="1">
        <v>2442008.1630761847</v>
      </c>
      <c r="E42" s="1">
        <v>12485996.448154453</v>
      </c>
      <c r="F42" s="1">
        <v>6741215.7386308452</v>
      </c>
      <c r="G42" s="1">
        <v>3463659.4327405249</v>
      </c>
      <c r="H42" s="1">
        <v>39968.04961595108</v>
      </c>
      <c r="I42" s="1">
        <v>3422071.6620720671</v>
      </c>
      <c r="J42" s="1">
        <v>9217845.2389261201</v>
      </c>
      <c r="K42" s="1">
        <v>263709.34090816131</v>
      </c>
      <c r="L42" s="1">
        <v>0</v>
      </c>
      <c r="M42" s="1">
        <v>0</v>
      </c>
      <c r="N42" s="1">
        <v>16756083.311722644</v>
      </c>
      <c r="O42" s="1">
        <v>1641755.6140927847</v>
      </c>
      <c r="P42" s="1">
        <v>244975.42056454186</v>
      </c>
      <c r="Q42" s="1"/>
      <c r="R42" s="4">
        <f>'Direct mail readership'!B41</f>
        <v>48.867309477593899</v>
      </c>
      <c r="S42" s="4">
        <v>-9999</v>
      </c>
      <c r="T42" s="4">
        <v>-9999</v>
      </c>
      <c r="U42" s="4">
        <f>'Print newspapers, readership'!B41</f>
        <v>146.09681893904127</v>
      </c>
      <c r="V42" s="4">
        <f>'Print periodical, readership'!B41</f>
        <v>101.98338217271613</v>
      </c>
      <c r="W42" s="4">
        <v>-9999</v>
      </c>
      <c r="X42" s="4">
        <f>'Movie theater viewership'!B42</f>
        <v>71.259</v>
      </c>
      <c r="Y42" s="4">
        <f>'Radio listenership'!B41</f>
        <v>93.611879370971408</v>
      </c>
      <c r="Z42" s="4">
        <f>'Broadcast television viewership'!B41</f>
        <v>114.17278109830808</v>
      </c>
      <c r="AA42" s="4">
        <f>'Cable.audiovisual internet view'!B41*100/'Cable.audiovisual internet view'!B$10</f>
        <v>2.2482493893871611</v>
      </c>
      <c r="AB42" s="4">
        <v>-9999</v>
      </c>
      <c r="AC42" s="4">
        <v>-9999</v>
      </c>
      <c r="AD42" s="4">
        <v>-9999</v>
      </c>
      <c r="AE42" s="4">
        <v>-9999</v>
      </c>
      <c r="AF42" s="4">
        <v>-9999</v>
      </c>
      <c r="AH42" s="4">
        <f t="shared" si="19"/>
        <v>48.853652930108588</v>
      </c>
      <c r="AI42" s="4" t="str">
        <f t="shared" si="20"/>
        <v>.</v>
      </c>
      <c r="AJ42" s="4" t="str">
        <f t="shared" si="21"/>
        <v>.</v>
      </c>
      <c r="AK42" s="4">
        <f t="shared" si="22"/>
        <v>48.346829172026197</v>
      </c>
      <c r="AL42" s="4">
        <f t="shared" si="23"/>
        <v>51.880354718319829</v>
      </c>
      <c r="AM42" s="4" t="str">
        <f t="shared" si="24"/>
        <v>.</v>
      </c>
      <c r="AN42" s="4">
        <f t="shared" si="25"/>
        <v>34.410075692904471</v>
      </c>
      <c r="AO42" s="4">
        <f t="shared" si="26"/>
        <v>24.524538569399816</v>
      </c>
      <c r="AP42" s="4">
        <f t="shared" si="27"/>
        <v>23.886255734621169</v>
      </c>
      <c r="AQ42" s="4">
        <f t="shared" si="28"/>
        <v>27.667514079080181</v>
      </c>
      <c r="AR42" s="4" t="str">
        <f t="shared" si="29"/>
        <v>.</v>
      </c>
      <c r="AS42" s="4" t="str">
        <f t="shared" si="30"/>
        <v>.</v>
      </c>
      <c r="AT42" s="4" t="str">
        <f t="shared" si="31"/>
        <v>.</v>
      </c>
      <c r="AU42" s="4" t="str">
        <f t="shared" si="32"/>
        <v>.</v>
      </c>
      <c r="AV42" s="4" t="str">
        <f t="shared" si="33"/>
        <v>.</v>
      </c>
      <c r="AX42" s="1">
        <f t="shared" si="34"/>
        <v>33805237.883687966</v>
      </c>
      <c r="AY42" s="4">
        <f t="shared" si="18"/>
        <v>30.466112134944716</v>
      </c>
    </row>
    <row r="43" spans="1:51" x14ac:dyDescent="0.3">
      <c r="A43" s="4">
        <v>1980</v>
      </c>
      <c r="B43" s="1">
        <v>1459012.58593687</v>
      </c>
      <c r="C43" s="1">
        <v>2936749.1542943092</v>
      </c>
      <c r="D43" s="1">
        <v>2216941.1866879002</v>
      </c>
      <c r="E43" s="1">
        <v>11176730.892115749</v>
      </c>
      <c r="F43" s="1">
        <v>6052060.8524562856</v>
      </c>
      <c r="G43" s="1">
        <v>3043821.9257416734</v>
      </c>
      <c r="H43" s="1">
        <v>37867.560422610033</v>
      </c>
      <c r="I43" s="1">
        <v>2996440.8757046969</v>
      </c>
      <c r="J43" s="1">
        <v>8238111.2710964652</v>
      </c>
      <c r="K43" s="1">
        <v>143716.09417139168</v>
      </c>
      <c r="L43" s="1">
        <v>0</v>
      </c>
      <c r="M43" s="1">
        <v>0</v>
      </c>
      <c r="N43" s="1">
        <v>14701223.050812436</v>
      </c>
      <c r="O43" s="1">
        <v>1459968.0679549039</v>
      </c>
      <c r="P43" s="1">
        <v>217849.89701752353</v>
      </c>
      <c r="Q43" s="1"/>
      <c r="R43" s="4">
        <f>'Direct mail readership'!B42</f>
        <v>45.300167545896969</v>
      </c>
      <c r="S43" s="4">
        <v>-9999</v>
      </c>
      <c r="T43" s="4">
        <v>-9999</v>
      </c>
      <c r="U43" s="4">
        <f>'Print newspapers, readership'!B42</f>
        <v>145.85475633548992</v>
      </c>
      <c r="V43" s="4">
        <f>'Print periodical, readership'!B42</f>
        <v>99.261311719839867</v>
      </c>
      <c r="W43" s="4">
        <v>-9999</v>
      </c>
      <c r="X43" s="4">
        <f>'Movie theater viewership'!B43</f>
        <v>70.328999999999994</v>
      </c>
      <c r="Y43" s="4">
        <f>'Radio listenership'!B42</f>
        <v>89.389330336427605</v>
      </c>
      <c r="Z43" s="4">
        <f>'Broadcast television viewership'!B42</f>
        <v>110.30433381082261</v>
      </c>
      <c r="AA43" s="4">
        <f>'Cable.audiovisual internet view'!B42*100/'Cable.audiovisual internet view'!B$10</f>
        <v>1.3196486366607345</v>
      </c>
      <c r="AB43" s="4">
        <v>-9999</v>
      </c>
      <c r="AC43" s="4">
        <v>-9999</v>
      </c>
      <c r="AD43" s="4">
        <v>-9999</v>
      </c>
      <c r="AE43" s="4">
        <v>-9999</v>
      </c>
      <c r="AF43" s="4">
        <v>-9999</v>
      </c>
      <c r="AH43" s="4">
        <f t="shared" si="19"/>
        <v>47.044407429729361</v>
      </c>
      <c r="AI43" s="4" t="str">
        <f t="shared" si="20"/>
        <v>.</v>
      </c>
      <c r="AJ43" s="4" t="str">
        <f t="shared" si="21"/>
        <v>.</v>
      </c>
      <c r="AK43" s="4">
        <f t="shared" si="22"/>
        <v>43.349066260720399</v>
      </c>
      <c r="AL43" s="4">
        <f t="shared" si="23"/>
        <v>47.853906604000549</v>
      </c>
      <c r="AM43" s="4" t="str">
        <f t="shared" si="24"/>
        <v>.</v>
      </c>
      <c r="AN43" s="4">
        <f t="shared" si="25"/>
        <v>33.032791822875986</v>
      </c>
      <c r="AO43" s="4">
        <f t="shared" si="26"/>
        <v>22.488616493153131</v>
      </c>
      <c r="AP43" s="4">
        <f t="shared" si="27"/>
        <v>22.096135423873157</v>
      </c>
      <c r="AQ43" s="4">
        <f t="shared" si="28"/>
        <v>25.68834958131405</v>
      </c>
      <c r="AR43" s="4" t="str">
        <f t="shared" si="29"/>
        <v>.</v>
      </c>
      <c r="AS43" s="4" t="str">
        <f t="shared" si="30"/>
        <v>.</v>
      </c>
      <c r="AT43" s="4" t="str">
        <f t="shared" si="31"/>
        <v>.</v>
      </c>
      <c r="AU43" s="4" t="str">
        <f t="shared" si="32"/>
        <v>.</v>
      </c>
      <c r="AV43" s="4" t="str">
        <f t="shared" si="33"/>
        <v>.</v>
      </c>
      <c r="AX43" s="1">
        <f t="shared" si="34"/>
        <v>30103940.131904069</v>
      </c>
      <c r="AY43" s="4">
        <f t="shared" si="18"/>
        <v>27.87447723593375</v>
      </c>
    </row>
    <row r="44" spans="1:51" x14ac:dyDescent="0.3">
      <c r="A44" s="4">
        <v>1979</v>
      </c>
      <c r="B44" s="1">
        <v>1343169.3710274214</v>
      </c>
      <c r="C44" s="1">
        <v>2600126.8895912692</v>
      </c>
      <c r="D44" s="1">
        <v>2053702.548860664</v>
      </c>
      <c r="E44" s="1">
        <v>10473368.957509844</v>
      </c>
      <c r="F44" s="1">
        <v>5656528.2580902129</v>
      </c>
      <c r="G44" s="1">
        <v>2498557.9635269153</v>
      </c>
      <c r="H44" s="1">
        <v>41466.300648963588</v>
      </c>
      <c r="I44" s="1">
        <v>2686141.9453447596</v>
      </c>
      <c r="J44" s="1">
        <v>7339097.8569339952</v>
      </c>
      <c r="K44" s="1">
        <v>60029.797256706261</v>
      </c>
      <c r="L44" s="1">
        <v>0</v>
      </c>
      <c r="M44" s="1">
        <v>0</v>
      </c>
      <c r="N44" s="1">
        <v>13162702.146077422</v>
      </c>
      <c r="O44" s="1">
        <v>1324812.7951914542</v>
      </c>
      <c r="P44" s="1">
        <v>197682.63247307576</v>
      </c>
      <c r="Q44" s="1"/>
      <c r="R44" s="4">
        <f>'Direct mail readership'!B43</f>
        <v>40.444198248978466</v>
      </c>
      <c r="S44" s="4">
        <v>-9999</v>
      </c>
      <c r="T44" s="4">
        <v>-9999</v>
      </c>
      <c r="U44" s="4">
        <f>'Print newspapers, readership'!B43</f>
        <v>144.60968780016094</v>
      </c>
      <c r="V44" s="4">
        <f>'Print periodical, readership'!B43</f>
        <v>97.133417345813314</v>
      </c>
      <c r="W44" s="4">
        <v>-9999</v>
      </c>
      <c r="X44" s="4">
        <f>'Movie theater viewership'!B44</f>
        <v>80.957999999999998</v>
      </c>
      <c r="Y44" s="4">
        <f>'Radio listenership'!B43</f>
        <v>86.664389789688201</v>
      </c>
      <c r="Z44" s="4">
        <f>'Broadcast television viewership'!B43</f>
        <v>110.24178651720173</v>
      </c>
      <c r="AA44" s="4">
        <f>'Cable.audiovisual internet view'!B43*100/'Cable.audiovisual internet view'!B$10</f>
        <v>0.61687412944621156</v>
      </c>
      <c r="AB44" s="4">
        <v>-9999</v>
      </c>
      <c r="AC44" s="4">
        <v>-9999</v>
      </c>
      <c r="AD44" s="4">
        <v>-9999</v>
      </c>
      <c r="AE44" s="4">
        <v>-9999</v>
      </c>
      <c r="AF44" s="4">
        <v>-9999</v>
      </c>
      <c r="AH44" s="4">
        <f t="shared" si="19"/>
        <v>48.509111690919596</v>
      </c>
      <c r="AI44" s="4" t="str">
        <f t="shared" si="20"/>
        <v>.</v>
      </c>
      <c r="AJ44" s="4" t="str">
        <f t="shared" si="21"/>
        <v>.</v>
      </c>
      <c r="AK44" s="4">
        <f t="shared" si="22"/>
        <v>40.970811275196169</v>
      </c>
      <c r="AL44" s="4">
        <f t="shared" si="23"/>
        <v>45.706231422393117</v>
      </c>
      <c r="AM44" s="4" t="str">
        <f t="shared" si="24"/>
        <v>.</v>
      </c>
      <c r="AN44" s="4">
        <f t="shared" si="25"/>
        <v>31.423019653274423</v>
      </c>
      <c r="AO44" s="4">
        <f t="shared" si="26"/>
        <v>20.793662198052473</v>
      </c>
      <c r="AP44" s="4">
        <f t="shared" si="27"/>
        <v>19.695983931695885</v>
      </c>
      <c r="AQ44" s="4">
        <f t="shared" si="28"/>
        <v>22.954055633441516</v>
      </c>
      <c r="AR44" s="4" t="str">
        <f t="shared" si="29"/>
        <v>.</v>
      </c>
      <c r="AS44" s="4" t="str">
        <f t="shared" si="30"/>
        <v>.</v>
      </c>
      <c r="AT44" s="4" t="str">
        <f t="shared" si="31"/>
        <v>.</v>
      </c>
      <c r="AU44" s="4" t="str">
        <f t="shared" si="32"/>
        <v>.</v>
      </c>
      <c r="AV44" s="4" t="str">
        <f t="shared" si="33"/>
        <v>.</v>
      </c>
      <c r="AX44" s="1">
        <f t="shared" si="34"/>
        <v>27599802.486811902</v>
      </c>
      <c r="AY44" s="4">
        <f t="shared" si="18"/>
        <v>26.036219645238653</v>
      </c>
    </row>
    <row r="45" spans="1:51" x14ac:dyDescent="0.3">
      <c r="A45" s="4">
        <v>1978</v>
      </c>
      <c r="B45" s="1">
        <v>1270462.0262712794</v>
      </c>
      <c r="C45" s="1">
        <v>2364030.9715252072</v>
      </c>
      <c r="D45" s="1">
        <v>1849405.5405028637</v>
      </c>
      <c r="E45" s="1">
        <v>9226809.1378538348</v>
      </c>
      <c r="F45" s="1">
        <v>5013490.8982986733</v>
      </c>
      <c r="G45" s="1">
        <v>2117497.6982682445</v>
      </c>
      <c r="H45" s="1">
        <v>40423.400420101942</v>
      </c>
      <c r="I45" s="1">
        <v>2462764.100898901</v>
      </c>
      <c r="J45" s="1">
        <v>6503585.6969711976</v>
      </c>
      <c r="K45" s="1">
        <v>0</v>
      </c>
      <c r="L45" s="1">
        <v>0</v>
      </c>
      <c r="M45" s="1">
        <v>0</v>
      </c>
      <c r="N45" s="1">
        <v>11457272.984778037</v>
      </c>
      <c r="O45" s="1">
        <v>1168629.681960193</v>
      </c>
      <c r="P45" s="1">
        <v>174377.68774166986</v>
      </c>
      <c r="Q45" s="1"/>
      <c r="R45" s="4">
        <f>'Direct mail readership'!B44</f>
        <v>39.913461631661903</v>
      </c>
      <c r="S45" s="4">
        <v>-9999</v>
      </c>
      <c r="T45" s="4">
        <v>-9999</v>
      </c>
      <c r="U45" s="4">
        <f>'Print newspapers, readership'!B44</f>
        <v>143.34505016716366</v>
      </c>
      <c r="V45" s="4">
        <f>'Print periodical, readership'!B44</f>
        <v>95.051139278770179</v>
      </c>
      <c r="W45" s="4">
        <v>-9999</v>
      </c>
      <c r="X45" s="4">
        <f>'Movie theater viewership'!B45</f>
        <v>84.713999999999999</v>
      </c>
      <c r="Y45" s="4">
        <f>'Radio listenership'!B44</f>
        <v>84.086613655379651</v>
      </c>
      <c r="Z45" s="4">
        <f>'Broadcast television viewership'!B44</f>
        <v>111.29841570175032</v>
      </c>
      <c r="AB45" s="4">
        <v>-9999</v>
      </c>
      <c r="AC45" s="4">
        <v>-9999</v>
      </c>
      <c r="AD45" s="4">
        <v>-9999</v>
      </c>
      <c r="AE45" s="4">
        <v>-9999</v>
      </c>
      <c r="AF45" s="4">
        <v>-9999</v>
      </c>
      <c r="AH45" s="4">
        <f t="shared" si="19"/>
        <v>46.493374240526272</v>
      </c>
      <c r="AI45" s="4" t="str">
        <f t="shared" si="20"/>
        <v>.</v>
      </c>
      <c r="AJ45" s="4" t="str">
        <f t="shared" si="21"/>
        <v>.</v>
      </c>
      <c r="AK45" s="4">
        <f t="shared" si="22"/>
        <v>36.412825932779853</v>
      </c>
      <c r="AL45" s="4">
        <f t="shared" si="23"/>
        <v>41.397777471007437</v>
      </c>
      <c r="AM45" s="4" t="str">
        <f t="shared" si="24"/>
        <v>.</v>
      </c>
      <c r="AN45" s="4">
        <f t="shared" si="25"/>
        <v>29.274538045153978</v>
      </c>
      <c r="AO45" s="4">
        <f t="shared" si="26"/>
        <v>19.648918927437055</v>
      </c>
      <c r="AP45" s="4">
        <f t="shared" si="27"/>
        <v>17.288014984545534</v>
      </c>
      <c r="AQ45" s="4" t="str">
        <f t="shared" si="28"/>
        <v>.</v>
      </c>
      <c r="AR45" s="4" t="str">
        <f t="shared" si="29"/>
        <v>.</v>
      </c>
      <c r="AS45" s="4" t="str">
        <f t="shared" si="30"/>
        <v>.</v>
      </c>
      <c r="AT45" s="4" t="str">
        <f t="shared" si="31"/>
        <v>.</v>
      </c>
      <c r="AU45" s="4" t="str">
        <f t="shared" si="32"/>
        <v>.</v>
      </c>
      <c r="AV45" s="4" t="str">
        <f t="shared" si="33"/>
        <v>.</v>
      </c>
      <c r="AX45" s="1">
        <f t="shared" si="34"/>
        <v>24517535.260713987</v>
      </c>
      <c r="AY45" s="4">
        <f t="shared" ref="AY45:AY73" si="35">AY44*((E45/U45)/(E44/U44))^((E45+E44)/(AX45+AX44))*((F45/V45)/(F44/V44))^((F45+F44)/(AX45+AX44))*((H45/X45)/(H44/X44))^((H45+H44)/(AX45+AX44))*((I45/Y45)/(I44/Y44))^((I45+I44)/(AX45+AX44))*((J45/Z45)/(J44/Z44))^((J45+J44)/(AX45+AX44))*((B45/R45)/(B44/R44))^((B45+B44)/(AX45+AX44))</f>
        <v>23.386732926461956</v>
      </c>
    </row>
    <row r="46" spans="1:51" x14ac:dyDescent="0.3">
      <c r="A46" s="4">
        <v>1977</v>
      </c>
      <c r="B46" s="1">
        <v>1151802.0263440716</v>
      </c>
      <c r="C46" s="1">
        <v>2058999.8402993653</v>
      </c>
      <c r="D46" s="1">
        <v>1628056.8656231137</v>
      </c>
      <c r="E46" s="1">
        <v>8122281.5885586319</v>
      </c>
      <c r="F46" s="1">
        <v>4245758.0809049727</v>
      </c>
      <c r="G46" s="1">
        <v>1820084.8083102587</v>
      </c>
      <c r="H46" s="1">
        <v>34782.925942878413</v>
      </c>
      <c r="I46" s="1">
        <v>2126295.3812314989</v>
      </c>
      <c r="J46" s="1">
        <v>5523018.5199568449</v>
      </c>
      <c r="K46" s="1">
        <v>0</v>
      </c>
      <c r="L46" s="1">
        <v>0</v>
      </c>
      <c r="M46" s="1">
        <v>0</v>
      </c>
      <c r="N46" s="1">
        <v>9749733.0900906343</v>
      </c>
      <c r="O46" s="1">
        <v>1007725.1906902858</v>
      </c>
      <c r="P46" s="1">
        <v>150368.24012278602</v>
      </c>
      <c r="Q46" s="1"/>
      <c r="R46" s="4">
        <f>'Direct mail readership'!B45</f>
        <v>35.456200332136163</v>
      </c>
      <c r="S46" s="4">
        <v>-9999</v>
      </c>
      <c r="T46" s="4">
        <v>-9999</v>
      </c>
      <c r="U46" s="4">
        <f>'Print newspapers, readership'!B45</f>
        <v>142.06040548758958</v>
      </c>
      <c r="V46" s="4">
        <f>'Print periodical, readership'!B45</f>
        <v>93.013499628319053</v>
      </c>
      <c r="W46" s="4">
        <v>-9999</v>
      </c>
      <c r="X46" s="4">
        <f>'Movie theater viewership'!B46</f>
        <v>77.162999999999997</v>
      </c>
      <c r="Y46" s="4">
        <f>'Radio listenership'!B45</f>
        <v>81.621420170475105</v>
      </c>
      <c r="Z46" s="4">
        <f>'Broadcast television viewership'!B45</f>
        <v>107.26659351809973</v>
      </c>
      <c r="AB46" s="4">
        <v>-9999</v>
      </c>
      <c r="AC46" s="4">
        <v>-9999</v>
      </c>
      <c r="AD46" s="4">
        <v>-9999</v>
      </c>
      <c r="AE46" s="4">
        <v>-9999</v>
      </c>
      <c r="AF46" s="4">
        <v>-9999</v>
      </c>
      <c r="AH46" s="4">
        <f t="shared" si="19"/>
        <v>47.449803498498731</v>
      </c>
      <c r="AI46" s="4" t="str">
        <f t="shared" si="20"/>
        <v>.</v>
      </c>
      <c r="AJ46" s="4" t="str">
        <f t="shared" si="21"/>
        <v>.</v>
      </c>
      <c r="AK46" s="4">
        <f t="shared" si="22"/>
        <v>32.343762611094505</v>
      </c>
      <c r="AL46" s="4">
        <f t="shared" si="23"/>
        <v>35.826417401257658</v>
      </c>
      <c r="AM46" s="4" t="str">
        <f t="shared" si="24"/>
        <v>.</v>
      </c>
      <c r="AN46" s="4">
        <f t="shared" si="25"/>
        <v>27.65472878175299</v>
      </c>
      <c r="AO46" s="4">
        <f t="shared" si="26"/>
        <v>17.476809728143738</v>
      </c>
      <c r="AP46" s="4">
        <f t="shared" si="27"/>
        <v>15.233274077844438</v>
      </c>
      <c r="AQ46" s="4" t="str">
        <f t="shared" si="28"/>
        <v>.</v>
      </c>
      <c r="AR46" s="4" t="str">
        <f t="shared" si="29"/>
        <v>.</v>
      </c>
      <c r="AS46" s="4" t="str">
        <f t="shared" si="30"/>
        <v>.</v>
      </c>
      <c r="AT46" s="4" t="str">
        <f t="shared" si="31"/>
        <v>.</v>
      </c>
      <c r="AU46" s="4" t="str">
        <f t="shared" si="32"/>
        <v>.</v>
      </c>
      <c r="AV46" s="4" t="str">
        <f t="shared" si="33"/>
        <v>.</v>
      </c>
      <c r="AX46" s="1">
        <f t="shared" si="34"/>
        <v>21203938.5229389</v>
      </c>
      <c r="AY46" s="4">
        <f t="shared" si="35"/>
        <v>20.777618134810172</v>
      </c>
    </row>
    <row r="47" spans="1:51" x14ac:dyDescent="0.3">
      <c r="A47" s="4">
        <v>1976</v>
      </c>
      <c r="B47" s="1">
        <v>1131425.2474126783</v>
      </c>
      <c r="C47" s="1">
        <v>1892377.7017464396</v>
      </c>
      <c r="D47" s="1">
        <v>1463659.4267811961</v>
      </c>
      <c r="E47" s="1">
        <v>7266310.5123948399</v>
      </c>
      <c r="F47" s="1">
        <v>3557488.0551204924</v>
      </c>
      <c r="G47" s="1">
        <v>1579161.0549189674</v>
      </c>
      <c r="H47" s="1">
        <v>30464.437671254153</v>
      </c>
      <c r="I47" s="1">
        <v>1887028.7361346795</v>
      </c>
      <c r="J47" s="1">
        <v>4966681.3861831781</v>
      </c>
      <c r="K47" s="1">
        <v>0</v>
      </c>
      <c r="L47" s="1">
        <v>0</v>
      </c>
      <c r="M47" s="1">
        <v>0</v>
      </c>
      <c r="N47" s="1">
        <v>8606656.2363647483</v>
      </c>
      <c r="O47" s="1">
        <v>888622.16686656512</v>
      </c>
      <c r="P47" s="1">
        <v>132596.22027935297</v>
      </c>
      <c r="Q47" s="1"/>
      <c r="R47" s="4">
        <f>'Direct mail readership'!B46</f>
        <v>33.993383610487548</v>
      </c>
      <c r="S47" s="4">
        <v>-9999</v>
      </c>
      <c r="T47" s="4">
        <v>-9999</v>
      </c>
      <c r="U47" s="4">
        <f>'Print newspapers, readership'!B46</f>
        <v>140.75530631711783</v>
      </c>
      <c r="V47" s="4">
        <f>'Print periodical, readership'!B46</f>
        <v>91.019541467396806</v>
      </c>
      <c r="W47" s="4">
        <v>-9999</v>
      </c>
      <c r="X47" s="4">
        <f>'Movie theater viewership'!B47</f>
        <v>70.41</v>
      </c>
      <c r="Y47" s="4">
        <f>'Radio listenership'!B46</f>
        <v>79.271136792368821</v>
      </c>
      <c r="Z47" s="4">
        <f>'Broadcast television viewership'!B46</f>
        <v>104.65016321497436</v>
      </c>
      <c r="AB47" s="4">
        <v>-9999</v>
      </c>
      <c r="AC47" s="4">
        <v>-9999</v>
      </c>
      <c r="AD47" s="4">
        <v>-9999</v>
      </c>
      <c r="AE47" s="4">
        <v>-9999</v>
      </c>
      <c r="AF47" s="4">
        <v>-9999</v>
      </c>
      <c r="AH47" s="4">
        <f t="shared" si="19"/>
        <v>48.616114139063846</v>
      </c>
      <c r="AI47" s="4" t="str">
        <f t="shared" si="20"/>
        <v>.</v>
      </c>
      <c r="AJ47" s="4" t="str">
        <f t="shared" si="21"/>
        <v>.</v>
      </c>
      <c r="AK47" s="4">
        <f t="shared" si="22"/>
        <v>29.203487978465848</v>
      </c>
      <c r="AL47" s="4">
        <f t="shared" si="23"/>
        <v>30.676296640960445</v>
      </c>
      <c r="AM47" s="4" t="str">
        <f t="shared" si="24"/>
        <v>.</v>
      </c>
      <c r="AN47" s="4">
        <f t="shared" si="25"/>
        <v>26.544296352959968</v>
      </c>
      <c r="AO47" s="4">
        <f t="shared" si="26"/>
        <v>15.970044884402331</v>
      </c>
      <c r="AP47" s="4">
        <f t="shared" si="27"/>
        <v>14.041310273854856</v>
      </c>
      <c r="AQ47" s="4" t="str">
        <f t="shared" si="28"/>
        <v>.</v>
      </c>
      <c r="AR47" s="4" t="str">
        <f t="shared" si="29"/>
        <v>.</v>
      </c>
      <c r="AS47" s="4" t="str">
        <f t="shared" si="30"/>
        <v>.</v>
      </c>
      <c r="AT47" s="4" t="str">
        <f t="shared" si="31"/>
        <v>.</v>
      </c>
      <c r="AU47" s="4" t="str">
        <f t="shared" si="32"/>
        <v>.</v>
      </c>
      <c r="AV47" s="4" t="str">
        <f t="shared" si="33"/>
        <v>.</v>
      </c>
      <c r="AX47" s="1">
        <f t="shared" si="34"/>
        <v>18839398.374917123</v>
      </c>
      <c r="AY47" s="4">
        <f t="shared" si="35"/>
        <v>18.827554274618151</v>
      </c>
    </row>
    <row r="48" spans="1:51" x14ac:dyDescent="0.3">
      <c r="A48" s="4">
        <v>1975</v>
      </c>
      <c r="B48" s="1">
        <v>1033316.572511146</v>
      </c>
      <c r="C48" s="1">
        <v>1614287.0547644349</v>
      </c>
      <c r="D48" s="1">
        <v>1247653.750888116</v>
      </c>
      <c r="E48" s="1">
        <v>6220711.2454833761</v>
      </c>
      <c r="F48" s="1">
        <v>3004916.0273148348</v>
      </c>
      <c r="G48" s="1">
        <v>1394243.6249613233</v>
      </c>
      <c r="H48" s="1">
        <v>32271.152152239811</v>
      </c>
      <c r="I48" s="1">
        <v>1612245.9484063012</v>
      </c>
      <c r="J48" s="1">
        <v>3861628.1975944941</v>
      </c>
      <c r="K48" s="1">
        <v>0</v>
      </c>
      <c r="L48" s="1">
        <v>0</v>
      </c>
      <c r="M48" s="1">
        <v>0</v>
      </c>
      <c r="N48" s="1">
        <v>7203794.6226735692</v>
      </c>
      <c r="O48" s="1">
        <v>742977.6480181301</v>
      </c>
      <c r="P48" s="1">
        <v>110863.79740743138</v>
      </c>
      <c r="Q48" s="1"/>
      <c r="R48" s="4">
        <f>'Direct mail readership'!B47</f>
        <v>32.594627436550084</v>
      </c>
      <c r="S48" s="4">
        <v>-9999</v>
      </c>
      <c r="T48" s="4">
        <v>-9999</v>
      </c>
      <c r="U48" s="4">
        <f>'Print newspapers, readership'!B47</f>
        <v>139.42929550963652</v>
      </c>
      <c r="V48" s="4">
        <f>'Print periodical, readership'!B47</f>
        <v>89.068328382870646</v>
      </c>
      <c r="W48" s="4">
        <v>-9999</v>
      </c>
      <c r="X48" s="4">
        <f>'Movie theater viewership'!B48</f>
        <v>77.643000000000001</v>
      </c>
      <c r="Y48" s="4">
        <f>'Radio listenership'!B47</f>
        <v>77.031310177134159</v>
      </c>
      <c r="Z48" s="4">
        <f>'Broadcast television viewership'!B47</f>
        <v>103.74969647373133</v>
      </c>
      <c r="AB48" s="4">
        <v>-9999</v>
      </c>
      <c r="AC48" s="4">
        <v>-9999</v>
      </c>
      <c r="AD48" s="4">
        <v>-9999</v>
      </c>
      <c r="AE48" s="4">
        <v>-9999</v>
      </c>
      <c r="AF48" s="4">
        <v>-9999</v>
      </c>
      <c r="AH48" s="4">
        <f t="shared" si="19"/>
        <v>46.305880423803281</v>
      </c>
      <c r="AI48" s="4" t="str">
        <f t="shared" si="20"/>
        <v>.</v>
      </c>
      <c r="AJ48" s="4" t="str">
        <f t="shared" si="21"/>
        <v>.</v>
      </c>
      <c r="AK48" s="4">
        <f t="shared" si="22"/>
        <v>25.238965997361156</v>
      </c>
      <c r="AL48" s="4">
        <f t="shared" si="23"/>
        <v>26.479096357051919</v>
      </c>
      <c r="AM48" s="4" t="str">
        <f t="shared" si="24"/>
        <v>.</v>
      </c>
      <c r="AN48" s="4">
        <f t="shared" si="25"/>
        <v>25.499082794501568</v>
      </c>
      <c r="AO48" s="4">
        <f t="shared" si="26"/>
        <v>14.041280618049711</v>
      </c>
      <c r="AP48" s="4">
        <f t="shared" si="27"/>
        <v>11.011966146128129</v>
      </c>
      <c r="AQ48" s="4" t="str">
        <f t="shared" si="28"/>
        <v>.</v>
      </c>
      <c r="AR48" s="4" t="str">
        <f t="shared" si="29"/>
        <v>.</v>
      </c>
      <c r="AS48" s="4" t="str">
        <f t="shared" si="30"/>
        <v>.</v>
      </c>
      <c r="AT48" s="4" t="str">
        <f t="shared" si="31"/>
        <v>.</v>
      </c>
      <c r="AU48" s="4" t="str">
        <f t="shared" si="32"/>
        <v>.</v>
      </c>
      <c r="AV48" s="4" t="str">
        <f t="shared" si="33"/>
        <v>.</v>
      </c>
      <c r="AX48" s="1">
        <f t="shared" si="34"/>
        <v>15765089.143462392</v>
      </c>
      <c r="AY48" s="4">
        <f t="shared" si="35"/>
        <v>15.997318150355859</v>
      </c>
    </row>
    <row r="49" spans="1:51" x14ac:dyDescent="0.3">
      <c r="A49" s="4">
        <v>1974</v>
      </c>
      <c r="B49" s="1">
        <v>1076614.0650847964</v>
      </c>
      <c r="C49" s="1">
        <v>1568056.4534753591</v>
      </c>
      <c r="D49" s="1">
        <v>1207870.0874127059</v>
      </c>
      <c r="E49" s="1">
        <v>5924558.8519651005</v>
      </c>
      <c r="F49" s="1">
        <v>3026921.1080681575</v>
      </c>
      <c r="G49" s="1">
        <v>1271934.9880317666</v>
      </c>
      <c r="H49" s="1">
        <v>29700.62341913013</v>
      </c>
      <c r="I49" s="1">
        <v>1498220.4378523484</v>
      </c>
      <c r="J49" s="1">
        <v>3561587.1608473044</v>
      </c>
      <c r="K49" s="1">
        <v>0</v>
      </c>
      <c r="L49" s="1">
        <v>0</v>
      </c>
      <c r="M49" s="1">
        <v>0</v>
      </c>
      <c r="N49" s="1">
        <v>6847969.908886061</v>
      </c>
      <c r="O49" s="1">
        <v>705515.34095186705</v>
      </c>
      <c r="P49" s="1">
        <v>105273.83971208517</v>
      </c>
      <c r="Q49" s="1"/>
      <c r="R49" s="4">
        <f>'Direct mail readership'!B48</f>
        <v>34.558874517388773</v>
      </c>
      <c r="S49" s="4">
        <v>-9999</v>
      </c>
      <c r="T49" s="4">
        <v>-9999</v>
      </c>
      <c r="U49" s="4">
        <f>'Print newspapers, readership'!B48</f>
        <v>138.08190600637943</v>
      </c>
      <c r="V49" s="4">
        <f>'Print periodical, readership'!B48</f>
        <v>88.827646807571867</v>
      </c>
      <c r="W49" s="4">
        <v>-9999</v>
      </c>
      <c r="X49" s="4">
        <f>'Movie theater viewership'!B49</f>
        <v>77.326999999999998</v>
      </c>
      <c r="Y49" s="4">
        <f>'Radio listenership'!B48</f>
        <v>74.828002662482461</v>
      </c>
      <c r="Z49" s="4">
        <f>'Broadcast television viewership'!B48</f>
        <v>96.927690469545325</v>
      </c>
      <c r="AB49" s="4">
        <v>-9999</v>
      </c>
      <c r="AC49" s="4">
        <v>-9999</v>
      </c>
      <c r="AD49" s="4">
        <v>-9999</v>
      </c>
      <c r="AE49" s="4">
        <v>-9999</v>
      </c>
      <c r="AF49" s="4">
        <v>-9999</v>
      </c>
      <c r="AH49" s="4">
        <f t="shared" si="19"/>
        <v>45.503964033086277</v>
      </c>
      <c r="AI49" s="4" t="str">
        <f t="shared" si="20"/>
        <v>.</v>
      </c>
      <c r="AJ49" s="4" t="str">
        <f t="shared" si="21"/>
        <v>.</v>
      </c>
      <c r="AK49" s="4">
        <f t="shared" si="22"/>
        <v>24.271956980261383</v>
      </c>
      <c r="AL49" s="4">
        <f t="shared" si="23"/>
        <v>26.745274914360451</v>
      </c>
      <c r="AM49" s="4" t="str">
        <f t="shared" si="24"/>
        <v>.</v>
      </c>
      <c r="AN49" s="4">
        <f t="shared" si="25"/>
        <v>23.563879836835163</v>
      </c>
      <c r="AO49" s="4">
        <f t="shared" si="26"/>
        <v>13.432420330548272</v>
      </c>
      <c r="AP49" s="4">
        <f t="shared" si="27"/>
        <v>10.871186784119299</v>
      </c>
      <c r="AQ49" s="4" t="str">
        <f t="shared" si="28"/>
        <v>.</v>
      </c>
      <c r="AR49" s="4" t="str">
        <f t="shared" si="29"/>
        <v>.</v>
      </c>
      <c r="AS49" s="4" t="str">
        <f t="shared" si="30"/>
        <v>.</v>
      </c>
      <c r="AT49" s="4" t="str">
        <f t="shared" si="31"/>
        <v>.</v>
      </c>
      <c r="AU49" s="4" t="str">
        <f t="shared" si="32"/>
        <v>.</v>
      </c>
      <c r="AV49" s="4" t="str">
        <f t="shared" si="33"/>
        <v>.</v>
      </c>
      <c r="AX49" s="1">
        <f t="shared" si="34"/>
        <v>15117602.247236839</v>
      </c>
      <c r="AY49" s="4">
        <f t="shared" si="35"/>
        <v>15.644212438935007</v>
      </c>
    </row>
    <row r="50" spans="1:51" x14ac:dyDescent="0.3">
      <c r="A50" s="4">
        <v>1973</v>
      </c>
      <c r="B50" s="1">
        <v>1040889.8614845087</v>
      </c>
      <c r="C50" s="1">
        <v>1410476.6860747403</v>
      </c>
      <c r="D50" s="1">
        <v>1159314.4022562939</v>
      </c>
      <c r="E50" s="1">
        <v>5651826.6732403617</v>
      </c>
      <c r="F50" s="1">
        <v>2907115.6684111785</v>
      </c>
      <c r="G50" s="1">
        <v>1155866.7108468642</v>
      </c>
      <c r="H50" s="1">
        <v>24192.34756246653</v>
      </c>
      <c r="I50" s="1">
        <v>1403822.2692789938</v>
      </c>
      <c r="J50" s="1">
        <v>3273147.7454018681</v>
      </c>
      <c r="K50" s="1">
        <v>0</v>
      </c>
      <c r="L50" s="1">
        <v>0</v>
      </c>
      <c r="M50" s="1">
        <v>0</v>
      </c>
      <c r="N50" s="1">
        <v>6453848.3588053957</v>
      </c>
      <c r="O50" s="1">
        <v>664189.53735536232</v>
      </c>
      <c r="P50" s="1">
        <v>99107.388366148574</v>
      </c>
      <c r="Q50" s="1"/>
      <c r="R50" s="4">
        <f>'Direct mail readership'!B49</f>
        <v>33.698537652443783</v>
      </c>
      <c r="S50" s="4">
        <v>-9999</v>
      </c>
      <c r="T50" s="4">
        <v>-9999</v>
      </c>
      <c r="U50" s="4">
        <f>'Print newspapers, readership'!B49</f>
        <v>136.71266062048031</v>
      </c>
      <c r="V50" s="4">
        <f>'Print periodical, readership'!B49</f>
        <v>88.587615605101902</v>
      </c>
      <c r="W50" s="4">
        <v>-9999</v>
      </c>
      <c r="X50" s="4">
        <f>'Movie theater viewership'!B50</f>
        <v>67.403999999999996</v>
      </c>
      <c r="Y50" s="4">
        <f>'Radio listenership'!B49</f>
        <v>72.740306847722493</v>
      </c>
      <c r="Z50" s="4">
        <f>'Broadcast television viewership'!B49</f>
        <v>95.888390724221182</v>
      </c>
      <c r="AB50" s="4">
        <v>-9999</v>
      </c>
      <c r="AC50" s="4">
        <v>-9999</v>
      </c>
      <c r="AD50" s="4">
        <v>-9999</v>
      </c>
      <c r="AE50" s="4">
        <v>-9999</v>
      </c>
      <c r="AF50" s="4">
        <v>-9999</v>
      </c>
      <c r="AH50" s="4">
        <f t="shared" si="19"/>
        <v>45.117237051113349</v>
      </c>
      <c r="AI50" s="4" t="str">
        <f t="shared" si="20"/>
        <v>.</v>
      </c>
      <c r="AJ50" s="4" t="str">
        <f t="shared" si="21"/>
        <v>.</v>
      </c>
      <c r="AK50" s="4">
        <f t="shared" si="22"/>
        <v>23.386522492210819</v>
      </c>
      <c r="AL50" s="4">
        <f t="shared" si="23"/>
        <v>25.756296791765102</v>
      </c>
      <c r="AM50" s="4" t="str">
        <f t="shared" si="24"/>
        <v>.</v>
      </c>
      <c r="AN50" s="4">
        <f t="shared" si="25"/>
        <v>22.019362381932996</v>
      </c>
      <c r="AO50" s="4">
        <f t="shared" si="26"/>
        <v>12.947314813304819</v>
      </c>
      <c r="AP50" s="4">
        <f t="shared" si="27"/>
        <v>10.099057027060793</v>
      </c>
      <c r="AQ50" s="4" t="str">
        <f t="shared" si="28"/>
        <v>.</v>
      </c>
      <c r="AR50" s="4" t="str">
        <f t="shared" si="29"/>
        <v>.</v>
      </c>
      <c r="AS50" s="4" t="str">
        <f t="shared" si="30"/>
        <v>.</v>
      </c>
      <c r="AT50" s="4" t="str">
        <f t="shared" si="31"/>
        <v>.</v>
      </c>
      <c r="AU50" s="4" t="str">
        <f t="shared" si="32"/>
        <v>.</v>
      </c>
      <c r="AV50" s="4" t="str">
        <f t="shared" si="33"/>
        <v>.</v>
      </c>
      <c r="AX50" s="1">
        <f t="shared" si="34"/>
        <v>14300994.565379377</v>
      </c>
      <c r="AY50" s="4">
        <f t="shared" si="35"/>
        <v>14.975178197213697</v>
      </c>
    </row>
    <row r="51" spans="1:51" x14ac:dyDescent="0.3">
      <c r="A51" s="4">
        <v>1972</v>
      </c>
      <c r="B51" s="1">
        <v>1020294.4972892384</v>
      </c>
      <c r="C51" s="1">
        <v>1283379.2508108406</v>
      </c>
      <c r="D51" s="1">
        <v>1103540.6920385184</v>
      </c>
      <c r="E51" s="1">
        <v>5242350.659753358</v>
      </c>
      <c r="F51" s="1">
        <v>2787310.2287541996</v>
      </c>
      <c r="G51" s="1">
        <v>1063251.0815998013</v>
      </c>
      <c r="H51" s="1">
        <v>25617.15491739018</v>
      </c>
      <c r="I51" s="1">
        <v>1315031.9127000961</v>
      </c>
      <c r="J51" s="1">
        <v>3026148.6662069797</v>
      </c>
      <c r="K51" s="1">
        <v>0</v>
      </c>
      <c r="L51" s="1">
        <v>0</v>
      </c>
      <c r="M51" s="1">
        <v>0</v>
      </c>
      <c r="N51" s="1">
        <v>6032305.3130681058</v>
      </c>
      <c r="O51" s="1">
        <v>620131.38894782879</v>
      </c>
      <c r="P51" s="1">
        <v>92533.228763597319</v>
      </c>
      <c r="Q51" s="1"/>
      <c r="R51" s="4">
        <f>'Direct mail readership'!B50</f>
        <v>33.334636736069555</v>
      </c>
      <c r="S51" s="4">
        <v>-9999</v>
      </c>
      <c r="T51" s="4">
        <v>-9999</v>
      </c>
      <c r="U51" s="4">
        <f>'Print newspapers, readership'!B50</f>
        <v>135.32107181684543</v>
      </c>
      <c r="V51" s="4">
        <f>'Print periodical, readership'!B50</f>
        <v>88.348233018015065</v>
      </c>
      <c r="W51" s="4">
        <v>-9999</v>
      </c>
      <c r="X51" s="4">
        <f>'Movie theater viewership'!B51</f>
        <v>74.197999999999993</v>
      </c>
      <c r="Y51" s="4">
        <f>'Radio listenership'!B50</f>
        <v>72.266758494833155</v>
      </c>
      <c r="Z51" s="4">
        <f>'Broadcast television viewership'!B50</f>
        <v>90.118941340914333</v>
      </c>
      <c r="AB51" s="4">
        <v>-9999</v>
      </c>
      <c r="AC51" s="4">
        <v>-9999</v>
      </c>
      <c r="AD51" s="4">
        <v>-9999</v>
      </c>
      <c r="AE51" s="4">
        <v>-9999</v>
      </c>
      <c r="AF51" s="4">
        <v>-9999</v>
      </c>
      <c r="AH51" s="4">
        <f t="shared" si="19"/>
        <v>44.707315213118427</v>
      </c>
      <c r="AI51" s="4" t="str">
        <f t="shared" si="20"/>
        <v>.</v>
      </c>
      <c r="AJ51" s="4" t="str">
        <f t="shared" si="21"/>
        <v>.</v>
      </c>
      <c r="AK51" s="4">
        <f t="shared" si="22"/>
        <v>21.915237795848608</v>
      </c>
      <c r="AL51" s="4">
        <f t="shared" si="23"/>
        <v>24.761762975942091</v>
      </c>
      <c r="AM51" s="4" t="str">
        <f t="shared" si="24"/>
        <v>.</v>
      </c>
      <c r="AN51" s="4">
        <f t="shared" si="25"/>
        <v>21.181225857286005</v>
      </c>
      <c r="AO51" s="4">
        <f t="shared" si="26"/>
        <v>12.207884915190814</v>
      </c>
      <c r="AP51" s="4">
        <f t="shared" si="27"/>
        <v>9.9347152536520795</v>
      </c>
      <c r="AQ51" s="4" t="str">
        <f t="shared" si="28"/>
        <v>.</v>
      </c>
      <c r="AR51" s="4" t="str">
        <f t="shared" si="29"/>
        <v>.</v>
      </c>
      <c r="AS51" s="4" t="str">
        <f t="shared" si="30"/>
        <v>.</v>
      </c>
      <c r="AT51" s="4" t="str">
        <f t="shared" si="31"/>
        <v>.</v>
      </c>
      <c r="AU51" s="4" t="str">
        <f t="shared" si="32"/>
        <v>.</v>
      </c>
      <c r="AV51" s="4" t="str">
        <f t="shared" si="33"/>
        <v>.</v>
      </c>
      <c r="AX51" s="1">
        <f t="shared" si="34"/>
        <v>13416753.119621262</v>
      </c>
      <c r="AY51" s="4">
        <f t="shared" si="35"/>
        <v>14.332355880781243</v>
      </c>
    </row>
    <row r="52" spans="1:51" x14ac:dyDescent="0.3">
      <c r="A52" s="4">
        <v>1971</v>
      </c>
      <c r="B52" s="1">
        <v>973216.98010634363</v>
      </c>
      <c r="C52" s="1">
        <v>1075806.9048260087</v>
      </c>
      <c r="D52" s="1">
        <v>990729.47019927937</v>
      </c>
      <c r="E52" s="1">
        <v>4659111.7623143047</v>
      </c>
      <c r="F52" s="1">
        <v>2629945.2895608167</v>
      </c>
      <c r="G52" s="1">
        <v>988970.28108026204</v>
      </c>
      <c r="H52" s="1">
        <v>25455.578825594715</v>
      </c>
      <c r="I52" s="1">
        <v>1175771.2481710881</v>
      </c>
      <c r="J52" s="1">
        <v>2616925.9947554586</v>
      </c>
      <c r="K52" s="1">
        <v>0</v>
      </c>
      <c r="L52" s="1">
        <v>0</v>
      </c>
      <c r="M52" s="1">
        <v>0</v>
      </c>
      <c r="N52" s="1">
        <v>5443751.6845097486</v>
      </c>
      <c r="O52" s="1">
        <v>557308.79777754098</v>
      </c>
      <c r="P52" s="1">
        <v>83159.123043605694</v>
      </c>
      <c r="Q52" s="1"/>
      <c r="R52" s="4">
        <f>'Direct mail readership'!B51</f>
        <v>30.915144251183467</v>
      </c>
      <c r="S52" s="4">
        <v>-9999</v>
      </c>
      <c r="T52" s="4">
        <v>-9999</v>
      </c>
      <c r="U52" s="4">
        <f>'Print newspapers, readership'!B51</f>
        <v>133.90664148724309</v>
      </c>
      <c r="V52" s="4">
        <f>'Print periodical, readership'!B51</f>
        <v>88.109497293614311</v>
      </c>
      <c r="W52" s="4">
        <v>-9999</v>
      </c>
      <c r="X52" s="4">
        <f>'Movie theater viewership'!B52</f>
        <v>75.707999999999998</v>
      </c>
      <c r="Y52" s="4">
        <f>'Radio listenership'!B51</f>
        <v>71.713024580933663</v>
      </c>
      <c r="Z52" s="4">
        <f>'Broadcast television viewership'!B51</f>
        <v>87.487712671609756</v>
      </c>
      <c r="AB52" s="4">
        <v>-9999</v>
      </c>
      <c r="AC52" s="4">
        <v>-9999</v>
      </c>
      <c r="AD52" s="4">
        <v>-9999</v>
      </c>
      <c r="AE52" s="4">
        <v>-9999</v>
      </c>
      <c r="AF52" s="4">
        <v>-9999</v>
      </c>
      <c r="AH52" s="4">
        <f t="shared" si="19"/>
        <v>45.981927558726802</v>
      </c>
      <c r="AI52" s="4" t="str">
        <f t="shared" si="20"/>
        <v>.</v>
      </c>
      <c r="AJ52" s="4" t="str">
        <f t="shared" si="21"/>
        <v>.</v>
      </c>
      <c r="AK52" s="4">
        <f t="shared" si="22"/>
        <v>19.682785503104874</v>
      </c>
      <c r="AL52" s="4">
        <f t="shared" si="23"/>
        <v>23.427077386310916</v>
      </c>
      <c r="AM52" s="4" t="str">
        <f t="shared" si="24"/>
        <v>.</v>
      </c>
      <c r="AN52" s="4">
        <f t="shared" si="25"/>
        <v>20.627832626545061</v>
      </c>
      <c r="AO52" s="4">
        <f t="shared" si="26"/>
        <v>10.999362254662639</v>
      </c>
      <c r="AP52" s="4">
        <f t="shared" si="27"/>
        <v>8.8496404118820191</v>
      </c>
      <c r="AQ52" s="4" t="str">
        <f t="shared" si="28"/>
        <v>.</v>
      </c>
      <c r="AR52" s="4" t="str">
        <f t="shared" si="29"/>
        <v>.</v>
      </c>
      <c r="AS52" s="4" t="str">
        <f t="shared" si="30"/>
        <v>.</v>
      </c>
      <c r="AT52" s="4" t="str">
        <f t="shared" si="31"/>
        <v>.</v>
      </c>
      <c r="AU52" s="4" t="str">
        <f t="shared" si="32"/>
        <v>.</v>
      </c>
      <c r="AV52" s="4" t="str">
        <f t="shared" si="33"/>
        <v>.</v>
      </c>
      <c r="AX52" s="1">
        <f t="shared" si="34"/>
        <v>12080426.853733607</v>
      </c>
      <c r="AY52" s="4">
        <f t="shared" si="35"/>
        <v>13.136426416349261</v>
      </c>
    </row>
    <row r="53" spans="1:51" x14ac:dyDescent="0.3">
      <c r="A53" s="4">
        <v>1970</v>
      </c>
      <c r="B53" s="1">
        <v>933564.95570935821</v>
      </c>
      <c r="C53" s="1">
        <v>899271.85388046713</v>
      </c>
      <c r="D53" s="1">
        <v>947463.6486407317</v>
      </c>
      <c r="E53" s="1">
        <v>4309319.5220108312</v>
      </c>
      <c r="F53" s="1">
        <v>2561120.8880557436</v>
      </c>
      <c r="G53" s="1">
        <v>930030.86786334449</v>
      </c>
      <c r="H53" s="1">
        <v>23927.950321346678</v>
      </c>
      <c r="I53" s="1">
        <v>1062680.3729495448</v>
      </c>
      <c r="J53" s="1">
        <v>2692704.7766850102</v>
      </c>
      <c r="K53" s="1">
        <v>0</v>
      </c>
      <c r="L53" s="1">
        <v>0</v>
      </c>
      <c r="M53" s="1">
        <v>0</v>
      </c>
      <c r="N53" s="1">
        <v>5234242.4697130164</v>
      </c>
      <c r="O53" s="1">
        <v>533517.69549081626</v>
      </c>
      <c r="P53" s="1">
        <v>79609.121302570056</v>
      </c>
      <c r="Q53" s="1"/>
      <c r="R53" s="4">
        <f>'Direct mail readership'!B52</f>
        <v>30.947297829279027</v>
      </c>
      <c r="S53" s="4">
        <v>-9999</v>
      </c>
      <c r="T53" s="4">
        <v>-9999</v>
      </c>
      <c r="U53" s="4">
        <f>'Print newspapers, readership'!B52</f>
        <v>132.46886072050503</v>
      </c>
      <c r="V53" s="4">
        <f>'Print periodical, readership'!B52</f>
        <v>87.871406683939398</v>
      </c>
      <c r="W53" s="4">
        <v>-9999</v>
      </c>
      <c r="X53" s="4">
        <f>'Movie theater viewership'!B53</f>
        <v>75.337000000000003</v>
      </c>
      <c r="Y53" s="4">
        <f>'Radio listenership'!B52</f>
        <v>71.025744430942993</v>
      </c>
      <c r="Z53" s="4">
        <f>'Broadcast television viewership'!B52</f>
        <v>82.498346714603414</v>
      </c>
      <c r="AB53" s="4">
        <v>-9999</v>
      </c>
      <c r="AC53" s="4">
        <v>-9999</v>
      </c>
      <c r="AD53" s="4">
        <v>-9999</v>
      </c>
      <c r="AE53" s="4">
        <v>-9999</v>
      </c>
      <c r="AF53" s="4">
        <v>-9999</v>
      </c>
      <c r="AH53" s="4">
        <f t="shared" si="19"/>
        <v>44.062646551783182</v>
      </c>
      <c r="AI53" s="4" t="str">
        <f t="shared" si="20"/>
        <v>.</v>
      </c>
      <c r="AJ53" s="4" t="str">
        <f t="shared" si="21"/>
        <v>.</v>
      </c>
      <c r="AK53" s="4">
        <f t="shared" si="22"/>
        <v>18.402653311790239</v>
      </c>
      <c r="AL53" s="4">
        <f t="shared" si="23"/>
        <v>22.875817380940742</v>
      </c>
      <c r="AM53" s="4" t="str">
        <f t="shared" si="24"/>
        <v>.</v>
      </c>
      <c r="AN53" s="4">
        <f t="shared" si="25"/>
        <v>19.485411051044728</v>
      </c>
      <c r="AO53" s="4">
        <f t="shared" si="26"/>
        <v>10.037592822264896</v>
      </c>
      <c r="AP53" s="4">
        <f t="shared" si="27"/>
        <v>9.656611086677481</v>
      </c>
      <c r="AQ53" s="4" t="str">
        <f t="shared" si="28"/>
        <v>.</v>
      </c>
      <c r="AR53" s="4" t="str">
        <f t="shared" si="29"/>
        <v>.</v>
      </c>
      <c r="AS53" s="4" t="str">
        <f t="shared" si="30"/>
        <v>.</v>
      </c>
      <c r="AT53" s="4" t="str">
        <f t="shared" si="31"/>
        <v>.</v>
      </c>
      <c r="AU53" s="4" t="str">
        <f t="shared" si="32"/>
        <v>.</v>
      </c>
      <c r="AV53" s="4" t="str">
        <f t="shared" si="33"/>
        <v>.</v>
      </c>
      <c r="AX53" s="1">
        <f t="shared" si="34"/>
        <v>11583318.465731835</v>
      </c>
      <c r="AY53" s="4">
        <f t="shared" si="35"/>
        <v>12.833371864662279</v>
      </c>
    </row>
    <row r="54" spans="1:51" x14ac:dyDescent="0.3">
      <c r="A54" s="4">
        <v>1969</v>
      </c>
      <c r="B54" s="1">
        <v>958517.59552633588</v>
      </c>
      <c r="C54" s="1">
        <v>796256.69017355086</v>
      </c>
      <c r="D54" s="1">
        <v>941607.24512338045</v>
      </c>
      <c r="E54" s="1">
        <v>4316874.4300087467</v>
      </c>
      <c r="F54" s="1">
        <v>2640609.6903987154</v>
      </c>
      <c r="G54" s="1">
        <v>840915.63383088459</v>
      </c>
      <c r="H54" s="1">
        <v>22135.924575978785</v>
      </c>
      <c r="I54" s="1">
        <v>1015013.970996663</v>
      </c>
      <c r="J54" s="1">
        <v>2684467.9155772417</v>
      </c>
      <c r="K54" s="1">
        <v>0</v>
      </c>
      <c r="L54" s="1">
        <v>0</v>
      </c>
      <c r="M54" s="1">
        <v>0</v>
      </c>
      <c r="N54" s="1">
        <v>5231228.9922322193</v>
      </c>
      <c r="O54" s="1">
        <v>530764.07340410317</v>
      </c>
      <c r="P54" s="1">
        <v>79198.238146162461</v>
      </c>
      <c r="Q54" s="1"/>
      <c r="R54" s="4">
        <f>'Direct mail readership'!B53</f>
        <v>29.513014084298252</v>
      </c>
      <c r="S54" s="4">
        <v>-9999</v>
      </c>
      <c r="T54" s="4">
        <v>-9999</v>
      </c>
      <c r="U54" s="4">
        <f>'Print newspapers, readership'!B53</f>
        <v>131.55486733889279</v>
      </c>
      <c r="V54" s="4">
        <f>'Print periodical, readership'!B53</f>
        <v>86.605270732536454</v>
      </c>
      <c r="W54" s="4">
        <v>-9999</v>
      </c>
      <c r="X54" s="4">
        <f>'Movie theater viewership'!B54</f>
        <v>76.516999999999996</v>
      </c>
      <c r="Y54" s="4">
        <f>'Radio listenership'!B53</f>
        <v>70.414960181596896</v>
      </c>
      <c r="Z54" s="4">
        <f>'Broadcast television viewership'!B53</f>
        <v>80.670621138887995</v>
      </c>
      <c r="AB54" s="4">
        <v>-9999</v>
      </c>
      <c r="AC54" s="4">
        <v>-9999</v>
      </c>
      <c r="AD54" s="4">
        <v>-9999</v>
      </c>
      <c r="AE54" s="4">
        <v>-9999</v>
      </c>
      <c r="AF54" s="4">
        <v>-9999</v>
      </c>
      <c r="AH54" s="4">
        <f t="shared" si="19"/>
        <v>47.438975034221613</v>
      </c>
      <c r="AI54" s="4" t="str">
        <f t="shared" si="20"/>
        <v>.</v>
      </c>
      <c r="AJ54" s="4" t="str">
        <f t="shared" si="21"/>
        <v>.</v>
      </c>
      <c r="AK54" s="4">
        <f t="shared" si="22"/>
        <v>18.562994840876254</v>
      </c>
      <c r="AL54" s="4">
        <f t="shared" si="23"/>
        <v>23.930623307192324</v>
      </c>
      <c r="AM54" s="4" t="str">
        <f t="shared" si="24"/>
        <v>.</v>
      </c>
      <c r="AN54" s="4">
        <f t="shared" si="25"/>
        <v>17.748110649599248</v>
      </c>
      <c r="AO54" s="4">
        <f t="shared" si="26"/>
        <v>9.6705191945552755</v>
      </c>
      <c r="AP54" s="4">
        <f t="shared" si="27"/>
        <v>9.8451890995205922</v>
      </c>
      <c r="AQ54" s="4" t="str">
        <f t="shared" si="28"/>
        <v>.</v>
      </c>
      <c r="AR54" s="4" t="str">
        <f t="shared" si="29"/>
        <v>.</v>
      </c>
      <c r="AS54" s="4" t="str">
        <f t="shared" si="30"/>
        <v>.</v>
      </c>
      <c r="AT54" s="4" t="str">
        <f t="shared" si="31"/>
        <v>.</v>
      </c>
      <c r="AU54" s="4" t="str">
        <f t="shared" si="32"/>
        <v>.</v>
      </c>
      <c r="AV54" s="4" t="str">
        <f t="shared" si="33"/>
        <v>.</v>
      </c>
      <c r="AX54" s="1">
        <f t="shared" si="34"/>
        <v>11637619.527083682</v>
      </c>
      <c r="AY54" s="4">
        <f t="shared" si="35"/>
        <v>13.09650641674363</v>
      </c>
    </row>
    <row r="55" spans="1:51" x14ac:dyDescent="0.3">
      <c r="A55" s="4">
        <v>1968</v>
      </c>
      <c r="B55" s="1">
        <v>997374.96809729212</v>
      </c>
      <c r="C55" s="1">
        <v>705260.00814042869</v>
      </c>
      <c r="D55" s="1">
        <v>869173.33126605162</v>
      </c>
      <c r="E55" s="1">
        <v>3952727.8645092342</v>
      </c>
      <c r="F55" s="1">
        <v>2524471.7642006236</v>
      </c>
      <c r="G55" s="1">
        <v>771462.96464183205</v>
      </c>
      <c r="H55" s="1">
        <v>20564.229864877438</v>
      </c>
      <c r="I55" s="1">
        <v>956131.94505486765</v>
      </c>
      <c r="J55" s="1">
        <v>2419390.7490181504</v>
      </c>
      <c r="K55" s="1">
        <v>0</v>
      </c>
      <c r="L55" s="1">
        <v>0</v>
      </c>
      <c r="M55" s="1">
        <v>0</v>
      </c>
      <c r="N55" s="1">
        <v>4857050.7007779386</v>
      </c>
      <c r="O55" s="1">
        <v>490437.39195659361</v>
      </c>
      <c r="P55" s="1">
        <v>73180.871332993367</v>
      </c>
      <c r="Q55" s="1"/>
      <c r="R55" s="4">
        <f>'Direct mail readership'!B54</f>
        <v>31.700184956748647</v>
      </c>
      <c r="S55" s="4">
        <v>-9999</v>
      </c>
      <c r="T55" s="4">
        <v>-9999</v>
      </c>
      <c r="U55" s="4">
        <f>'Print newspapers, readership'!B54</f>
        <v>130.64154081008797</v>
      </c>
      <c r="V55" s="4">
        <f>'Print periodical, readership'!B54</f>
        <v>85.353694019248223</v>
      </c>
      <c r="W55" s="4">
        <v>-9999</v>
      </c>
      <c r="X55" s="4">
        <f>'Movie theater viewership'!B55</f>
        <v>76.888000000000005</v>
      </c>
      <c r="Y55" s="4">
        <f>'Radio listenership'!B54</f>
        <v>69.940625568064263</v>
      </c>
      <c r="Z55" s="4">
        <f>'Broadcast television viewership'!B54</f>
        <v>78.991183707098358</v>
      </c>
      <c r="AB55" s="4">
        <v>-9999</v>
      </c>
      <c r="AC55" s="4">
        <v>-9999</v>
      </c>
      <c r="AD55" s="4">
        <v>-9999</v>
      </c>
      <c r="AE55" s="4">
        <v>-9999</v>
      </c>
      <c r="AF55" s="4">
        <v>-9999</v>
      </c>
      <c r="AH55" s="4">
        <f t="shared" si="19"/>
        <v>45.956340715191459</v>
      </c>
      <c r="AI55" s="4" t="str">
        <f t="shared" si="20"/>
        <v>.</v>
      </c>
      <c r="AJ55" s="4" t="str">
        <f t="shared" si="21"/>
        <v>.</v>
      </c>
      <c r="AK55" s="4">
        <f t="shared" si="22"/>
        <v>17.115956352500845</v>
      </c>
      <c r="AL55" s="4">
        <f t="shared" si="23"/>
        <v>23.213590415687722</v>
      </c>
      <c r="AM55" s="4" t="str">
        <f t="shared" si="24"/>
        <v>.</v>
      </c>
      <c r="AN55" s="4">
        <f t="shared" si="25"/>
        <v>16.408401755335813</v>
      </c>
      <c r="AO55" s="4">
        <f t="shared" si="26"/>
        <v>9.1713026515864335</v>
      </c>
      <c r="AP55" s="4">
        <f t="shared" si="27"/>
        <v>9.0616782793214536</v>
      </c>
      <c r="AQ55" s="4" t="str">
        <f t="shared" si="28"/>
        <v>.</v>
      </c>
      <c r="AR55" s="4" t="str">
        <f t="shared" si="29"/>
        <v>.</v>
      </c>
      <c r="AS55" s="4" t="str">
        <f t="shared" si="30"/>
        <v>.</v>
      </c>
      <c r="AT55" s="4" t="str">
        <f t="shared" si="31"/>
        <v>.</v>
      </c>
      <c r="AU55" s="4" t="str">
        <f t="shared" si="32"/>
        <v>.</v>
      </c>
      <c r="AV55" s="4" t="str">
        <f t="shared" si="33"/>
        <v>.</v>
      </c>
      <c r="AX55" s="1">
        <f t="shared" si="34"/>
        <v>10870661.520745046</v>
      </c>
      <c r="AY55" s="4">
        <f t="shared" si="35"/>
        <v>12.294997432038596</v>
      </c>
    </row>
    <row r="56" spans="1:51" x14ac:dyDescent="0.3">
      <c r="A56" s="4">
        <v>1967</v>
      </c>
      <c r="B56" s="1">
        <v>1010490.2580455877</v>
      </c>
      <c r="C56" s="1">
        <v>598069.24862101767</v>
      </c>
      <c r="D56" s="1">
        <v>811140.90896624862</v>
      </c>
      <c r="E56" s="1">
        <v>3709459.8269763649</v>
      </c>
      <c r="F56" s="1">
        <v>2469459.0623173169</v>
      </c>
      <c r="G56" s="1">
        <v>721298.68011807429</v>
      </c>
      <c r="H56" s="1">
        <v>18023.078603003298</v>
      </c>
      <c r="I56" s="1">
        <v>847714.24649537145</v>
      </c>
      <c r="J56" s="1">
        <v>2178275.3602271117</v>
      </c>
      <c r="K56" s="1">
        <v>0</v>
      </c>
      <c r="L56" s="1">
        <v>0</v>
      </c>
      <c r="M56" s="1">
        <v>0</v>
      </c>
      <c r="N56" s="1">
        <v>4560156.696046615</v>
      </c>
      <c r="O56" s="1">
        <v>458161.86903562013</v>
      </c>
      <c r="P56" s="1">
        <v>68364.862340159714</v>
      </c>
      <c r="Q56" s="1"/>
      <c r="R56" s="4">
        <f>'Direct mail readership'!B55</f>
        <v>31.713186346969831</v>
      </c>
      <c r="S56" s="4">
        <v>-9999</v>
      </c>
      <c r="T56" s="4">
        <v>-9999</v>
      </c>
      <c r="U56" s="4">
        <f>'Print newspapers, readership'!B55</f>
        <v>129.72886578580284</v>
      </c>
      <c r="V56" s="4">
        <f>'Print periodical, readership'!B55</f>
        <v>84.11651551188497</v>
      </c>
      <c r="W56" s="4">
        <v>-9999</v>
      </c>
      <c r="X56" s="4">
        <f>'Movie theater viewership'!B56</f>
        <v>73.896000000000001</v>
      </c>
      <c r="Y56" s="4">
        <f>'Radio listenership'!B55</f>
        <v>69.454747570594861</v>
      </c>
      <c r="Z56" s="4">
        <f>'Broadcast television viewership'!B55</f>
        <v>76.182579197270741</v>
      </c>
      <c r="AB56" s="4">
        <v>-9999</v>
      </c>
      <c r="AC56" s="4">
        <v>-9999</v>
      </c>
      <c r="AD56" s="4">
        <v>-9999</v>
      </c>
      <c r="AE56" s="4">
        <v>-9999</v>
      </c>
      <c r="AF56" s="4">
        <v>-9999</v>
      </c>
      <c r="AH56" s="4">
        <f t="shared" si="19"/>
        <v>46.541569422499876</v>
      </c>
      <c r="AI56" s="4" t="str">
        <f t="shared" si="20"/>
        <v>.</v>
      </c>
      <c r="AJ56" s="4" t="str">
        <f t="shared" si="21"/>
        <v>.</v>
      </c>
      <c r="AK56" s="4">
        <f t="shared" si="22"/>
        <v>16.175570242990485</v>
      </c>
      <c r="AL56" s="4">
        <f t="shared" si="23"/>
        <v>23.041708527777683</v>
      </c>
      <c r="AM56" s="4" t="str">
        <f t="shared" si="24"/>
        <v>.</v>
      </c>
      <c r="AN56" s="4">
        <f t="shared" si="25"/>
        <v>14.963060838780633</v>
      </c>
      <c r="AO56" s="4">
        <f t="shared" si="26"/>
        <v>8.1882341627055037</v>
      </c>
      <c r="AP56" s="4">
        <f t="shared" si="27"/>
        <v>8.4593764617096063</v>
      </c>
      <c r="AQ56" s="4" t="str">
        <f t="shared" si="28"/>
        <v>.</v>
      </c>
      <c r="AR56" s="4" t="str">
        <f t="shared" si="29"/>
        <v>.</v>
      </c>
      <c r="AS56" s="4" t="str">
        <f t="shared" si="30"/>
        <v>.</v>
      </c>
      <c r="AT56" s="4" t="str">
        <f t="shared" si="31"/>
        <v>.</v>
      </c>
      <c r="AU56" s="4" t="str">
        <f t="shared" si="32"/>
        <v>.</v>
      </c>
      <c r="AV56" s="4" t="str">
        <f t="shared" si="33"/>
        <v>.</v>
      </c>
      <c r="AX56" s="1">
        <f t="shared" si="34"/>
        <v>10233421.832664756</v>
      </c>
      <c r="AY56" s="4">
        <f t="shared" si="35"/>
        <v>11.743237585614569</v>
      </c>
    </row>
    <row r="57" spans="1:51" x14ac:dyDescent="0.3">
      <c r="A57" s="4">
        <v>1966</v>
      </c>
      <c r="B57" s="1">
        <v>896896.32937001158</v>
      </c>
      <c r="C57" s="1">
        <v>657946.53330269898</v>
      </c>
      <c r="D57" s="1">
        <v>788192.99063887086</v>
      </c>
      <c r="E57" s="1">
        <v>3675462.740985747</v>
      </c>
      <c r="F57" s="1">
        <v>2489019.1340980483</v>
      </c>
      <c r="G57" s="1">
        <v>678859.40572309552</v>
      </c>
      <c r="H57" s="1">
        <v>17905.568718061142</v>
      </c>
      <c r="I57" s="1">
        <v>815002.00986104063</v>
      </c>
      <c r="J57" s="1">
        <v>2113878.0824754681</v>
      </c>
      <c r="K57" s="1">
        <v>0</v>
      </c>
      <c r="L57" s="1">
        <v>0</v>
      </c>
      <c r="M57" s="1">
        <v>0</v>
      </c>
      <c r="N57" s="1">
        <v>4517172.5855959952</v>
      </c>
      <c r="O57" s="1">
        <v>451061.70501990931</v>
      </c>
      <c r="P57" s="1">
        <v>67305.407661951016</v>
      </c>
      <c r="Q57" s="1"/>
      <c r="R57" s="4">
        <f>'Direct mail readership'!B56</f>
        <v>31.567691370794819</v>
      </c>
      <c r="S57" s="4">
        <v>-9999</v>
      </c>
      <c r="T57" s="4">
        <v>-9999</v>
      </c>
      <c r="U57" s="4">
        <f>'Print newspapers, readership'!B56</f>
        <v>129.61345281826996</v>
      </c>
      <c r="V57" s="4">
        <f>'Print periodical, readership'!B56</f>
        <v>83.71624008735661</v>
      </c>
      <c r="W57" s="4">
        <v>-9999</v>
      </c>
      <c r="X57" s="4">
        <f>'Movie theater viewership'!B57</f>
        <v>78.918999999999997</v>
      </c>
      <c r="Y57" s="4">
        <f>'Radio listenership'!B56</f>
        <v>68.909908340727256</v>
      </c>
      <c r="Z57" s="4">
        <f>'Broadcast television viewership'!B56</f>
        <v>71.931628914860326</v>
      </c>
      <c r="AB57" s="4">
        <v>-9999</v>
      </c>
      <c r="AC57" s="4">
        <v>-9999</v>
      </c>
      <c r="AD57" s="4">
        <v>-9999</v>
      </c>
      <c r="AE57" s="4">
        <v>-9999</v>
      </c>
      <c r="AF57" s="4">
        <v>-9999</v>
      </c>
      <c r="AH57" s="4">
        <f t="shared" si="19"/>
        <v>41.500009605129101</v>
      </c>
      <c r="AI57" s="4" t="str">
        <f t="shared" si="20"/>
        <v>.</v>
      </c>
      <c r="AJ57" s="4" t="str">
        <f t="shared" si="21"/>
        <v>.</v>
      </c>
      <c r="AK57" s="4">
        <f t="shared" si="22"/>
        <v>16.041592999776235</v>
      </c>
      <c r="AL57" s="4">
        <f t="shared" si="23"/>
        <v>23.335259882204554</v>
      </c>
      <c r="AM57" s="4" t="str">
        <f t="shared" si="24"/>
        <v>.</v>
      </c>
      <c r="AN57" s="4">
        <f t="shared" si="25"/>
        <v>13.919349565343065</v>
      </c>
      <c r="AO57" s="4">
        <f t="shared" si="26"/>
        <v>7.9345027819597131</v>
      </c>
      <c r="AP57" s="4">
        <f t="shared" si="27"/>
        <v>8.6944334192533308</v>
      </c>
      <c r="AQ57" s="4" t="str">
        <f t="shared" si="28"/>
        <v>.</v>
      </c>
      <c r="AR57" s="4" t="str">
        <f t="shared" si="29"/>
        <v>.</v>
      </c>
      <c r="AS57" s="4" t="str">
        <f t="shared" si="30"/>
        <v>.</v>
      </c>
      <c r="AT57" s="4" t="str">
        <f t="shared" si="31"/>
        <v>.</v>
      </c>
      <c r="AU57" s="4" t="str">
        <f t="shared" si="32"/>
        <v>.</v>
      </c>
      <c r="AV57" s="4" t="str">
        <f t="shared" si="33"/>
        <v>.</v>
      </c>
      <c r="AX57" s="1">
        <f t="shared" si="34"/>
        <v>10008163.865508378</v>
      </c>
      <c r="AY57" s="4">
        <f t="shared" si="35"/>
        <v>11.653867459366436</v>
      </c>
    </row>
    <row r="58" spans="1:51" x14ac:dyDescent="0.3">
      <c r="A58" s="4">
        <v>1965</v>
      </c>
      <c r="B58" s="1">
        <v>760003.57412143622</v>
      </c>
      <c r="C58" s="1">
        <v>674822.13398427551</v>
      </c>
      <c r="D58" s="1">
        <v>710850.73804170836</v>
      </c>
      <c r="E58" s="1">
        <v>3343802.2798772696</v>
      </c>
      <c r="F58" s="1">
        <v>2326426.0374207203</v>
      </c>
      <c r="G58" s="1">
        <v>633993.9953345469</v>
      </c>
      <c r="H58" s="1">
        <v>17082.999523466042</v>
      </c>
      <c r="I58" s="1">
        <v>741165.81860069407</v>
      </c>
      <c r="J58" s="1">
        <v>1883245.9714579536</v>
      </c>
      <c r="K58" s="1">
        <v>0</v>
      </c>
      <c r="L58" s="1">
        <v>0</v>
      </c>
      <c r="M58" s="1">
        <v>0</v>
      </c>
      <c r="N58" s="1">
        <v>4153126.856701965</v>
      </c>
      <c r="O58" s="1">
        <v>412156.88556115568</v>
      </c>
      <c r="P58" s="1">
        <v>61500.204727309429</v>
      </c>
      <c r="Q58" s="1"/>
      <c r="R58" s="4">
        <f>'Direct mail readership'!B57</f>
        <v>29.292949000824574</v>
      </c>
      <c r="S58" s="4">
        <v>-9999</v>
      </c>
      <c r="T58" s="4">
        <v>-9999</v>
      </c>
      <c r="U58" s="4">
        <f>'Print newspapers, readership'!B57</f>
        <v>130.29520774637783</v>
      </c>
      <c r="V58" s="4">
        <f>'Print periodical, readership'!B57</f>
        <v>83.317869406676792</v>
      </c>
      <c r="W58" s="4">
        <v>-9999</v>
      </c>
      <c r="X58" s="4">
        <f>'Movie theater viewership'!B58</f>
        <v>81.073999999999998</v>
      </c>
      <c r="Y58" s="4">
        <f>'Radio listenership'!B57</f>
        <v>68.324226047171877</v>
      </c>
      <c r="Z58" s="4">
        <f>'Broadcast television viewership'!B57</f>
        <v>70.109133291460566</v>
      </c>
      <c r="AB58" s="4">
        <v>-9999</v>
      </c>
      <c r="AC58" s="4">
        <v>-9999</v>
      </c>
      <c r="AD58" s="4">
        <v>-9999</v>
      </c>
      <c r="AE58" s="4">
        <v>-9999</v>
      </c>
      <c r="AF58" s="4">
        <v>-9999</v>
      </c>
      <c r="AH58" s="4">
        <f t="shared" si="19"/>
        <v>37.896692841549815</v>
      </c>
      <c r="AI58" s="4" t="str">
        <f t="shared" si="20"/>
        <v>.</v>
      </c>
      <c r="AJ58" s="4" t="str">
        <f t="shared" si="21"/>
        <v>.</v>
      </c>
      <c r="AK58" s="4">
        <f t="shared" si="22"/>
        <v>14.51769592568052</v>
      </c>
      <c r="AL58" s="4">
        <f t="shared" si="23"/>
        <v>21.915188760319044</v>
      </c>
      <c r="AM58" s="4" t="str">
        <f t="shared" si="24"/>
        <v>.</v>
      </c>
      <c r="AN58" s="4">
        <f t="shared" si="25"/>
        <v>12.926915911152019</v>
      </c>
      <c r="AO58" s="4">
        <f t="shared" si="26"/>
        <v>7.277519378064885</v>
      </c>
      <c r="AP58" s="4">
        <f t="shared" si="27"/>
        <v>7.947191793396378</v>
      </c>
      <c r="AQ58" s="4" t="str">
        <f t="shared" si="28"/>
        <v>.</v>
      </c>
      <c r="AR58" s="4" t="str">
        <f t="shared" si="29"/>
        <v>.</v>
      </c>
      <c r="AS58" s="4" t="str">
        <f t="shared" si="30"/>
        <v>.</v>
      </c>
      <c r="AT58" s="4" t="str">
        <f t="shared" si="31"/>
        <v>.</v>
      </c>
      <c r="AU58" s="4" t="str">
        <f t="shared" si="32"/>
        <v>.</v>
      </c>
      <c r="AV58" s="4" t="str">
        <f t="shared" si="33"/>
        <v>.</v>
      </c>
      <c r="AX58" s="1">
        <f t="shared" si="34"/>
        <v>9071726.6810015403</v>
      </c>
      <c r="AY58" s="4">
        <f t="shared" si="35"/>
        <v>10.68853881520489</v>
      </c>
    </row>
    <row r="59" spans="1:51" x14ac:dyDescent="0.3">
      <c r="A59" s="4">
        <v>1964</v>
      </c>
      <c r="B59" s="1">
        <v>640886.35178391391</v>
      </c>
      <c r="C59" s="1">
        <v>676774.96018918476</v>
      </c>
      <c r="D59" s="1">
        <v>648582.23905023362</v>
      </c>
      <c r="E59" s="1">
        <v>3112622.0951410644</v>
      </c>
      <c r="F59" s="1">
        <v>2155275.4093393222</v>
      </c>
      <c r="G59" s="1">
        <v>600402.2716026851</v>
      </c>
      <c r="H59" s="1">
        <v>15246.907571244841</v>
      </c>
      <c r="I59" s="1">
        <v>672002.80400239478</v>
      </c>
      <c r="J59" s="1">
        <v>1714015.9159710757</v>
      </c>
      <c r="K59" s="1">
        <v>0</v>
      </c>
      <c r="L59" s="1">
        <v>0</v>
      </c>
      <c r="M59" s="1">
        <v>0</v>
      </c>
      <c r="N59" s="1">
        <v>3863107.1514800452</v>
      </c>
      <c r="O59" s="1">
        <v>381004.35934896494</v>
      </c>
      <c r="P59" s="1">
        <v>56851.764274315159</v>
      </c>
      <c r="Q59" s="1"/>
      <c r="R59" s="4">
        <f>'Direct mail readership'!B58</f>
        <v>28.723408615143626</v>
      </c>
      <c r="S59" s="4">
        <v>-9999</v>
      </c>
      <c r="T59" s="4">
        <v>-9999</v>
      </c>
      <c r="U59" s="4">
        <f>'Print newspapers, readership'!B58</f>
        <v>131.77415169868354</v>
      </c>
      <c r="V59" s="4">
        <f>'Print periodical, readership'!B58</f>
        <v>82.921394405963838</v>
      </c>
      <c r="W59" s="4">
        <v>-9999</v>
      </c>
      <c r="X59" s="4">
        <f>'Movie theater viewership'!B59</f>
        <v>78.067999999999998</v>
      </c>
      <c r="Y59" s="4">
        <f>'Radio listenership'!B58</f>
        <v>67.679007370066799</v>
      </c>
      <c r="Z59" s="4">
        <f>'Broadcast television viewership'!B58</f>
        <v>69.455356380574671</v>
      </c>
      <c r="AB59" s="4">
        <v>-9999</v>
      </c>
      <c r="AC59" s="4">
        <v>-9999</v>
      </c>
      <c r="AD59" s="4">
        <v>-9999</v>
      </c>
      <c r="AE59" s="4">
        <v>-9999</v>
      </c>
      <c r="AF59" s="4">
        <v>-9999</v>
      </c>
      <c r="AH59" s="4">
        <f t="shared" si="19"/>
        <v>32.590709793926706</v>
      </c>
      <c r="AI59" s="4" t="str">
        <f t="shared" si="20"/>
        <v>.</v>
      </c>
      <c r="AJ59" s="4" t="str">
        <f t="shared" si="21"/>
        <v>.</v>
      </c>
      <c r="AK59" s="4">
        <f t="shared" si="22"/>
        <v>13.362315318145082</v>
      </c>
      <c r="AL59" s="4">
        <f t="shared" si="23"/>
        <v>20.400006171539694</v>
      </c>
      <c r="AM59" s="4" t="str">
        <f t="shared" si="24"/>
        <v>.</v>
      </c>
      <c r="AN59" s="4">
        <f t="shared" si="25"/>
        <v>11.981773614417667</v>
      </c>
      <c r="AO59" s="4">
        <f t="shared" si="26"/>
        <v>6.6613125919641485</v>
      </c>
      <c r="AP59" s="4">
        <f t="shared" si="27"/>
        <v>7.3011345452057261</v>
      </c>
      <c r="AQ59" s="4" t="str">
        <f t="shared" si="28"/>
        <v>.</v>
      </c>
      <c r="AR59" s="4" t="str">
        <f t="shared" si="29"/>
        <v>.</v>
      </c>
      <c r="AS59" s="4" t="str">
        <f t="shared" si="30"/>
        <v>.</v>
      </c>
      <c r="AT59" s="4" t="str">
        <f t="shared" si="31"/>
        <v>.</v>
      </c>
      <c r="AU59" s="4" t="str">
        <f t="shared" si="32"/>
        <v>.</v>
      </c>
      <c r="AV59" s="4" t="str">
        <f t="shared" si="33"/>
        <v>.</v>
      </c>
      <c r="AX59" s="1">
        <f t="shared" si="34"/>
        <v>8310049.4838090157</v>
      </c>
      <c r="AY59" s="4">
        <f t="shared" si="35"/>
        <v>9.8046477640674325</v>
      </c>
    </row>
    <row r="60" spans="1:51" x14ac:dyDescent="0.3">
      <c r="A60" s="4">
        <v>1963</v>
      </c>
      <c r="B60" s="1">
        <v>547170.67049244209</v>
      </c>
      <c r="C60" s="1">
        <v>677966.84540275158</v>
      </c>
      <c r="D60" s="1">
        <v>591497.60829939367</v>
      </c>
      <c r="E60" s="1">
        <v>2855755.2232119474</v>
      </c>
      <c r="F60" s="1">
        <v>2057475.0504356662</v>
      </c>
      <c r="G60" s="1">
        <v>564903.43599528098</v>
      </c>
      <c r="H60" s="1">
        <v>15114.708950684917</v>
      </c>
      <c r="I60" s="1">
        <v>626205.67271433177</v>
      </c>
      <c r="J60" s="1">
        <v>1521572.8882713963</v>
      </c>
      <c r="K60" s="1">
        <v>0</v>
      </c>
      <c r="L60" s="1">
        <v>0</v>
      </c>
      <c r="M60" s="1">
        <v>0</v>
      </c>
      <c r="N60" s="1">
        <v>3591799.9516616007</v>
      </c>
      <c r="O60" s="1">
        <v>352045.3709770767</v>
      </c>
      <c r="P60" s="1">
        <v>52530.633714668984</v>
      </c>
      <c r="Q60" s="1"/>
      <c r="R60" s="4">
        <f>'Direct mail readership'!B59</f>
        <v>28.014872346316633</v>
      </c>
      <c r="S60" s="4">
        <v>-9999</v>
      </c>
      <c r="T60" s="4">
        <v>-9999</v>
      </c>
      <c r="U60" s="4">
        <f>'Print newspapers, readership'!B59</f>
        <v>134.05041707445812</v>
      </c>
      <c r="V60" s="4">
        <f>'Print periodical, readership'!B59</f>
        <v>82.526806064466797</v>
      </c>
      <c r="W60" s="4">
        <v>-9999</v>
      </c>
      <c r="X60" s="4">
        <f>'Movie theater viewership'!B60</f>
        <v>83.668000000000006</v>
      </c>
      <c r="Y60" s="4">
        <f>'Radio listenership'!B59</f>
        <v>66.946845181624482</v>
      </c>
      <c r="Z60" s="4">
        <f>'Broadcast television viewership'!B59</f>
        <v>67.231688680436321</v>
      </c>
      <c r="AB60" s="4">
        <v>-9999</v>
      </c>
      <c r="AC60" s="4">
        <v>-9999</v>
      </c>
      <c r="AD60" s="4">
        <v>-9999</v>
      </c>
      <c r="AE60" s="4">
        <v>-9999</v>
      </c>
      <c r="AF60" s="4">
        <v>-9999</v>
      </c>
      <c r="AH60" s="4">
        <f t="shared" si="19"/>
        <v>28.528762587778871</v>
      </c>
      <c r="AI60" s="4" t="str">
        <f t="shared" si="20"/>
        <v>.</v>
      </c>
      <c r="AJ60" s="4" t="str">
        <f t="shared" si="21"/>
        <v>.</v>
      </c>
      <c r="AK60" s="4">
        <f t="shared" si="22"/>
        <v>12.051423802376089</v>
      </c>
      <c r="AL60" s="4">
        <f t="shared" si="23"/>
        <v>19.567424266499813</v>
      </c>
      <c r="AM60" s="4" t="str">
        <f t="shared" si="24"/>
        <v>.</v>
      </c>
      <c r="AN60" s="4">
        <f t="shared" si="25"/>
        <v>11.082884229463248</v>
      </c>
      <c r="AO60" s="4">
        <f t="shared" si="26"/>
        <v>6.275229169147039</v>
      </c>
      <c r="AP60" s="4">
        <f t="shared" si="27"/>
        <v>6.6957616708331518</v>
      </c>
      <c r="AQ60" s="4" t="str">
        <f t="shared" si="28"/>
        <v>.</v>
      </c>
      <c r="AR60" s="4" t="str">
        <f t="shared" si="29"/>
        <v>.</v>
      </c>
      <c r="AS60" s="4" t="str">
        <f t="shared" si="30"/>
        <v>.</v>
      </c>
      <c r="AT60" s="4" t="str">
        <f t="shared" si="31"/>
        <v>.</v>
      </c>
      <c r="AU60" s="4" t="str">
        <f t="shared" si="32"/>
        <v>.</v>
      </c>
      <c r="AV60" s="4" t="str">
        <f t="shared" si="33"/>
        <v>.</v>
      </c>
      <c r="AX60" s="1">
        <f t="shared" si="34"/>
        <v>7623294.2140764697</v>
      </c>
      <c r="AY60" s="4">
        <f t="shared" si="35"/>
        <v>9.0308429652390796</v>
      </c>
    </row>
    <row r="61" spans="1:51" x14ac:dyDescent="0.3">
      <c r="A61" s="4">
        <v>1962</v>
      </c>
      <c r="B61" s="1">
        <v>543942.83293144288</v>
      </c>
      <c r="C61" s="1">
        <v>642887.0754672538</v>
      </c>
      <c r="D61" s="1">
        <v>551095.02534063894</v>
      </c>
      <c r="E61" s="1">
        <v>2764340.8364371732</v>
      </c>
      <c r="F61" s="1">
        <v>1960897.1960183056</v>
      </c>
      <c r="G61" s="1">
        <v>535548.3975059212</v>
      </c>
      <c r="H61" s="1">
        <v>15173.463893155995</v>
      </c>
      <c r="I61" s="1">
        <v>586016.35342072544</v>
      </c>
      <c r="J61" s="1">
        <v>1420484.1383124206</v>
      </c>
      <c r="K61" s="1">
        <v>0</v>
      </c>
      <c r="L61" s="1">
        <v>0</v>
      </c>
      <c r="M61" s="1">
        <v>0</v>
      </c>
      <c r="N61" s="1">
        <v>3486452.2303179037</v>
      </c>
      <c r="O61" s="1">
        <v>335524.97978773084</v>
      </c>
      <c r="P61" s="1">
        <v>50065.534923618332</v>
      </c>
      <c r="Q61" s="1"/>
      <c r="R61" s="4">
        <f>'Direct mail readership'!B60</f>
        <v>27.858624269018311</v>
      </c>
      <c r="S61" s="4">
        <v>-9999</v>
      </c>
      <c r="T61" s="4">
        <v>-9999</v>
      </c>
      <c r="U61" s="4">
        <f>'Print newspapers, readership'!B60</f>
        <v>134.39672435410279</v>
      </c>
      <c r="V61" s="4">
        <f>'Print periodical, readership'!B60</f>
        <v>81.214660806422259</v>
      </c>
      <c r="W61" s="4">
        <v>-9999</v>
      </c>
      <c r="X61" s="4">
        <f>'Movie theater viewership'!B61</f>
        <v>87.085999999999999</v>
      </c>
      <c r="Y61" s="4">
        <f>'Radio listenership'!B60</f>
        <v>66.189422042765372</v>
      </c>
      <c r="Z61" s="4">
        <f>'Broadcast television viewership'!B60</f>
        <v>66.209456832433588</v>
      </c>
      <c r="AB61" s="4">
        <v>-9999</v>
      </c>
      <c r="AC61" s="4">
        <v>-9999</v>
      </c>
      <c r="AD61" s="4">
        <v>-9999</v>
      </c>
      <c r="AE61" s="4">
        <v>-9999</v>
      </c>
      <c r="AF61" s="4">
        <v>-9999</v>
      </c>
      <c r="AH61" s="4">
        <f t="shared" si="19"/>
        <v>28.519530080170217</v>
      </c>
      <c r="AI61" s="4" t="str">
        <f t="shared" si="20"/>
        <v>.</v>
      </c>
      <c r="AJ61" s="4" t="str">
        <f t="shared" si="21"/>
        <v>.</v>
      </c>
      <c r="AK61" s="4">
        <f t="shared" si="22"/>
        <v>11.635591201782256</v>
      </c>
      <c r="AL61" s="4">
        <f t="shared" si="23"/>
        <v>18.950231170752446</v>
      </c>
      <c r="AM61" s="4" t="str">
        <f t="shared" si="24"/>
        <v>.</v>
      </c>
      <c r="AN61" s="4">
        <f t="shared" si="25"/>
        <v>10.689288237011038</v>
      </c>
      <c r="AO61" s="4">
        <f t="shared" si="26"/>
        <v>5.9396910503505875</v>
      </c>
      <c r="AP61" s="4">
        <f t="shared" si="27"/>
        <v>6.3474254513220831</v>
      </c>
      <c r="AQ61" s="4" t="str">
        <f t="shared" si="28"/>
        <v>.</v>
      </c>
      <c r="AR61" s="4" t="str">
        <f t="shared" si="29"/>
        <v>.</v>
      </c>
      <c r="AS61" s="4" t="str">
        <f t="shared" si="30"/>
        <v>.</v>
      </c>
      <c r="AT61" s="4" t="str">
        <f t="shared" si="31"/>
        <v>.</v>
      </c>
      <c r="AU61" s="4" t="str">
        <f t="shared" si="32"/>
        <v>.</v>
      </c>
      <c r="AV61" s="4" t="str">
        <f t="shared" si="33"/>
        <v>.</v>
      </c>
      <c r="AX61" s="1">
        <f t="shared" si="34"/>
        <v>7290854.8210132234</v>
      </c>
      <c r="AY61" s="4">
        <f t="shared" si="35"/>
        <v>8.7030676313000033</v>
      </c>
    </row>
    <row r="62" spans="1:51" x14ac:dyDescent="0.3">
      <c r="A62" s="4">
        <v>1961</v>
      </c>
      <c r="B62" s="1">
        <v>556336.13743694744</v>
      </c>
      <c r="C62" s="1">
        <v>626557.48102385632</v>
      </c>
      <c r="D62" s="1">
        <v>514099.25501185056</v>
      </c>
      <c r="E62" s="1">
        <v>2720522.3700492652</v>
      </c>
      <c r="F62" s="1">
        <v>1888919.8273093561</v>
      </c>
      <c r="G62" s="1">
        <v>512638.91434276139</v>
      </c>
      <c r="H62" s="1">
        <v>15335.03998495146</v>
      </c>
      <c r="I62" s="1">
        <v>545827.034127119</v>
      </c>
      <c r="J62" s="1">
        <v>1266230.1939305766</v>
      </c>
      <c r="K62" s="1">
        <v>0</v>
      </c>
      <c r="L62" s="1">
        <v>0</v>
      </c>
      <c r="M62" s="1">
        <v>0</v>
      </c>
      <c r="N62" s="1">
        <v>3391744.7327276063</v>
      </c>
      <c r="O62" s="1">
        <v>320182.849646391</v>
      </c>
      <c r="P62" s="1">
        <v>47776.25096961917</v>
      </c>
      <c r="Q62" s="1"/>
      <c r="R62" s="4">
        <f>'Direct mail readership'!B61</f>
        <v>26.503552618093245</v>
      </c>
      <c r="S62" s="4">
        <v>-9999</v>
      </c>
      <c r="T62" s="4">
        <v>-9999</v>
      </c>
      <c r="U62" s="4">
        <f>'Print newspapers, readership'!B61</f>
        <v>134.75450985416489</v>
      </c>
      <c r="V62" s="4">
        <f>'Print periodical, readership'!B61</f>
        <v>79.923378165754002</v>
      </c>
      <c r="W62" s="4">
        <v>-9999</v>
      </c>
      <c r="X62" s="4">
        <f>'Movie theater viewership'!B62</f>
        <v>91.847999999999999</v>
      </c>
      <c r="Y62" s="4">
        <f>'Radio listenership'!B61</f>
        <v>65.375923574407977</v>
      </c>
      <c r="Z62" s="4">
        <f>'Broadcast television viewership'!B61</f>
        <v>62.907568362540317</v>
      </c>
      <c r="AB62" s="4">
        <v>-9999</v>
      </c>
      <c r="AC62" s="4">
        <v>-9999</v>
      </c>
      <c r="AD62" s="4">
        <v>-9999</v>
      </c>
      <c r="AE62" s="4">
        <v>-9999</v>
      </c>
      <c r="AF62" s="4">
        <v>-9999</v>
      </c>
      <c r="AH62" s="4">
        <f t="shared" si="19"/>
        <v>30.660691928274048</v>
      </c>
      <c r="AI62" s="4" t="str">
        <f t="shared" si="20"/>
        <v>.</v>
      </c>
      <c r="AJ62" s="4" t="str">
        <f t="shared" si="21"/>
        <v>.</v>
      </c>
      <c r="AK62" s="4">
        <f t="shared" si="22"/>
        <v>11.420747807397163</v>
      </c>
      <c r="AL62" s="4">
        <f t="shared" si="23"/>
        <v>18.54956863299461</v>
      </c>
      <c r="AM62" s="4" t="str">
        <f t="shared" si="24"/>
        <v>.</v>
      </c>
      <c r="AN62" s="4">
        <f t="shared" si="25"/>
        <v>10.243010180698292</v>
      </c>
      <c r="AO62" s="4">
        <f t="shared" si="26"/>
        <v>5.6011849589812526</v>
      </c>
      <c r="AP62" s="4">
        <f t="shared" si="27"/>
        <v>5.9551267898993778</v>
      </c>
      <c r="AQ62" s="4" t="str">
        <f t="shared" si="28"/>
        <v>.</v>
      </c>
      <c r="AR62" s="4" t="str">
        <f t="shared" si="29"/>
        <v>.</v>
      </c>
      <c r="AS62" s="4" t="str">
        <f t="shared" si="30"/>
        <v>.</v>
      </c>
      <c r="AT62" s="4" t="str">
        <f t="shared" si="31"/>
        <v>.</v>
      </c>
      <c r="AU62" s="4" t="str">
        <f t="shared" si="32"/>
        <v>.</v>
      </c>
      <c r="AV62" s="4" t="str">
        <f t="shared" si="33"/>
        <v>.</v>
      </c>
      <c r="AX62" s="1">
        <f t="shared" si="34"/>
        <v>6993170.6028382163</v>
      </c>
      <c r="AY62" s="4">
        <f t="shared" si="35"/>
        <v>8.4960013552991605</v>
      </c>
    </row>
    <row r="63" spans="1:51" x14ac:dyDescent="0.3">
      <c r="A63" s="4">
        <v>1960</v>
      </c>
      <c r="B63" s="1">
        <v>588112.9872994296</v>
      </c>
      <c r="C63" s="1">
        <v>630434.28688787983</v>
      </c>
      <c r="D63" s="1">
        <v>506643.86976952618</v>
      </c>
      <c r="E63" s="1">
        <v>2780961.6340325866</v>
      </c>
      <c r="F63" s="1">
        <v>1948661.4085851703</v>
      </c>
      <c r="G63" s="1">
        <v>483658.05603151442</v>
      </c>
      <c r="H63" s="1">
        <v>15349.728720569228</v>
      </c>
      <c r="I63" s="1">
        <v>558911.9287808513</v>
      </c>
      <c r="J63" s="1">
        <v>1218306.6383944689</v>
      </c>
      <c r="K63" s="1">
        <v>0</v>
      </c>
      <c r="L63" s="1">
        <v>0</v>
      </c>
      <c r="M63" s="1">
        <v>0</v>
      </c>
      <c r="N63" s="1">
        <v>3488731.8373573269</v>
      </c>
      <c r="O63" s="1">
        <v>322779.99170451675</v>
      </c>
      <c r="P63" s="1">
        <v>48163.78487691559</v>
      </c>
      <c r="Q63" s="1"/>
      <c r="R63" s="4">
        <f>'Direct mail readership'!B62</f>
        <v>27.643998548192648</v>
      </c>
      <c r="S63" s="4">
        <v>-9999</v>
      </c>
      <c r="T63" s="4">
        <v>-9999</v>
      </c>
      <c r="U63" s="4">
        <f>'Print newspapers, readership'!B62</f>
        <v>137.6069819913163</v>
      </c>
      <c r="V63" s="4">
        <f>'Print periodical, readership'!B62</f>
        <v>79.518001317346531</v>
      </c>
      <c r="W63" s="4">
        <v>-9999</v>
      </c>
      <c r="X63" s="4">
        <f>'Movie theater viewership'!B63</f>
        <v>96.652000000000001</v>
      </c>
      <c r="Y63" s="4">
        <f>'Radio listenership'!B62</f>
        <v>64.495155351012642</v>
      </c>
      <c r="Z63" s="4">
        <f>'Broadcast television viewership'!B62</f>
        <v>60.620701893988297</v>
      </c>
      <c r="AB63" s="4">
        <v>-9999</v>
      </c>
      <c r="AC63" s="4">
        <v>-9999</v>
      </c>
      <c r="AD63" s="4">
        <v>-9999</v>
      </c>
      <c r="AE63" s="4">
        <v>-9999</v>
      </c>
      <c r="AF63" s="4">
        <v>-9999</v>
      </c>
      <c r="AH63" s="4">
        <f t="shared" si="19"/>
        <v>31.074824250607342</v>
      </c>
      <c r="AI63" s="4" t="str">
        <f t="shared" si="20"/>
        <v>.</v>
      </c>
      <c r="AJ63" s="4" t="str">
        <f t="shared" si="21"/>
        <v>.</v>
      </c>
      <c r="AK63" s="4">
        <f t="shared" si="22"/>
        <v>11.432470156979885</v>
      </c>
      <c r="AL63" s="4">
        <f t="shared" si="23"/>
        <v>19.23379799159801</v>
      </c>
      <c r="AM63" s="4" t="str">
        <f t="shared" si="24"/>
        <v>.</v>
      </c>
      <c r="AN63" s="4">
        <f t="shared" si="25"/>
        <v>9.7432142997680309</v>
      </c>
      <c r="AO63" s="4">
        <f t="shared" si="26"/>
        <v>5.81378537221884</v>
      </c>
      <c r="AP63" s="4">
        <f t="shared" si="27"/>
        <v>5.9458903431343968</v>
      </c>
      <c r="AQ63" s="4" t="str">
        <f t="shared" si="28"/>
        <v>.</v>
      </c>
      <c r="AR63" s="4" t="str">
        <f t="shared" si="29"/>
        <v>.</v>
      </c>
      <c r="AS63" s="4" t="str">
        <f t="shared" si="30"/>
        <v>.</v>
      </c>
      <c r="AT63" s="4" t="str">
        <f t="shared" si="31"/>
        <v>.</v>
      </c>
      <c r="AU63" s="4" t="str">
        <f t="shared" si="32"/>
        <v>.</v>
      </c>
      <c r="AV63" s="4" t="str">
        <f t="shared" si="33"/>
        <v>.</v>
      </c>
      <c r="AX63" s="1">
        <f t="shared" si="34"/>
        <v>7110304.3258130755</v>
      </c>
      <c r="AY63" s="4">
        <f t="shared" si="35"/>
        <v>8.614756063412095</v>
      </c>
    </row>
    <row r="64" spans="1:51" x14ac:dyDescent="0.3">
      <c r="A64" s="4">
        <v>1959</v>
      </c>
      <c r="B64" s="1">
        <v>579730.64799623087</v>
      </c>
      <c r="C64" s="1">
        <v>590795.35917621816</v>
      </c>
      <c r="D64" s="1">
        <v>465650.58328168094</v>
      </c>
      <c r="E64" s="1">
        <v>2663860.5600649007</v>
      </c>
      <c r="F64" s="1">
        <v>1799526.603827273</v>
      </c>
      <c r="G64" s="1">
        <v>443427.65172023315</v>
      </c>
      <c r="H64" s="1">
        <v>15349.728720569228</v>
      </c>
      <c r="I64" s="1">
        <v>521688.50557726994</v>
      </c>
      <c r="J64" s="1">
        <v>1144923.6939798056</v>
      </c>
      <c r="K64" s="1">
        <v>0</v>
      </c>
      <c r="L64" s="1">
        <v>0</v>
      </c>
      <c r="M64" s="1">
        <v>0</v>
      </c>
      <c r="N64" s="1">
        <v>3344158.8965413561</v>
      </c>
      <c r="O64" s="1">
        <v>303470.64524037519</v>
      </c>
      <c r="P64" s="1">
        <v>45282.530669362022</v>
      </c>
      <c r="Q64" s="1"/>
      <c r="R64" s="4">
        <f>'Direct mail readership'!B63</f>
        <v>25.905452968805648</v>
      </c>
      <c r="S64" s="4">
        <v>-9999</v>
      </c>
      <c r="T64" s="4">
        <v>-9999</v>
      </c>
      <c r="U64" s="4">
        <f>'Print newspapers, readership'!B63</f>
        <v>140.77545186969169</v>
      </c>
      <c r="V64" s="4">
        <f>'Print periodical, readership'!B63</f>
        <v>79.114680568080345</v>
      </c>
      <c r="W64" s="4">
        <v>-9999</v>
      </c>
      <c r="X64" s="4">
        <f>'Movie theater viewership'!B64</f>
        <v>102.76</v>
      </c>
      <c r="Y64" s="4">
        <f>'Radio listenership'!B63</f>
        <v>63.672567038052918</v>
      </c>
      <c r="Z64" s="4">
        <f>'Broadcast television viewership'!B63</f>
        <v>53.577502520633779</v>
      </c>
      <c r="AB64" s="4">
        <v>-9999</v>
      </c>
      <c r="AC64" s="4">
        <v>-9999</v>
      </c>
      <c r="AD64" s="4">
        <v>-9999</v>
      </c>
      <c r="AE64" s="4">
        <v>-9999</v>
      </c>
      <c r="AF64" s="4">
        <v>-9999</v>
      </c>
      <c r="AH64" s="4">
        <f t="shared" si="19"/>
        <v>32.687660780069436</v>
      </c>
      <c r="AI64" s="4" t="str">
        <f t="shared" si="20"/>
        <v>.</v>
      </c>
      <c r="AJ64" s="4" t="str">
        <f t="shared" si="21"/>
        <v>.</v>
      </c>
      <c r="AK64" s="4">
        <f t="shared" si="22"/>
        <v>10.704591699148965</v>
      </c>
      <c r="AL64" s="4">
        <f t="shared" si="23"/>
        <v>17.852346771483692</v>
      </c>
      <c r="AM64" s="4" t="str">
        <f t="shared" si="24"/>
        <v>.</v>
      </c>
      <c r="AN64" s="4">
        <f t="shared" si="25"/>
        <v>9.1640827997389991</v>
      </c>
      <c r="AO64" s="4">
        <f t="shared" si="26"/>
        <v>5.4966947257238692</v>
      </c>
      <c r="AP64" s="4">
        <f t="shared" si="27"/>
        <v>6.3223032513356507</v>
      </c>
      <c r="AQ64" s="4" t="str">
        <f t="shared" si="28"/>
        <v>.</v>
      </c>
      <c r="AR64" s="4" t="str">
        <f t="shared" si="29"/>
        <v>.</v>
      </c>
      <c r="AS64" s="4" t="str">
        <f t="shared" si="30"/>
        <v>.</v>
      </c>
      <c r="AT64" s="4" t="str">
        <f t="shared" si="31"/>
        <v>.</v>
      </c>
      <c r="AU64" s="4" t="str">
        <f t="shared" si="32"/>
        <v>.</v>
      </c>
      <c r="AV64" s="4" t="str">
        <f t="shared" si="33"/>
        <v>.</v>
      </c>
      <c r="AX64" s="1">
        <f t="shared" si="34"/>
        <v>6725079.7401660495</v>
      </c>
      <c r="AY64" s="4">
        <f t="shared" si="35"/>
        <v>8.3114553637978155</v>
      </c>
    </row>
    <row r="65" spans="1:51" x14ac:dyDescent="0.3">
      <c r="A65" s="4">
        <v>1958</v>
      </c>
      <c r="B65" s="1">
        <v>583205.82502450503</v>
      </c>
      <c r="C65" s="1">
        <v>564286.67248516658</v>
      </c>
      <c r="D65" s="1">
        <v>413263.42590678239</v>
      </c>
      <c r="E65" s="1">
        <v>2399438.7801378686</v>
      </c>
      <c r="F65" s="1">
        <v>1621040.9488281005</v>
      </c>
      <c r="G65" s="1">
        <v>420035.35542402469</v>
      </c>
      <c r="H65" s="1">
        <v>13798.549498430257</v>
      </c>
      <c r="I65" s="1">
        <v>494545.77838847716</v>
      </c>
      <c r="J65" s="1">
        <v>1038593.3051340682</v>
      </c>
      <c r="K65" s="1">
        <v>0</v>
      </c>
      <c r="L65" s="1">
        <v>0</v>
      </c>
      <c r="M65" s="1">
        <v>0</v>
      </c>
      <c r="N65" s="1">
        <v>3082136.8964161798</v>
      </c>
      <c r="O65" s="1">
        <v>275509.27966679749</v>
      </c>
      <c r="P65" s="1">
        <v>41110.260916088635</v>
      </c>
      <c r="Q65" s="1"/>
      <c r="R65" s="4">
        <f>'Direct mail readership'!B64</f>
        <v>25.139232578707453</v>
      </c>
      <c r="S65" s="4">
        <v>-9999</v>
      </c>
      <c r="T65" s="4">
        <v>-9999</v>
      </c>
      <c r="U65" s="4">
        <f>'Print newspapers, readership'!B64</f>
        <v>142.52435765334508</v>
      </c>
      <c r="V65" s="4">
        <f>'Print periodical, readership'!B64</f>
        <v>78.713405489280035</v>
      </c>
      <c r="W65" s="4">
        <v>-9999</v>
      </c>
      <c r="X65" s="4">
        <f>'Movie theater viewership'!B65</f>
        <v>106.40701461377871</v>
      </c>
      <c r="Y65" s="4">
        <f>'Radio listenership'!B64</f>
        <v>62.805999038003236</v>
      </c>
      <c r="Z65" s="4">
        <f>'Broadcast television viewership'!B64</f>
        <v>48.528628619393587</v>
      </c>
      <c r="AB65" s="4">
        <v>-9999</v>
      </c>
      <c r="AC65" s="4">
        <v>-9999</v>
      </c>
      <c r="AD65" s="4">
        <v>-9999</v>
      </c>
      <c r="AE65" s="4">
        <v>-9999</v>
      </c>
      <c r="AF65" s="4">
        <v>-9999</v>
      </c>
      <c r="AH65" s="4">
        <f t="shared" si="19"/>
        <v>33.885867603854287</v>
      </c>
      <c r="AI65" s="4" t="str">
        <f t="shared" si="20"/>
        <v>.</v>
      </c>
      <c r="AJ65" s="4" t="str">
        <f t="shared" si="21"/>
        <v>.</v>
      </c>
      <c r="AK65" s="4">
        <f t="shared" si="22"/>
        <v>9.5237092935624119</v>
      </c>
      <c r="AL65" s="4">
        <f t="shared" si="23"/>
        <v>16.163648771597487</v>
      </c>
      <c r="AM65" s="4" t="str">
        <f t="shared" si="24"/>
        <v>.</v>
      </c>
      <c r="AN65" s="4">
        <f t="shared" si="25"/>
        <v>7.9556482447838768</v>
      </c>
      <c r="AO65" s="4">
        <f t="shared" si="26"/>
        <v>5.2826042930448374</v>
      </c>
      <c r="AP65" s="4">
        <f t="shared" si="27"/>
        <v>6.3318226995257998</v>
      </c>
      <c r="AQ65" s="4" t="str">
        <f t="shared" si="28"/>
        <v>.</v>
      </c>
      <c r="AR65" s="4" t="str">
        <f t="shared" si="29"/>
        <v>.</v>
      </c>
      <c r="AS65" s="4" t="str">
        <f t="shared" si="30"/>
        <v>.</v>
      </c>
      <c r="AT65" s="4" t="str">
        <f t="shared" si="31"/>
        <v>.</v>
      </c>
      <c r="AU65" s="4" t="str">
        <f t="shared" si="32"/>
        <v>.</v>
      </c>
      <c r="AV65" s="4" t="str">
        <f t="shared" si="33"/>
        <v>.</v>
      </c>
      <c r="AX65" s="1">
        <f t="shared" si="34"/>
        <v>6150623.1870114496</v>
      </c>
      <c r="AY65" s="4">
        <f t="shared" si="35"/>
        <v>7.7316422591371143</v>
      </c>
    </row>
    <row r="66" spans="1:51" x14ac:dyDescent="0.3">
      <c r="A66" s="4">
        <v>1957</v>
      </c>
      <c r="B66" s="1">
        <v>539808.90524706955</v>
      </c>
      <c r="C66" s="1">
        <v>522297.54547964351</v>
      </c>
      <c r="D66" s="1">
        <v>427872.42359242472</v>
      </c>
      <c r="E66" s="1">
        <v>2468943.9337186883</v>
      </c>
      <c r="F66" s="1">
        <v>1731066.3525947137</v>
      </c>
      <c r="G66" s="1">
        <v>382544.91564279475</v>
      </c>
      <c r="H66" s="1">
        <v>12247.370276291284</v>
      </c>
      <c r="I66" s="1">
        <v>489382.57913994178</v>
      </c>
      <c r="J66" s="1">
        <v>962963.94405364955</v>
      </c>
      <c r="K66" s="1">
        <v>0</v>
      </c>
      <c r="L66" s="1">
        <v>0</v>
      </c>
      <c r="M66" s="1">
        <v>0</v>
      </c>
      <c r="N66" s="1">
        <v>2884185.9678491</v>
      </c>
      <c r="O66" s="1">
        <v>278238.7860043922</v>
      </c>
      <c r="P66" s="1">
        <v>41517.545628408829</v>
      </c>
      <c r="Q66" s="1"/>
      <c r="R66" s="4">
        <f>'Direct mail readership'!B65</f>
        <v>24.129993503484258</v>
      </c>
      <c r="S66" s="4">
        <v>-9999</v>
      </c>
      <c r="T66" s="4">
        <v>-9999</v>
      </c>
      <c r="U66" s="4">
        <f>'Print newspapers, readership'!B65</f>
        <v>147.44392987855662</v>
      </c>
      <c r="V66" s="4">
        <f>'Print periodical, readership'!B65</f>
        <v>82.469903687626612</v>
      </c>
      <c r="W66" s="4">
        <v>-9999</v>
      </c>
      <c r="X66" s="4">
        <f>'Movie theater viewership'!B66</f>
        <v>129.40772442588727</v>
      </c>
      <c r="Y66" s="4">
        <f>'Radio listenership'!B65</f>
        <v>61.9516315535977</v>
      </c>
      <c r="Z66" s="4">
        <f>'Broadcast television viewership'!B65</f>
        <v>43.713623003116624</v>
      </c>
      <c r="AB66" s="4">
        <v>-9999</v>
      </c>
      <c r="AC66" s="4">
        <v>-9999</v>
      </c>
      <c r="AD66" s="4">
        <v>-9999</v>
      </c>
      <c r="AE66" s="4">
        <v>-9999</v>
      </c>
      <c r="AF66" s="4">
        <v>-9999</v>
      </c>
      <c r="AH66" s="4">
        <f t="shared" si="19"/>
        <v>32.676205029437874</v>
      </c>
      <c r="AI66" s="4" t="str">
        <f t="shared" si="20"/>
        <v>.</v>
      </c>
      <c r="AJ66" s="4" t="str">
        <f t="shared" si="21"/>
        <v>.</v>
      </c>
      <c r="AK66" s="4">
        <f t="shared" si="22"/>
        <v>9.4726148377530013</v>
      </c>
      <c r="AL66" s="4">
        <f t="shared" si="23"/>
        <v>16.474504036702793</v>
      </c>
      <c r="AM66" s="4" t="str">
        <f t="shared" si="24"/>
        <v>.</v>
      </c>
      <c r="AN66" s="4">
        <f t="shared" si="25"/>
        <v>5.8062408014812021</v>
      </c>
      <c r="AO66" s="4">
        <f t="shared" si="26"/>
        <v>5.2995435606276526</v>
      </c>
      <c r="AP66" s="4">
        <f t="shared" si="27"/>
        <v>6.517401393989231</v>
      </c>
      <c r="AQ66" s="4" t="str">
        <f t="shared" si="28"/>
        <v>.</v>
      </c>
      <c r="AR66" s="4" t="str">
        <f t="shared" si="29"/>
        <v>.</v>
      </c>
      <c r="AS66" s="4" t="str">
        <f t="shared" si="30"/>
        <v>.</v>
      </c>
      <c r="AT66" s="4" t="str">
        <f t="shared" si="31"/>
        <v>.</v>
      </c>
      <c r="AU66" s="4" t="str">
        <f t="shared" si="32"/>
        <v>.</v>
      </c>
      <c r="AV66" s="4" t="str">
        <f t="shared" si="33"/>
        <v>.</v>
      </c>
      <c r="AX66" s="1">
        <f t="shared" si="34"/>
        <v>6204413.0850303536</v>
      </c>
      <c r="AY66" s="4">
        <f t="shared" si="35"/>
        <v>7.7627501967817576</v>
      </c>
    </row>
    <row r="67" spans="1:51" x14ac:dyDescent="0.3">
      <c r="A67" s="4">
        <v>1956</v>
      </c>
      <c r="B67" s="1">
        <v>542196.25836177939</v>
      </c>
      <c r="C67" s="1">
        <v>524607.45304116374</v>
      </c>
      <c r="D67" s="1">
        <v>418790.79387645435</v>
      </c>
      <c r="E67" s="1">
        <v>2434946.8477280699</v>
      </c>
      <c r="F67" s="1">
        <v>1622263.4533143963</v>
      </c>
      <c r="G67" s="1">
        <v>332851.37392375944</v>
      </c>
      <c r="H67" s="1">
        <v>10626.735268086388</v>
      </c>
      <c r="I67" s="1">
        <v>457168.92668095813</v>
      </c>
      <c r="J67" s="1">
        <v>917286.80518329749</v>
      </c>
      <c r="K67" s="1">
        <v>0</v>
      </c>
      <c r="L67" s="1">
        <v>0</v>
      </c>
      <c r="M67" s="1">
        <v>0</v>
      </c>
      <c r="N67" s="1">
        <v>2537664.5460706879</v>
      </c>
      <c r="O67" s="1">
        <v>265640.69750490139</v>
      </c>
      <c r="P67" s="1">
        <v>39637.71527973815</v>
      </c>
      <c r="Q67" s="1"/>
      <c r="R67" s="4">
        <f>'Direct mail readership'!B66</f>
        <v>23.149621314081433</v>
      </c>
      <c r="S67" s="4">
        <v>-9999</v>
      </c>
      <c r="T67" s="4">
        <v>-9999</v>
      </c>
      <c r="U67" s="4">
        <f>'Print newspapers, readership'!B66</f>
        <v>150.57247540805244</v>
      </c>
      <c r="V67" s="4">
        <f>'Print periodical, readership'!B66</f>
        <v>86.405676034086412</v>
      </c>
      <c r="W67" s="4">
        <v>-9999</v>
      </c>
      <c r="X67" s="4">
        <f>'Movie theater viewership'!B67</f>
        <v>163.12101727082938</v>
      </c>
      <c r="Y67" s="4">
        <f>'Radio listenership'!B66</f>
        <v>61.025416520415405</v>
      </c>
      <c r="Z67" s="4">
        <f>'Broadcast television viewership'!B66</f>
        <v>40.758497349320173</v>
      </c>
      <c r="AB67" s="4">
        <v>-9999</v>
      </c>
      <c r="AC67" s="4">
        <v>-9999</v>
      </c>
      <c r="AD67" s="4">
        <v>-9999</v>
      </c>
      <c r="AE67" s="4">
        <v>-9999</v>
      </c>
      <c r="AF67" s="4">
        <v>-9999</v>
      </c>
      <c r="AH67" s="4">
        <f t="shared" ref="AH67:AH98" si="36">IF(OR(R67=-9999,R67=0), ".", (B67/R67)*100/(B$11/R$11))</f>
        <v>34.210655656674277</v>
      </c>
      <c r="AI67" s="4" t="str">
        <f t="shared" ref="AI67:AI98" si="37">IF(OR(S67=-9999,S67=0), ".", (C67/S67)*100/(C$11/S$11))</f>
        <v>.</v>
      </c>
      <c r="AJ67" s="4" t="str">
        <f t="shared" ref="AJ67:AJ98" si="38">IF(OR(T67=-9999,T67=0), ".", (D67/T67)*100/(D$11/T$11))</f>
        <v>.</v>
      </c>
      <c r="AK67" s="4">
        <f t="shared" ref="AK67:AK98" si="39">IF(OR(U67=-9999,U67=0), ".", (E67/U67)*100/(E$11/U$11))</f>
        <v>9.1480692637614176</v>
      </c>
      <c r="AL67" s="4">
        <f t="shared" ref="AL67:AL98" si="40">IF(OR(V67=-9999,V67=0), ".", (F67/V67)*100/(F$11/V$11))</f>
        <v>14.735783544681871</v>
      </c>
      <c r="AM67" s="4" t="str">
        <f t="shared" ref="AM67:AM98" si="41">IF(OR(W67=-9999,W67=0), ".", (G67/W67)*100/(G$11/W$11))</f>
        <v>.</v>
      </c>
      <c r="AN67" s="4">
        <f t="shared" ref="AN67:AN98" si="42">IF(OR(X67=-9999,X67=0), ".", (H67/X67)*100/(H$11/X$11))</f>
        <v>3.9967072292096444</v>
      </c>
      <c r="AO67" s="4">
        <f t="shared" ref="AO67:AO98" si="43">IF(OR(Y67=-9999,Y67=0), ".", (I67/Y67)*100/(I$11/Y$11))</f>
        <v>5.0258400299270924</v>
      </c>
      <c r="AP67" s="4">
        <f t="shared" ref="AP67:AP98" si="44">IF(OR(Z67=-9999,Z67=0), ".", (J67/Z67)*100/(J$11/Z$11))</f>
        <v>6.6583746374329191</v>
      </c>
      <c r="AQ67" s="4" t="str">
        <f t="shared" ref="AQ67:AQ98" si="45">IF(OR(AA67=-9999,AA67=0), ".", (K67/AA67)*100/(K$11/AA$11))</f>
        <v>.</v>
      </c>
      <c r="AR67" s="4" t="str">
        <f t="shared" ref="AR67:AR98" si="46">IF(OR(AB67=-9999,AB67=0), ".", (L67/AB67)*100/(L$11/AB$11))</f>
        <v>.</v>
      </c>
      <c r="AS67" s="4" t="str">
        <f t="shared" ref="AS67:AS98" si="47">IF(OR(AC67=-9999,AC67=0), ".", (M67/AC67)*100/(M$11/AC$11))</f>
        <v>.</v>
      </c>
      <c r="AT67" s="4" t="str">
        <f t="shared" ref="AT67:AT98" si="48">IF(OR(AD67=-9999,AD67=0), ".", (N67/AD67)*100/(N$11/AD$11))</f>
        <v>.</v>
      </c>
      <c r="AU67" s="4" t="str">
        <f t="shared" ref="AU67:AU98" si="49">IF(OR(AE67=-9999,AE67=0), ".", (O67/AE67)*100/(O$11/AE$11))</f>
        <v>.</v>
      </c>
      <c r="AV67" s="4" t="str">
        <f t="shared" ref="AV67:AV98" si="50">IF(OR(AF67=-9999,AF67=0), ".", (P67/AF67)*100/(P$11/AF$11))</f>
        <v>.</v>
      </c>
      <c r="AX67" s="1">
        <f t="shared" ref="AX67:AX98" si="51">E67+F67+H67+I67+J67+K67+L67+M67+B67</f>
        <v>5984489.0265365876</v>
      </c>
      <c r="AY67" s="4">
        <f t="shared" si="35"/>
        <v>7.442314356156646</v>
      </c>
    </row>
    <row r="68" spans="1:51" x14ac:dyDescent="0.3">
      <c r="A68" s="4">
        <v>1955</v>
      </c>
      <c r="B68" s="1">
        <v>516808.94336268824</v>
      </c>
      <c r="C68" s="1">
        <v>500043.7006068186</v>
      </c>
      <c r="D68" s="1">
        <v>395382.56472558051</v>
      </c>
      <c r="E68" s="1">
        <v>2324645.1909585078</v>
      </c>
      <c r="F68" s="1">
        <v>1478007.9239315034</v>
      </c>
      <c r="G68" s="1">
        <v>294902.26166613324</v>
      </c>
      <c r="H68" s="1">
        <v>14608.867002532703</v>
      </c>
      <c r="I68" s="1">
        <v>436809.06136194884</v>
      </c>
      <c r="J68" s="1">
        <v>775013.74968547991</v>
      </c>
      <c r="K68" s="1">
        <v>0</v>
      </c>
      <c r="L68" s="1">
        <v>0</v>
      </c>
      <c r="M68" s="1">
        <v>0</v>
      </c>
      <c r="N68" s="1">
        <v>2170668.8001702251</v>
      </c>
      <c r="O68" s="1">
        <v>244629.66072624939</v>
      </c>
      <c r="P68" s="1">
        <v>36502.542464025501</v>
      </c>
      <c r="Q68" s="1"/>
      <c r="R68" s="4">
        <f>'Direct mail readership'!B67</f>
        <v>23.274070923239801</v>
      </c>
      <c r="S68" s="4">
        <v>-9999</v>
      </c>
      <c r="T68" s="4">
        <v>-9999</v>
      </c>
      <c r="U68" s="4">
        <f>'Print newspapers, readership'!B67</f>
        <v>152.44043107153621</v>
      </c>
      <c r="V68" s="4">
        <f>'Print periodical, readership'!B67</f>
        <v>90.529278161721209</v>
      </c>
      <c r="W68" s="4">
        <v>-9999</v>
      </c>
      <c r="X68" s="4">
        <f>'Movie theater viewership'!B68</f>
        <v>164.11565762004176</v>
      </c>
      <c r="Y68" s="4">
        <f>'Radio listenership'!B67</f>
        <v>60.13254783174105</v>
      </c>
      <c r="Z68" s="4">
        <f>'Broadcast television viewership'!B67</f>
        <v>37.954232665678497</v>
      </c>
      <c r="AB68" s="4">
        <v>-9999</v>
      </c>
      <c r="AC68" s="4">
        <v>-9999</v>
      </c>
      <c r="AD68" s="4">
        <v>-9999</v>
      </c>
      <c r="AE68" s="4">
        <v>-9999</v>
      </c>
      <c r="AF68" s="4">
        <v>-9999</v>
      </c>
      <c r="AH68" s="4">
        <f t="shared" si="36"/>
        <v>32.4344426629564</v>
      </c>
      <c r="AI68" s="4" t="str">
        <f t="shared" si="37"/>
        <v>.</v>
      </c>
      <c r="AJ68" s="4" t="str">
        <f t="shared" si="38"/>
        <v>.</v>
      </c>
      <c r="AK68" s="4">
        <f t="shared" si="39"/>
        <v>8.6266475911714213</v>
      </c>
      <c r="AL68" s="4">
        <f t="shared" si="40"/>
        <v>12.813914634672811</v>
      </c>
      <c r="AM68" s="4" t="str">
        <f t="shared" si="41"/>
        <v>.</v>
      </c>
      <c r="AN68" s="4">
        <f t="shared" si="42"/>
        <v>5.4610847152245441</v>
      </c>
      <c r="AO68" s="4">
        <f t="shared" si="43"/>
        <v>4.8733179033005154</v>
      </c>
      <c r="AP68" s="4">
        <f t="shared" si="44"/>
        <v>6.0413004834412423</v>
      </c>
      <c r="AQ68" s="4" t="str">
        <f t="shared" si="45"/>
        <v>.</v>
      </c>
      <c r="AR68" s="4" t="str">
        <f t="shared" si="46"/>
        <v>.</v>
      </c>
      <c r="AS68" s="4" t="str">
        <f t="shared" si="47"/>
        <v>.</v>
      </c>
      <c r="AT68" s="4" t="str">
        <f t="shared" si="48"/>
        <v>.</v>
      </c>
      <c r="AU68" s="4" t="str">
        <f t="shared" si="49"/>
        <v>.</v>
      </c>
      <c r="AV68" s="4" t="str">
        <f t="shared" si="50"/>
        <v>.</v>
      </c>
      <c r="AX68" s="1">
        <f t="shared" si="51"/>
        <v>5545893.7363026617</v>
      </c>
      <c r="AY68" s="4">
        <f t="shared" si="35"/>
        <v>6.8517533981382073</v>
      </c>
    </row>
    <row r="69" spans="1:51" x14ac:dyDescent="0.3">
      <c r="A69" s="4">
        <v>1954</v>
      </c>
      <c r="B69" s="1">
        <v>497934.34843995009</v>
      </c>
      <c r="C69" s="1">
        <v>481781.39610564214</v>
      </c>
      <c r="D69" s="1">
        <v>357992.16684253589</v>
      </c>
      <c r="E69" s="1">
        <v>2028492.797440232</v>
      </c>
      <c r="F69" s="1">
        <v>1354534.9708156374</v>
      </c>
      <c r="G69" s="1">
        <v>268854.49313815706</v>
      </c>
      <c r="H69" s="1">
        <v>12062.154846782152</v>
      </c>
      <c r="I69" s="1">
        <v>446160.90351066965</v>
      </c>
      <c r="J69" s="1">
        <v>605783.69419860211</v>
      </c>
      <c r="K69" s="1">
        <v>0</v>
      </c>
      <c r="L69" s="1">
        <v>0</v>
      </c>
      <c r="M69" s="1">
        <v>0</v>
      </c>
      <c r="N69" s="1">
        <v>1788152.5677421149</v>
      </c>
      <c r="O69" s="1">
        <v>216052.4700735833</v>
      </c>
      <c r="P69" s="1">
        <v>32238.382050261069</v>
      </c>
      <c r="Q69" s="1"/>
      <c r="R69" s="4">
        <f>'Direct mail readership'!B68</f>
        <v>22.247016973260063</v>
      </c>
      <c r="S69" s="4">
        <v>-9999</v>
      </c>
      <c r="T69" s="4">
        <v>-9999</v>
      </c>
      <c r="U69" s="4">
        <f>'Print newspapers, readership'!B68</f>
        <v>154.52026741837449</v>
      </c>
      <c r="V69" s="4">
        <f>'Print periodical, readership'!B68</f>
        <v>94.849674010411078</v>
      </c>
      <c r="W69" s="4">
        <v>-9999</v>
      </c>
      <c r="X69" s="4">
        <f>'Movie theater viewership'!B69</f>
        <v>171.81076518108375</v>
      </c>
      <c r="Y69" s="4">
        <f>'Radio listenership'!B68</f>
        <v>59.258087885968145</v>
      </c>
      <c r="Z69" s="4">
        <f>'Broadcast television viewership'!B68</f>
        <v>25.052306079510618</v>
      </c>
      <c r="AB69" s="4">
        <v>-9999</v>
      </c>
      <c r="AC69" s="4">
        <v>-9999</v>
      </c>
      <c r="AD69" s="4">
        <v>-9999</v>
      </c>
      <c r="AE69" s="4">
        <v>-9999</v>
      </c>
      <c r="AF69" s="4">
        <v>-9999</v>
      </c>
      <c r="AH69" s="4">
        <f t="shared" si="36"/>
        <v>32.692570740649366</v>
      </c>
      <c r="AI69" s="4" t="str">
        <f t="shared" si="37"/>
        <v>.</v>
      </c>
      <c r="AJ69" s="4" t="str">
        <f t="shared" si="38"/>
        <v>.</v>
      </c>
      <c r="AK69" s="4">
        <f t="shared" si="39"/>
        <v>7.4263184409914293</v>
      </c>
      <c r="AL69" s="4">
        <f t="shared" si="40"/>
        <v>11.208525930687912</v>
      </c>
      <c r="AM69" s="4" t="str">
        <f t="shared" si="41"/>
        <v>.</v>
      </c>
      <c r="AN69" s="4">
        <f t="shared" si="42"/>
        <v>4.3071195161876883</v>
      </c>
      <c r="AO69" s="4">
        <f t="shared" si="43"/>
        <v>5.051107209223912</v>
      </c>
      <c r="AP69" s="4">
        <f t="shared" si="44"/>
        <v>7.1540359065845474</v>
      </c>
      <c r="AQ69" s="4" t="str">
        <f t="shared" si="45"/>
        <v>.</v>
      </c>
      <c r="AR69" s="4" t="str">
        <f t="shared" si="46"/>
        <v>.</v>
      </c>
      <c r="AS69" s="4" t="str">
        <f t="shared" si="47"/>
        <v>.</v>
      </c>
      <c r="AT69" s="4" t="str">
        <f t="shared" si="48"/>
        <v>.</v>
      </c>
      <c r="AU69" s="4" t="str">
        <f t="shared" si="49"/>
        <v>.</v>
      </c>
      <c r="AV69" s="4" t="str">
        <f t="shared" si="50"/>
        <v>.</v>
      </c>
      <c r="AX69" s="1">
        <f t="shared" si="51"/>
        <v>4944968.8692518743</v>
      </c>
      <c r="AY69" s="4">
        <f t="shared" si="35"/>
        <v>6.3701552561290082</v>
      </c>
    </row>
    <row r="70" spans="1:51" x14ac:dyDescent="0.3">
      <c r="A70" s="4">
        <v>1953</v>
      </c>
      <c r="B70" s="1">
        <v>483824.83361710602</v>
      </c>
      <c r="C70" s="1">
        <v>468129.59286888904</v>
      </c>
      <c r="D70" s="1">
        <v>345875.5766583911</v>
      </c>
      <c r="E70" s="1">
        <v>1988451.7850512816</v>
      </c>
      <c r="F70" s="1">
        <v>1336197.4035212018</v>
      </c>
      <c r="G70" s="1">
        <v>237568.20211660257</v>
      </c>
      <c r="H70" s="1">
        <v>12571.497277932262</v>
      </c>
      <c r="I70" s="1">
        <v>487751.05597007612</v>
      </c>
      <c r="J70" s="1">
        <v>453776.16648251296</v>
      </c>
      <c r="K70" s="1">
        <v>0</v>
      </c>
      <c r="L70" s="1">
        <v>0</v>
      </c>
      <c r="M70" s="1">
        <v>0</v>
      </c>
      <c r="N70" s="1">
        <v>1783351.8036056876</v>
      </c>
      <c r="O70" s="1">
        <v>206060.45146210532</v>
      </c>
      <c r="P70" s="1">
        <v>30747.417779681629</v>
      </c>
      <c r="Q70" s="1"/>
      <c r="R70" s="4">
        <f>'Direct mail readership'!B69</f>
        <v>18.932742148979209</v>
      </c>
      <c r="S70" s="4">
        <v>-9999</v>
      </c>
      <c r="T70" s="4">
        <v>-9999</v>
      </c>
      <c r="U70" s="4">
        <f>'Print newspapers, readership'!B69</f>
        <v>157.58337021967893</v>
      </c>
      <c r="V70" s="4">
        <f>'Print periodical, readership'!B69</f>
        <v>93.932497258421449</v>
      </c>
      <c r="W70" s="4">
        <v>-9999</v>
      </c>
      <c r="X70" s="4">
        <f>'Movie theater viewership'!B70</f>
        <v>127.3237160751566</v>
      </c>
      <c r="Y70" s="4">
        <f>'Radio listenership'!B69</f>
        <v>58.400771081911849</v>
      </c>
      <c r="Z70" s="4">
        <f>'Broadcast television viewership'!B69</f>
        <v>17.417676380810587</v>
      </c>
      <c r="AB70" s="4">
        <v>-9999</v>
      </c>
      <c r="AC70" s="4">
        <v>-9999</v>
      </c>
      <c r="AD70" s="4">
        <v>-9999</v>
      </c>
      <c r="AE70" s="4">
        <v>-9999</v>
      </c>
      <c r="AF70" s="4">
        <v>-9999</v>
      </c>
      <c r="AH70" s="4">
        <f t="shared" si="36"/>
        <v>37.32702764067237</v>
      </c>
      <c r="AI70" s="4" t="str">
        <f t="shared" si="37"/>
        <v>.</v>
      </c>
      <c r="AJ70" s="4" t="str">
        <f t="shared" si="38"/>
        <v>.</v>
      </c>
      <c r="AK70" s="4">
        <f t="shared" si="39"/>
        <v>7.1382249409130925</v>
      </c>
      <c r="AL70" s="4">
        <f t="shared" si="40"/>
        <v>11.164746753198431</v>
      </c>
      <c r="AM70" s="4" t="str">
        <f t="shared" si="41"/>
        <v>.</v>
      </c>
      <c r="AN70" s="4">
        <f t="shared" si="42"/>
        <v>6.0574535953567219</v>
      </c>
      <c r="AO70" s="4">
        <f t="shared" si="43"/>
        <v>5.6030222397232965</v>
      </c>
      <c r="AP70" s="4">
        <f t="shared" si="44"/>
        <v>7.7078403398124529</v>
      </c>
      <c r="AQ70" s="4" t="str">
        <f t="shared" si="45"/>
        <v>.</v>
      </c>
      <c r="AR70" s="4" t="str">
        <f t="shared" si="46"/>
        <v>.</v>
      </c>
      <c r="AS70" s="4" t="str">
        <f t="shared" si="47"/>
        <v>.</v>
      </c>
      <c r="AT70" s="4" t="str">
        <f t="shared" si="48"/>
        <v>.</v>
      </c>
      <c r="AU70" s="4" t="str">
        <f t="shared" si="49"/>
        <v>.</v>
      </c>
      <c r="AV70" s="4" t="str">
        <f t="shared" si="50"/>
        <v>.</v>
      </c>
      <c r="AX70" s="1">
        <f t="shared" si="51"/>
        <v>4762572.7419201108</v>
      </c>
      <c r="AY70" s="4">
        <f t="shared" si="35"/>
        <v>6.4659759783767292</v>
      </c>
    </row>
    <row r="71" spans="1:51" x14ac:dyDescent="0.3">
      <c r="A71" s="4">
        <v>1952</v>
      </c>
      <c r="B71" s="1">
        <v>479085.76351418416</v>
      </c>
      <c r="C71" s="1">
        <v>463544.25783911743</v>
      </c>
      <c r="D71" s="1">
        <v>320049.18503159069</v>
      </c>
      <c r="E71" s="1">
        <v>1861529.3306863061</v>
      </c>
      <c r="F71" s="1">
        <v>1234729.5311586587</v>
      </c>
      <c r="G71" s="1">
        <v>200065.69200704643</v>
      </c>
      <c r="H71" s="1">
        <v>10811.950697595517</v>
      </c>
      <c r="I71" s="1">
        <v>494647.35619704146</v>
      </c>
      <c r="J71" s="1">
        <v>339957.72208425886</v>
      </c>
      <c r="K71" s="1">
        <v>0</v>
      </c>
      <c r="L71" s="1">
        <v>0</v>
      </c>
      <c r="M71" s="1">
        <v>0</v>
      </c>
      <c r="N71" s="1">
        <v>1690384.1782875</v>
      </c>
      <c r="O71" s="1">
        <v>188226.39104245839</v>
      </c>
      <c r="P71" s="1">
        <v>28086.299149007315</v>
      </c>
      <c r="Q71" s="1"/>
      <c r="R71" s="4">
        <f>'Direct mail readership'!B70</f>
        <v>18.823217229766385</v>
      </c>
      <c r="S71" s="4">
        <v>-9999</v>
      </c>
      <c r="T71" s="4">
        <v>-9999</v>
      </c>
      <c r="U71" s="4">
        <f>'Print newspapers, readership'!B70</f>
        <v>161.39571317358815</v>
      </c>
      <c r="V71" s="4">
        <f>'Print periodical, readership'!B70</f>
        <v>93.024189416137347</v>
      </c>
      <c r="W71" s="4">
        <v>-9999</v>
      </c>
      <c r="X71" s="4">
        <f>'Movie theater viewership'!B71</f>
        <v>145.80257354336686</v>
      </c>
      <c r="Y71" s="4">
        <f>'Radio listenership'!B70</f>
        <v>57.614899677584575</v>
      </c>
      <c r="Z71" s="4">
        <f>'Broadcast television viewership'!B70</f>
        <v>11.895266110521471</v>
      </c>
      <c r="AB71" s="4">
        <v>-9999</v>
      </c>
      <c r="AC71" s="4">
        <v>-9999</v>
      </c>
      <c r="AD71" s="4">
        <v>-9999</v>
      </c>
      <c r="AE71" s="4">
        <v>-9999</v>
      </c>
      <c r="AF71" s="4">
        <v>-9999</v>
      </c>
      <c r="AH71" s="4">
        <f t="shared" si="36"/>
        <v>37.176472896663299</v>
      </c>
      <c r="AI71" s="4" t="str">
        <f t="shared" si="37"/>
        <v>.</v>
      </c>
      <c r="AJ71" s="4" t="str">
        <f t="shared" si="38"/>
        <v>.</v>
      </c>
      <c r="AK71" s="4">
        <f t="shared" si="39"/>
        <v>6.5247434058506961</v>
      </c>
      <c r="AL71" s="4">
        <f t="shared" si="40"/>
        <v>10.417657197348916</v>
      </c>
      <c r="AM71" s="4" t="str">
        <f t="shared" si="41"/>
        <v>.</v>
      </c>
      <c r="AN71" s="4">
        <f t="shared" si="42"/>
        <v>4.5493700325591258</v>
      </c>
      <c r="AO71" s="4">
        <f t="shared" si="43"/>
        <v>5.7597494430994614</v>
      </c>
      <c r="AP71" s="4">
        <f t="shared" si="44"/>
        <v>8.455357871970536</v>
      </c>
      <c r="AQ71" s="4" t="str">
        <f t="shared" si="45"/>
        <v>.</v>
      </c>
      <c r="AR71" s="4" t="str">
        <f t="shared" si="46"/>
        <v>.</v>
      </c>
      <c r="AS71" s="4" t="str">
        <f t="shared" si="47"/>
        <v>.</v>
      </c>
      <c r="AT71" s="4" t="str">
        <f t="shared" si="48"/>
        <v>.</v>
      </c>
      <c r="AU71" s="4" t="str">
        <f t="shared" si="49"/>
        <v>.</v>
      </c>
      <c r="AV71" s="4" t="str">
        <f t="shared" si="50"/>
        <v>.</v>
      </c>
      <c r="AX71" s="1">
        <f t="shared" si="51"/>
        <v>4420761.654338045</v>
      </c>
      <c r="AY71" s="4">
        <f t="shared" si="35"/>
        <v>6.1674763897085425</v>
      </c>
    </row>
    <row r="72" spans="1:51" x14ac:dyDescent="0.3">
      <c r="A72" s="4">
        <v>1951</v>
      </c>
      <c r="B72" s="1">
        <v>459418.12560255651</v>
      </c>
      <c r="C72" s="1">
        <v>444514.63660320279</v>
      </c>
      <c r="D72" s="1">
        <v>289107.01012301003</v>
      </c>
      <c r="E72" s="1">
        <v>1700609.7903307122</v>
      </c>
      <c r="F72" s="1">
        <v>1090178.2345613395</v>
      </c>
      <c r="G72" s="1">
        <v>173631.67297263123</v>
      </c>
      <c r="H72" s="1">
        <v>10418.367909888613</v>
      </c>
      <c r="I72" s="1">
        <v>483027.22171872557</v>
      </c>
      <c r="J72" s="1">
        <v>248603.4443435549</v>
      </c>
      <c r="K72" s="1">
        <v>0</v>
      </c>
      <c r="L72" s="1">
        <v>0</v>
      </c>
      <c r="M72" s="1">
        <v>0</v>
      </c>
      <c r="N72" s="1">
        <v>1566729.1950470363</v>
      </c>
      <c r="O72" s="1">
        <v>167846.17590747398</v>
      </c>
      <c r="P72" s="1">
        <v>25045.254713994054</v>
      </c>
      <c r="Q72" s="1"/>
      <c r="R72" s="4">
        <f>'Direct mail readership'!B71</f>
        <v>16.922806171729221</v>
      </c>
      <c r="S72" s="4">
        <v>-9999</v>
      </c>
      <c r="T72" s="4">
        <v>-9999</v>
      </c>
      <c r="U72" s="4">
        <f>'Print newspapers, readership'!B71</f>
        <v>166.31385349302144</v>
      </c>
      <c r="V72" s="4">
        <f>'Print periodical, readership'!B71</f>
        <v>92.124664723034115</v>
      </c>
      <c r="W72" s="4">
        <v>-9999</v>
      </c>
      <c r="X72" s="4">
        <f>'Movie theater viewership'!B72</f>
        <v>168.62079331941544</v>
      </c>
      <c r="Y72" s="4">
        <f>'Radio listenership'!B71</f>
        <v>56.807614266713969</v>
      </c>
      <c r="Z72" s="4">
        <f>'Broadcast television viewership'!B71</f>
        <v>7.8697268014449575</v>
      </c>
      <c r="AB72" s="4">
        <v>-9999</v>
      </c>
      <c r="AC72" s="4">
        <v>-9999</v>
      </c>
      <c r="AD72" s="4">
        <v>-9999</v>
      </c>
      <c r="AE72" s="4">
        <v>-9999</v>
      </c>
      <c r="AF72" s="4">
        <v>-9999</v>
      </c>
      <c r="AH72" s="4">
        <f t="shared" si="36"/>
        <v>39.653773164578922</v>
      </c>
      <c r="AI72" s="4" t="str">
        <f t="shared" si="37"/>
        <v>.</v>
      </c>
      <c r="AJ72" s="4" t="str">
        <f t="shared" si="38"/>
        <v>.</v>
      </c>
      <c r="AK72" s="4">
        <f t="shared" si="39"/>
        <v>5.7844463530131645</v>
      </c>
      <c r="AL72" s="4">
        <f t="shared" si="40"/>
        <v>9.2878610230877729</v>
      </c>
      <c r="AM72" s="4" t="str">
        <f t="shared" si="41"/>
        <v>.</v>
      </c>
      <c r="AN72" s="4">
        <f t="shared" si="42"/>
        <v>3.7905388942307514</v>
      </c>
      <c r="AO72" s="4">
        <f t="shared" si="43"/>
        <v>5.7043710255167044</v>
      </c>
      <c r="AP72" s="4">
        <f t="shared" si="44"/>
        <v>9.3460635712022544</v>
      </c>
      <c r="AQ72" s="4" t="str">
        <f t="shared" si="45"/>
        <v>.</v>
      </c>
      <c r="AR72" s="4" t="str">
        <f t="shared" si="46"/>
        <v>.</v>
      </c>
      <c r="AS72" s="4" t="str">
        <f t="shared" si="47"/>
        <v>.</v>
      </c>
      <c r="AT72" s="4" t="str">
        <f t="shared" si="48"/>
        <v>.</v>
      </c>
      <c r="AU72" s="4" t="str">
        <f t="shared" si="49"/>
        <v>.</v>
      </c>
      <c r="AV72" s="4" t="str">
        <f t="shared" si="50"/>
        <v>.</v>
      </c>
      <c r="AX72" s="1">
        <f t="shared" si="51"/>
        <v>3992255.1844667774</v>
      </c>
      <c r="AY72" s="4">
        <f t="shared" si="35"/>
        <v>5.749978079867363</v>
      </c>
    </row>
    <row r="73" spans="1:51" x14ac:dyDescent="0.3">
      <c r="A73" s="4">
        <v>1950</v>
      </c>
      <c r="B73" s="1">
        <v>424301.47848233749</v>
      </c>
      <c r="C73" s="1">
        <v>410537.17084062815</v>
      </c>
      <c r="D73" s="1">
        <v>260375.38898896184</v>
      </c>
      <c r="E73" s="1">
        <v>1563865.955568447</v>
      </c>
      <c r="F73" s="1">
        <v>959256.87709550257</v>
      </c>
      <c r="G73" s="1">
        <v>159111.06799619223</v>
      </c>
      <c r="H73" s="1">
        <v>14608.867002532699</v>
      </c>
      <c r="I73" s="1">
        <v>482313.27148971544</v>
      </c>
      <c r="J73" s="1">
        <v>128045.74994803582</v>
      </c>
      <c r="K73" s="1">
        <v>0</v>
      </c>
      <c r="L73" s="1">
        <v>0</v>
      </c>
      <c r="M73" s="1">
        <v>0</v>
      </c>
      <c r="N73" s="1">
        <v>1451770.3072639273</v>
      </c>
      <c r="O73" s="1">
        <v>149225.07278640554</v>
      </c>
      <c r="P73" s="1">
        <v>22266.697095977197</v>
      </c>
      <c r="Q73" s="1"/>
      <c r="R73" s="4">
        <f>'Direct mail readership'!B72</f>
        <v>17.019462822249682</v>
      </c>
      <c r="S73" s="4">
        <v>-9999</v>
      </c>
      <c r="T73" s="4">
        <v>-9999</v>
      </c>
      <c r="U73" s="4">
        <f>'Print newspapers, readership'!B72</f>
        <v>171.10214448512565</v>
      </c>
      <c r="V73" s="4">
        <f>'Print periodical, readership'!B72</f>
        <v>91.233838247873791</v>
      </c>
      <c r="W73" s="4">
        <v>-9999</v>
      </c>
      <c r="X73" s="4">
        <f>'Movie theater viewership'!B73</f>
        <v>184.49603340292276</v>
      </c>
      <c r="Y73" s="4">
        <f>'Radio listenership'!B72</f>
        <v>56.019948444393783</v>
      </c>
      <c r="Z73" s="4">
        <f>'Broadcast television viewership'!B72</f>
        <v>5.3521211599131018</v>
      </c>
      <c r="AB73" s="4">
        <v>-9999</v>
      </c>
      <c r="AC73" s="4">
        <v>-9999</v>
      </c>
      <c r="AD73" s="4">
        <v>-9999</v>
      </c>
      <c r="AE73" s="4">
        <v>-9999</v>
      </c>
      <c r="AF73" s="4">
        <v>-9999</v>
      </c>
      <c r="AH73" s="4">
        <f t="shared" si="36"/>
        <v>36.414761435036148</v>
      </c>
      <c r="AI73" s="4" t="str">
        <f t="shared" si="37"/>
        <v>.</v>
      </c>
      <c r="AJ73" s="4" t="str">
        <f t="shared" si="38"/>
        <v>.</v>
      </c>
      <c r="AK73" s="4">
        <f t="shared" si="39"/>
        <v>5.1704652259522002</v>
      </c>
      <c r="AL73" s="4">
        <f t="shared" si="40"/>
        <v>8.2522636886532919</v>
      </c>
      <c r="AM73" s="4" t="str">
        <f t="shared" si="41"/>
        <v>.</v>
      </c>
      <c r="AN73" s="4">
        <f t="shared" si="42"/>
        <v>4.857825357147413</v>
      </c>
      <c r="AO73" s="4">
        <f t="shared" si="43"/>
        <v>5.7760270272090288</v>
      </c>
      <c r="AP73" s="4">
        <f t="shared" si="44"/>
        <v>7.0781616561015923</v>
      </c>
      <c r="AQ73" s="4" t="str">
        <f t="shared" si="45"/>
        <v>.</v>
      </c>
      <c r="AR73" s="4" t="str">
        <f t="shared" si="46"/>
        <v>.</v>
      </c>
      <c r="AS73" s="4" t="str">
        <f t="shared" si="47"/>
        <v>.</v>
      </c>
      <c r="AT73" s="4" t="str">
        <f t="shared" si="48"/>
        <v>.</v>
      </c>
      <c r="AU73" s="4" t="str">
        <f t="shared" si="49"/>
        <v>.</v>
      </c>
      <c r="AV73" s="4" t="str">
        <f t="shared" si="50"/>
        <v>.</v>
      </c>
      <c r="AX73" s="1">
        <f t="shared" si="51"/>
        <v>3572392.1995865712</v>
      </c>
      <c r="AY73" s="4">
        <f t="shared" si="35"/>
        <v>5.1932728860748103</v>
      </c>
    </row>
    <row r="74" spans="1:51" x14ac:dyDescent="0.3">
      <c r="A74" s="4">
        <v>1949</v>
      </c>
      <c r="B74" s="1">
        <v>424525.36174582207</v>
      </c>
      <c r="C74" s="1">
        <v>410753.79134809907</v>
      </c>
      <c r="D74" s="1">
        <v>241692.21291240503</v>
      </c>
      <c r="E74" s="1">
        <v>1443742.9184015954</v>
      </c>
      <c r="F74" s="1">
        <v>930325.91407102894</v>
      </c>
      <c r="G74" s="1">
        <v>147523.55280302395</v>
      </c>
      <c r="H74" s="1">
        <v>15974.830795162541</v>
      </c>
      <c r="I74" s="1">
        <v>454171.95036424068</v>
      </c>
      <c r="J74" s="1">
        <v>43430.722204596947</v>
      </c>
      <c r="K74" s="1">
        <v>0</v>
      </c>
      <c r="L74" s="1">
        <v>0</v>
      </c>
      <c r="M74" s="1">
        <v>0</v>
      </c>
      <c r="N74" s="1">
        <v>1384247.8994196015</v>
      </c>
      <c r="O74" s="1">
        <v>136739.36685813472</v>
      </c>
      <c r="P74" s="1">
        <v>20403.635971308206</v>
      </c>
      <c r="Q74" s="1"/>
      <c r="R74" s="4">
        <f>'Direct mail readership'!B73</f>
        <v>15.14447892632513</v>
      </c>
      <c r="S74" s="4">
        <v>-9999</v>
      </c>
      <c r="T74" s="4">
        <v>-9999</v>
      </c>
      <c r="U74" s="4">
        <f>'Print newspapers, readership'!B73</f>
        <v>173.67372103902895</v>
      </c>
      <c r="V74" s="4">
        <f>'Print periodical, readership'!B73</f>
        <v>90.351625880685845</v>
      </c>
      <c r="W74" s="4">
        <v>-9999</v>
      </c>
      <c r="X74" s="4">
        <f>'Movie theater viewership'!B74</f>
        <v>217.17448172063891</v>
      </c>
      <c r="Y74" s="4">
        <f>'Radio listenership'!B73</f>
        <v>55.051363865375606</v>
      </c>
      <c r="Z74" s="4">
        <f>'Broadcast television viewership'!B73</f>
        <v>3.7693426380100257</v>
      </c>
      <c r="AB74" s="4">
        <v>-9999</v>
      </c>
      <c r="AC74" s="4">
        <v>-9999</v>
      </c>
      <c r="AD74" s="4">
        <v>-9999</v>
      </c>
      <c r="AE74" s="4">
        <v>-9999</v>
      </c>
      <c r="AF74" s="4">
        <v>-9999</v>
      </c>
      <c r="AH74" s="4">
        <f t="shared" si="36"/>
        <v>40.944736262964625</v>
      </c>
      <c r="AI74" s="4" t="str">
        <f t="shared" si="37"/>
        <v>.</v>
      </c>
      <c r="AJ74" s="4" t="str">
        <f t="shared" si="38"/>
        <v>.</v>
      </c>
      <c r="AK74" s="4">
        <f t="shared" si="39"/>
        <v>4.7026353767154481</v>
      </c>
      <c r="AL74" s="4">
        <f t="shared" si="40"/>
        <v>8.0815240137591324</v>
      </c>
      <c r="AM74" s="4" t="str">
        <f t="shared" si="41"/>
        <v>.</v>
      </c>
      <c r="AN74" s="4">
        <f t="shared" si="42"/>
        <v>4.512735387986603</v>
      </c>
      <c r="AO74" s="4">
        <f t="shared" si="43"/>
        <v>5.5347108266557967</v>
      </c>
      <c r="AP74" s="4">
        <f t="shared" si="44"/>
        <v>3.4088875830006078</v>
      </c>
      <c r="AQ74" s="4" t="str">
        <f t="shared" si="45"/>
        <v>.</v>
      </c>
      <c r="AR74" s="4" t="str">
        <f t="shared" si="46"/>
        <v>.</v>
      </c>
      <c r="AS74" s="4" t="str">
        <f t="shared" si="47"/>
        <v>.</v>
      </c>
      <c r="AT74" s="4" t="str">
        <f t="shared" si="48"/>
        <v>.</v>
      </c>
      <c r="AU74" s="4" t="str">
        <f t="shared" si="49"/>
        <v>.</v>
      </c>
      <c r="AV74" s="4" t="str">
        <f t="shared" si="50"/>
        <v>.</v>
      </c>
      <c r="AX74" s="1">
        <f t="shared" si="51"/>
        <v>3312171.697582446</v>
      </c>
      <c r="AY74" s="4">
        <f t="shared" ref="AY74:AY97" si="52">AY73*((E74/U74)/(E73/U73))^((E74+E73)/(AX74+AX73))*((F74/V74)/(F73/V73))^((F74+F73)/(AX74+AX73))*((H74/X74)/(H73/X73))^((H74+H73)/(AX74+AX73))*((I74/Y74)/(I73/Y73))^((I74+I73)/(AX74+AX73))*((B74/R74)/(B73/R73))^((B74+B73)/(AX74+AX73))</f>
        <v>4.9954002325728393</v>
      </c>
    </row>
    <row r="75" spans="1:51" x14ac:dyDescent="0.3">
      <c r="A75" s="4">
        <v>1948</v>
      </c>
      <c r="B75" s="1">
        <v>411172.3599165671</v>
      </c>
      <c r="C75" s="1">
        <v>397833.95988104877</v>
      </c>
      <c r="D75" s="1">
        <v>231189.57654238533</v>
      </c>
      <c r="E75" s="1">
        <v>1318331.445636203</v>
      </c>
      <c r="F75" s="1">
        <v>958443.51725583011</v>
      </c>
      <c r="G75" s="1">
        <v>128078.25386948837</v>
      </c>
      <c r="H75" s="1">
        <v>13590.182140232479</v>
      </c>
      <c r="I75" s="1">
        <v>449133.49366996036</v>
      </c>
      <c r="J75" s="1">
        <v>3687.5141494469103</v>
      </c>
      <c r="K75" s="1">
        <v>0</v>
      </c>
      <c r="L75" s="1">
        <v>0</v>
      </c>
      <c r="M75" s="1">
        <v>0</v>
      </c>
      <c r="N75" s="1">
        <v>1360760.3859778349</v>
      </c>
      <c r="O75" s="1">
        <v>129118.41762379531</v>
      </c>
      <c r="P75" s="1">
        <v>19266.472054975275</v>
      </c>
      <c r="Q75" s="1"/>
      <c r="R75" s="4">
        <f>'Direct mail readership'!B74</f>
        <v>13.629195310852031</v>
      </c>
      <c r="S75" s="4">
        <v>-9999</v>
      </c>
      <c r="T75" s="4">
        <v>-9999</v>
      </c>
      <c r="U75" s="4">
        <f>'Print newspapers, readership'!B74</f>
        <v>172.31475653986607</v>
      </c>
      <c r="V75" s="4">
        <f>'Print periodical, readership'!B74</f>
        <v>88.368178627981791</v>
      </c>
      <c r="W75" s="4">
        <v>-9999</v>
      </c>
      <c r="X75" s="4">
        <f>'Movie theater viewership'!B75</f>
        <v>242.31194154488514</v>
      </c>
      <c r="Y75" s="4">
        <f>'Radio listenership'!B74</f>
        <v>50.876732686064678</v>
      </c>
      <c r="Z75" s="4">
        <f>'Broadcast television viewership'!B74</f>
        <v>2.4104351045822328</v>
      </c>
      <c r="AB75" s="4">
        <v>-9999</v>
      </c>
      <c r="AC75" s="4">
        <v>-9999</v>
      </c>
      <c r="AD75" s="4">
        <v>-9999</v>
      </c>
      <c r="AE75" s="4">
        <v>-9999</v>
      </c>
      <c r="AF75" s="4">
        <v>-9999</v>
      </c>
      <c r="AH75" s="4">
        <f t="shared" si="36"/>
        <v>44.065882281821843</v>
      </c>
      <c r="AI75" s="4" t="str">
        <f t="shared" si="37"/>
        <v>.</v>
      </c>
      <c r="AJ75" s="4" t="str">
        <f t="shared" si="38"/>
        <v>.</v>
      </c>
      <c r="AK75" s="4">
        <f t="shared" si="39"/>
        <v>4.3280043582886174</v>
      </c>
      <c r="AL75" s="4">
        <f t="shared" si="40"/>
        <v>8.5126493019867215</v>
      </c>
      <c r="AM75" s="4" t="str">
        <f t="shared" si="41"/>
        <v>.</v>
      </c>
      <c r="AN75" s="4">
        <f t="shared" si="42"/>
        <v>3.4408271429796331</v>
      </c>
      <c r="AO75" s="4">
        <f t="shared" si="43"/>
        <v>5.9224164071909309</v>
      </c>
      <c r="AP75" s="4">
        <f t="shared" si="44"/>
        <v>0.45260515615705504</v>
      </c>
      <c r="AQ75" s="4" t="str">
        <f t="shared" si="45"/>
        <v>.</v>
      </c>
      <c r="AR75" s="4" t="str">
        <f t="shared" si="46"/>
        <v>.</v>
      </c>
      <c r="AS75" s="4" t="str">
        <f t="shared" si="47"/>
        <v>.</v>
      </c>
      <c r="AT75" s="4" t="str">
        <f t="shared" si="48"/>
        <v>.</v>
      </c>
      <c r="AU75" s="4" t="str">
        <f t="shared" si="49"/>
        <v>.</v>
      </c>
      <c r="AV75" s="4" t="str">
        <f t="shared" si="50"/>
        <v>.</v>
      </c>
      <c r="AX75" s="1">
        <f t="shared" si="51"/>
        <v>3154358.5127682397</v>
      </c>
      <c r="AY75" s="4">
        <f t="shared" si="52"/>
        <v>4.9825931158483474</v>
      </c>
    </row>
    <row r="76" spans="1:51" x14ac:dyDescent="0.3">
      <c r="A76" s="4">
        <v>1947</v>
      </c>
      <c r="B76" s="1">
        <v>367202.89780248678</v>
      </c>
      <c r="C76" s="1">
        <v>355290.86376866954</v>
      </c>
      <c r="D76" s="1">
        <v>207426.54188554711</v>
      </c>
      <c r="E76" s="1">
        <v>1111326.9664933265</v>
      </c>
      <c r="F76" s="1">
        <v>911988.34677659336</v>
      </c>
      <c r="G76" s="1">
        <v>104142.7927986001</v>
      </c>
      <c r="H76" s="1">
        <v>14307.891929580363</v>
      </c>
      <c r="I76" s="1">
        <v>404531.4589065538</v>
      </c>
      <c r="J76" s="1">
        <v>216.91259702628886</v>
      </c>
      <c r="K76" s="1">
        <v>0</v>
      </c>
      <c r="L76" s="1">
        <v>0</v>
      </c>
      <c r="M76" s="1">
        <v>0</v>
      </c>
      <c r="N76" s="1">
        <v>1155483.6042810194</v>
      </c>
      <c r="O76" s="1">
        <v>114359.7800860885</v>
      </c>
      <c r="P76" s="1">
        <v>17064.254254272189</v>
      </c>
      <c r="Q76" s="1"/>
      <c r="R76" s="4">
        <f>'Direct mail readership'!B75</f>
        <v>11.316380709619251</v>
      </c>
      <c r="S76" s="4">
        <v>-9999</v>
      </c>
      <c r="T76" s="4">
        <v>-9999</v>
      </c>
      <c r="U76" s="4">
        <f>'Print newspapers, readership'!B75</f>
        <v>169.55549573702916</v>
      </c>
      <c r="V76" s="4">
        <f>'Print periodical, readership'!B75</f>
        <v>86.428273071023796</v>
      </c>
      <c r="W76" s="4">
        <v>-9999</v>
      </c>
      <c r="X76" s="4">
        <f>'Movie theater viewership'!B76</f>
        <v>277.26588049427295</v>
      </c>
      <c r="Y76" s="4">
        <f>'Radio listenership'!B75</f>
        <v>47.021337251232943</v>
      </c>
      <c r="Z76" s="4">
        <f>'Broadcast television viewership'!B75</f>
        <v>1.5089180352688776</v>
      </c>
      <c r="AB76" s="4">
        <v>-9999</v>
      </c>
      <c r="AC76" s="4">
        <v>-9999</v>
      </c>
      <c r="AD76" s="4">
        <v>-9999</v>
      </c>
      <c r="AE76" s="4">
        <v>-9999</v>
      </c>
      <c r="AF76" s="4">
        <v>-9999</v>
      </c>
      <c r="AH76" s="4">
        <f t="shared" si="36"/>
        <v>47.396614623735964</v>
      </c>
      <c r="AI76" s="4" t="str">
        <f t="shared" si="37"/>
        <v>.</v>
      </c>
      <c r="AJ76" s="4" t="str">
        <f t="shared" si="38"/>
        <v>.</v>
      </c>
      <c r="AK76" s="4">
        <f t="shared" si="39"/>
        <v>3.7077934309024942</v>
      </c>
      <c r="AL76" s="4">
        <f t="shared" si="40"/>
        <v>8.2818540961882761</v>
      </c>
      <c r="AM76" s="4" t="str">
        <f t="shared" si="41"/>
        <v>.</v>
      </c>
      <c r="AN76" s="4">
        <f t="shared" si="42"/>
        <v>3.1658593527304979</v>
      </c>
      <c r="AO76" s="4">
        <f t="shared" si="43"/>
        <v>5.7716506237987222</v>
      </c>
      <c r="AP76" s="4">
        <f t="shared" si="44"/>
        <v>4.2530488399667638E-2</v>
      </c>
      <c r="AQ76" s="4" t="str">
        <f t="shared" si="45"/>
        <v>.</v>
      </c>
      <c r="AR76" s="4" t="str">
        <f t="shared" si="46"/>
        <v>.</v>
      </c>
      <c r="AS76" s="4" t="str">
        <f t="shared" si="47"/>
        <v>.</v>
      </c>
      <c r="AT76" s="4" t="str">
        <f t="shared" si="48"/>
        <v>.</v>
      </c>
      <c r="AU76" s="4" t="str">
        <f t="shared" si="49"/>
        <v>.</v>
      </c>
      <c r="AV76" s="4" t="str">
        <f t="shared" si="50"/>
        <v>.</v>
      </c>
      <c r="AX76" s="1">
        <f t="shared" si="51"/>
        <v>2809574.474505567</v>
      </c>
      <c r="AY76" s="4">
        <f t="shared" si="52"/>
        <v>4.6634158389596108</v>
      </c>
    </row>
    <row r="77" spans="1:51" x14ac:dyDescent="0.3">
      <c r="A77" s="4">
        <v>1946</v>
      </c>
      <c r="B77" s="1">
        <v>211823.43327466422</v>
      </c>
      <c r="C77" s="1">
        <v>204951.89723443112</v>
      </c>
      <c r="D77" s="1">
        <v>172361.89129566011</v>
      </c>
      <c r="E77" s="1">
        <v>872591.87375920604</v>
      </c>
      <c r="F77" s="1">
        <v>797072.9250647974</v>
      </c>
      <c r="G77" s="1">
        <v>80847.05912900134</v>
      </c>
      <c r="H77" s="1">
        <v>15720.159579587485</v>
      </c>
      <c r="I77" s="1">
        <v>362164.74734038388</v>
      </c>
      <c r="J77" s="1">
        <v>24.10139966958765</v>
      </c>
      <c r="K77" s="1">
        <v>0</v>
      </c>
      <c r="L77" s="1">
        <v>0</v>
      </c>
      <c r="M77" s="1">
        <v>0</v>
      </c>
      <c r="N77" s="1">
        <v>921825.43379422755</v>
      </c>
      <c r="O77" s="1">
        <v>95283.760877575653</v>
      </c>
      <c r="P77" s="1">
        <v>14217.816094908836</v>
      </c>
      <c r="Q77" s="1"/>
      <c r="R77" s="4">
        <f>'Direct mail readership'!B76</f>
        <v>10.412271605106577</v>
      </c>
      <c r="S77" s="4">
        <v>-9999</v>
      </c>
      <c r="T77" s="4">
        <v>-9999</v>
      </c>
      <c r="U77" s="4">
        <f>'Print newspapers, readership'!B76</f>
        <v>166.10297051776729</v>
      </c>
      <c r="V77" s="4">
        <f>'Print periodical, readership'!B76</f>
        <v>81.46713861254112</v>
      </c>
      <c r="W77" s="4">
        <v>-9999</v>
      </c>
      <c r="X77" s="4">
        <f>'Movie theater viewership'!B77</f>
        <v>311.13018789144047</v>
      </c>
      <c r="Y77" s="4">
        <f>'Radio listenership'!B76</f>
        <v>43.37380183332624</v>
      </c>
      <c r="Z77" s="4">
        <f>'Broadcast television viewership'!B76</f>
        <v>1.006420984694544</v>
      </c>
      <c r="AB77" s="4">
        <v>-9999</v>
      </c>
      <c r="AC77" s="4">
        <v>-9999</v>
      </c>
      <c r="AD77" s="4">
        <v>-9999</v>
      </c>
      <c r="AE77" s="4">
        <v>-9999</v>
      </c>
      <c r="AF77" s="4">
        <v>-9999</v>
      </c>
      <c r="AH77" s="4">
        <f t="shared" si="36"/>
        <v>29.715106233689522</v>
      </c>
      <c r="AI77" s="4" t="str">
        <f t="shared" si="37"/>
        <v>.</v>
      </c>
      <c r="AJ77" s="4" t="str">
        <f t="shared" si="38"/>
        <v>.</v>
      </c>
      <c r="AK77" s="4">
        <f t="shared" si="39"/>
        <v>2.9717981900945798</v>
      </c>
      <c r="AL77" s="4">
        <f t="shared" si="40"/>
        <v>7.6790892653201075</v>
      </c>
      <c r="AM77" s="4" t="str">
        <f t="shared" si="41"/>
        <v>.</v>
      </c>
      <c r="AN77" s="4">
        <f t="shared" si="42"/>
        <v>3.0997537545580749</v>
      </c>
      <c r="AO77" s="4">
        <f t="shared" si="43"/>
        <v>5.6017199446072583</v>
      </c>
      <c r="AP77" s="4">
        <f t="shared" si="44"/>
        <v>7.0850647957259334E-3</v>
      </c>
      <c r="AQ77" s="4" t="str">
        <f t="shared" si="45"/>
        <v>.</v>
      </c>
      <c r="AR77" s="4" t="str">
        <f t="shared" si="46"/>
        <v>.</v>
      </c>
      <c r="AS77" s="4" t="str">
        <f t="shared" si="47"/>
        <v>.</v>
      </c>
      <c r="AT77" s="4" t="str">
        <f t="shared" si="48"/>
        <v>.</v>
      </c>
      <c r="AU77" s="4" t="str">
        <f t="shared" si="49"/>
        <v>.</v>
      </c>
      <c r="AV77" s="4" t="str">
        <f t="shared" si="50"/>
        <v>.</v>
      </c>
      <c r="AX77" s="1">
        <f t="shared" si="51"/>
        <v>2259397.2404183084</v>
      </c>
      <c r="AY77" s="4">
        <f t="shared" si="52"/>
        <v>3.9341322128263791</v>
      </c>
    </row>
    <row r="78" spans="1:51" x14ac:dyDescent="0.3">
      <c r="A78" s="4">
        <v>1945</v>
      </c>
      <c r="B78" s="1">
        <v>183918.54984925938</v>
      </c>
      <c r="C78" s="1">
        <v>177952.24610175157</v>
      </c>
      <c r="D78" s="1">
        <v>146199.99415409486</v>
      </c>
      <c r="E78" s="1">
        <v>694296.04500840721</v>
      </c>
      <c r="F78" s="1">
        <v>709052.60205150698</v>
      </c>
      <c r="G78" s="1">
        <v>62053.557925081492</v>
      </c>
      <c r="H78" s="1">
        <v>14099.52457138259</v>
      </c>
      <c r="I78" s="1">
        <v>338352.94612690684</v>
      </c>
      <c r="J78" s="1">
        <v>0</v>
      </c>
      <c r="K78" s="1">
        <v>0</v>
      </c>
      <c r="L78" s="1">
        <v>0</v>
      </c>
      <c r="M78" s="1">
        <v>0</v>
      </c>
      <c r="N78" s="1">
        <v>750709.38359101501</v>
      </c>
      <c r="O78" s="1">
        <v>81038.921032166691</v>
      </c>
      <c r="P78" s="1">
        <v>12092.264884942708</v>
      </c>
      <c r="Q78" s="1"/>
      <c r="R78" s="4">
        <f>'Direct mail readership'!B77</f>
        <v>9.2513074701857789</v>
      </c>
      <c r="S78" s="4">
        <v>-9999</v>
      </c>
      <c r="T78" s="4">
        <v>-9999</v>
      </c>
      <c r="U78" s="4">
        <f>'Print newspapers, readership'!B77</f>
        <v>155.84559511887593</v>
      </c>
      <c r="V78" s="4">
        <f>'Print periodical, readership'!B77</f>
        <v>76.790781973174632</v>
      </c>
      <c r="W78" s="4">
        <v>-9999</v>
      </c>
      <c r="X78" s="4">
        <f>'Movie theater viewership'!B78</f>
        <v>274.47255311310317</v>
      </c>
      <c r="Y78" s="4">
        <f>'Radio listenership'!B77</f>
        <v>40.742337302837527</v>
      </c>
      <c r="AB78" s="4">
        <v>-9999</v>
      </c>
      <c r="AC78" s="4">
        <v>-9999</v>
      </c>
      <c r="AD78" s="4">
        <v>-9999</v>
      </c>
      <c r="AE78" s="4">
        <v>-9999</v>
      </c>
      <c r="AF78" s="4">
        <v>-9999</v>
      </c>
      <c r="AH78" s="4">
        <f t="shared" si="36"/>
        <v>29.038300247090497</v>
      </c>
      <c r="AI78" s="4" t="str">
        <f t="shared" si="37"/>
        <v>.</v>
      </c>
      <c r="AJ78" s="4" t="str">
        <f t="shared" si="38"/>
        <v>.</v>
      </c>
      <c r="AK78" s="4">
        <f t="shared" si="39"/>
        <v>2.5202040699017725</v>
      </c>
      <c r="AL78" s="4">
        <f t="shared" si="40"/>
        <v>7.2470871930920611</v>
      </c>
      <c r="AM78" s="4" t="str">
        <f t="shared" si="41"/>
        <v>.</v>
      </c>
      <c r="AN78" s="4">
        <f t="shared" si="42"/>
        <v>3.1515045771820378</v>
      </c>
      <c r="AO78" s="4">
        <f t="shared" si="43"/>
        <v>5.5714306835241905</v>
      </c>
      <c r="AP78" s="4" t="str">
        <f t="shared" si="44"/>
        <v>.</v>
      </c>
      <c r="AQ78" s="4" t="str">
        <f t="shared" si="45"/>
        <v>.</v>
      </c>
      <c r="AR78" s="4" t="str">
        <f t="shared" si="46"/>
        <v>.</v>
      </c>
      <c r="AS78" s="4" t="str">
        <f t="shared" si="47"/>
        <v>.</v>
      </c>
      <c r="AT78" s="4" t="str">
        <f t="shared" si="48"/>
        <v>.</v>
      </c>
      <c r="AU78" s="4" t="str">
        <f t="shared" si="49"/>
        <v>.</v>
      </c>
      <c r="AV78" s="4" t="str">
        <f t="shared" si="50"/>
        <v>.</v>
      </c>
      <c r="AX78" s="1">
        <f t="shared" si="51"/>
        <v>1939719.6676074632</v>
      </c>
      <c r="AY78" s="4">
        <f t="shared" si="52"/>
        <v>3.6127142157722614</v>
      </c>
    </row>
    <row r="79" spans="1:51" x14ac:dyDescent="0.3">
      <c r="A79" s="4">
        <v>1944</v>
      </c>
      <c r="B79" s="1">
        <v>206749.81810640881</v>
      </c>
      <c r="C79" s="1">
        <v>200042.86975576211</v>
      </c>
      <c r="D79" s="1">
        <v>133597.03749794324</v>
      </c>
      <c r="E79" s="1">
        <v>669364.8486152871</v>
      </c>
      <c r="F79" s="1">
        <v>624699.79249710357</v>
      </c>
      <c r="G79" s="1">
        <v>49596.979092425579</v>
      </c>
      <c r="H79" s="1">
        <v>10974.014198416007</v>
      </c>
      <c r="I79" s="1">
        <v>314980.27179037279</v>
      </c>
      <c r="J79" s="1">
        <v>0</v>
      </c>
      <c r="K79" s="1">
        <v>0</v>
      </c>
      <c r="L79" s="1">
        <v>0</v>
      </c>
      <c r="M79" s="1">
        <v>0</v>
      </c>
      <c r="N79" s="1">
        <v>658639.30102077092</v>
      </c>
      <c r="O79" s="1">
        <v>74252.619235757535</v>
      </c>
      <c r="P79" s="1">
        <v>11079.643321548874</v>
      </c>
      <c r="Q79" s="1"/>
      <c r="R79" s="4">
        <f>'Direct mail readership'!B78</f>
        <v>7.8436157774381536</v>
      </c>
      <c r="S79" s="4">
        <v>-9999</v>
      </c>
      <c r="T79" s="4">
        <v>-9999</v>
      </c>
      <c r="U79" s="4">
        <f>'Print newspapers, readership'!B78</f>
        <v>150.4468810008681</v>
      </c>
      <c r="V79" s="4">
        <f>'Print periodical, readership'!B78</f>
        <v>72.382856406642958</v>
      </c>
      <c r="W79" s="4">
        <v>-9999</v>
      </c>
      <c r="X79" s="4">
        <f>'Movie theater viewership'!B79</f>
        <v>269.70477557411272</v>
      </c>
      <c r="Y79" s="4">
        <f>'Radio listenership'!B78</f>
        <v>38.247005156621945</v>
      </c>
      <c r="AB79" s="4">
        <v>-9999</v>
      </c>
      <c r="AC79" s="4">
        <v>-9999</v>
      </c>
      <c r="AD79" s="4">
        <v>-9999</v>
      </c>
      <c r="AE79" s="4">
        <v>-9999</v>
      </c>
      <c r="AF79" s="4">
        <v>-9999</v>
      </c>
      <c r="AH79" s="4">
        <f t="shared" si="36"/>
        <v>38.501495346619265</v>
      </c>
      <c r="AI79" s="4" t="str">
        <f t="shared" si="37"/>
        <v>.</v>
      </c>
      <c r="AJ79" s="4" t="str">
        <f t="shared" si="38"/>
        <v>.</v>
      </c>
      <c r="AK79" s="4">
        <f t="shared" si="39"/>
        <v>2.5168959517705916</v>
      </c>
      <c r="AL79" s="4">
        <f t="shared" si="40"/>
        <v>6.7737593857261871</v>
      </c>
      <c r="AM79" s="4" t="str">
        <f t="shared" si="41"/>
        <v>.</v>
      </c>
      <c r="AN79" s="4">
        <f t="shared" si="42"/>
        <v>2.4962568919206758</v>
      </c>
      <c r="AO79" s="4">
        <f t="shared" si="43"/>
        <v>5.524953513534359</v>
      </c>
      <c r="AP79" s="4" t="str">
        <f t="shared" si="44"/>
        <v>.</v>
      </c>
      <c r="AQ79" s="4" t="str">
        <f t="shared" si="45"/>
        <v>.</v>
      </c>
      <c r="AR79" s="4" t="str">
        <f t="shared" si="46"/>
        <v>.</v>
      </c>
      <c r="AS79" s="4" t="str">
        <f t="shared" si="47"/>
        <v>.</v>
      </c>
      <c r="AT79" s="4" t="str">
        <f t="shared" si="48"/>
        <v>.</v>
      </c>
      <c r="AU79" s="4" t="str">
        <f t="shared" si="49"/>
        <v>.</v>
      </c>
      <c r="AV79" s="4" t="str">
        <f t="shared" si="50"/>
        <v>.</v>
      </c>
      <c r="AX79" s="1">
        <f t="shared" si="51"/>
        <v>1826768.7452075882</v>
      </c>
      <c r="AY79" s="4">
        <f t="shared" si="52"/>
        <v>3.6194400822530284</v>
      </c>
    </row>
    <row r="80" spans="1:51" x14ac:dyDescent="0.3">
      <c r="A80" s="4">
        <v>1943</v>
      </c>
      <c r="B80" s="1">
        <v>204213.01052228108</v>
      </c>
      <c r="C80" s="1">
        <v>197588.3560164276</v>
      </c>
      <c r="D80" s="1">
        <v>120023.0457236341</v>
      </c>
      <c r="E80" s="1">
        <v>679186.22901257686</v>
      </c>
      <c r="F80" s="1">
        <v>520786.91116196889</v>
      </c>
      <c r="G80" s="1">
        <v>40773.56908596096</v>
      </c>
      <c r="H80" s="1">
        <v>10117.392836936277</v>
      </c>
      <c r="I80" s="1">
        <v>248230.37273679383</v>
      </c>
      <c r="J80" s="1">
        <v>0</v>
      </c>
      <c r="K80" s="1">
        <v>0</v>
      </c>
      <c r="L80" s="1">
        <v>0</v>
      </c>
      <c r="M80" s="1">
        <v>0</v>
      </c>
      <c r="N80" s="1">
        <v>568134.63104054471</v>
      </c>
      <c r="O80" s="1">
        <v>66888.005868241438</v>
      </c>
      <c r="P80" s="1">
        <v>9980.7286953306138</v>
      </c>
      <c r="Q80" s="1"/>
      <c r="R80" s="4">
        <f>'Direct mail readership'!B79</f>
        <v>8.3062612150268951</v>
      </c>
      <c r="S80" s="4">
        <v>-9999</v>
      </c>
      <c r="T80" s="4">
        <v>-9999</v>
      </c>
      <c r="U80" s="4">
        <f>'Print newspapers, readership'!B79</f>
        <v>145.23518605466131</v>
      </c>
      <c r="V80" s="4">
        <f>'Print periodical, readership'!B79</f>
        <v>68.227953498571395</v>
      </c>
      <c r="W80" s="4">
        <v>-9999</v>
      </c>
      <c r="X80" s="4">
        <f>'Movie theater viewership'!B80</f>
        <v>273.52609603340289</v>
      </c>
      <c r="Y80" s="4">
        <f>'Radio listenership'!B79</f>
        <v>35.866797669865925</v>
      </c>
      <c r="AB80" s="4">
        <v>-9999</v>
      </c>
      <c r="AC80" s="4">
        <v>-9999</v>
      </c>
      <c r="AD80" s="4">
        <v>-9999</v>
      </c>
      <c r="AE80" s="4">
        <v>-9999</v>
      </c>
      <c r="AF80" s="4">
        <v>-9999</v>
      </c>
      <c r="AH80" s="4">
        <f t="shared" si="36"/>
        <v>35.910925309457113</v>
      </c>
      <c r="AI80" s="4" t="str">
        <f t="shared" si="37"/>
        <v>.</v>
      </c>
      <c r="AJ80" s="4" t="str">
        <f t="shared" si="38"/>
        <v>.</v>
      </c>
      <c r="AK80" s="4">
        <f t="shared" si="39"/>
        <v>2.6454683814482838</v>
      </c>
      <c r="AL80" s="4">
        <f t="shared" si="40"/>
        <v>5.9908967857466751</v>
      </c>
      <c r="AM80" s="4" t="str">
        <f t="shared" si="41"/>
        <v>.</v>
      </c>
      <c r="AN80" s="4">
        <f t="shared" si="42"/>
        <v>2.2692494648682655</v>
      </c>
      <c r="AO80" s="4">
        <f t="shared" si="43"/>
        <v>4.6430678034430484</v>
      </c>
      <c r="AP80" s="4" t="str">
        <f t="shared" si="44"/>
        <v>.</v>
      </c>
      <c r="AQ80" s="4" t="str">
        <f t="shared" si="45"/>
        <v>.</v>
      </c>
      <c r="AR80" s="4" t="str">
        <f t="shared" si="46"/>
        <v>.</v>
      </c>
      <c r="AS80" s="4" t="str">
        <f t="shared" si="47"/>
        <v>.</v>
      </c>
      <c r="AT80" s="4" t="str">
        <f t="shared" si="48"/>
        <v>.</v>
      </c>
      <c r="AU80" s="4" t="str">
        <f t="shared" si="49"/>
        <v>.</v>
      </c>
      <c r="AV80" s="4" t="str">
        <f t="shared" si="50"/>
        <v>.</v>
      </c>
      <c r="AX80" s="1">
        <f t="shared" si="51"/>
        <v>1662533.9162705571</v>
      </c>
      <c r="AY80" s="4">
        <f t="shared" si="52"/>
        <v>3.4157828489996533</v>
      </c>
    </row>
    <row r="81" spans="1:51" x14ac:dyDescent="0.3">
      <c r="A81" s="4">
        <v>1942</v>
      </c>
      <c r="B81" s="1">
        <v>208652.42379450458</v>
      </c>
      <c r="C81" s="1">
        <v>201883.75506026301</v>
      </c>
      <c r="D81" s="1">
        <v>97160.147806538866</v>
      </c>
      <c r="E81" s="1">
        <v>602126.16743384174</v>
      </c>
      <c r="F81" s="1">
        <v>360638.82345723198</v>
      </c>
      <c r="G81" s="1">
        <v>40049.349386387941</v>
      </c>
      <c r="H81" s="1">
        <v>8311.5423992222513</v>
      </c>
      <c r="I81" s="1">
        <v>208190.3001252657</v>
      </c>
      <c r="J81" s="1">
        <v>0</v>
      </c>
      <c r="K81" s="1">
        <v>0</v>
      </c>
      <c r="L81" s="1">
        <v>0</v>
      </c>
      <c r="M81" s="1">
        <v>0</v>
      </c>
      <c r="N81" s="1">
        <v>441591.0793596282</v>
      </c>
      <c r="O81" s="1">
        <v>54292.573409254022</v>
      </c>
      <c r="P81" s="1">
        <v>8101.2946691294765</v>
      </c>
      <c r="Q81" s="1"/>
      <c r="R81" s="4">
        <f>'Direct mail readership'!B80</f>
        <v>9.1788701594740036</v>
      </c>
      <c r="S81" s="4">
        <v>-9999</v>
      </c>
      <c r="T81" s="4">
        <v>-9999</v>
      </c>
      <c r="U81" s="4">
        <f>'Print newspapers, readership'!B80</f>
        <v>140.20403166889429</v>
      </c>
      <c r="V81" s="4">
        <f>'Print periodical, readership'!B80</f>
        <v>64.311549304594749</v>
      </c>
      <c r="W81" s="4">
        <v>-9999</v>
      </c>
      <c r="X81" s="4">
        <f>'Movie theater viewership'!B81</f>
        <v>226.81028003743427</v>
      </c>
      <c r="Y81" s="4">
        <f>'Radio listenership'!B80</f>
        <v>35.930030575003215</v>
      </c>
      <c r="AB81" s="4">
        <v>-9999</v>
      </c>
      <c r="AC81" s="4">
        <v>-9999</v>
      </c>
      <c r="AD81" s="4">
        <v>-9999</v>
      </c>
      <c r="AE81" s="4">
        <v>-9999</v>
      </c>
      <c r="AF81" s="4">
        <v>-9999</v>
      </c>
      <c r="AH81" s="4">
        <f t="shared" si="36"/>
        <v>33.20343231325262</v>
      </c>
      <c r="AI81" s="4" t="str">
        <f t="shared" si="37"/>
        <v>.</v>
      </c>
      <c r="AJ81" s="4" t="str">
        <f t="shared" si="38"/>
        <v>.</v>
      </c>
      <c r="AK81" s="4">
        <f t="shared" si="39"/>
        <v>2.4294756356720226</v>
      </c>
      <c r="AL81" s="4">
        <f t="shared" si="40"/>
        <v>4.4012661019530448</v>
      </c>
      <c r="AM81" s="4" t="str">
        <f t="shared" si="41"/>
        <v>.</v>
      </c>
      <c r="AN81" s="4">
        <f t="shared" si="42"/>
        <v>2.2481810637297519</v>
      </c>
      <c r="AO81" s="4">
        <f t="shared" si="43"/>
        <v>3.8872781188664698</v>
      </c>
      <c r="AP81" s="4" t="str">
        <f t="shared" si="44"/>
        <v>.</v>
      </c>
      <c r="AQ81" s="4" t="str">
        <f t="shared" si="45"/>
        <v>.</v>
      </c>
      <c r="AR81" s="4" t="str">
        <f t="shared" si="46"/>
        <v>.</v>
      </c>
      <c r="AS81" s="4" t="str">
        <f t="shared" si="47"/>
        <v>.</v>
      </c>
      <c r="AT81" s="4" t="str">
        <f t="shared" si="48"/>
        <v>.</v>
      </c>
      <c r="AU81" s="4" t="str">
        <f t="shared" si="49"/>
        <v>.</v>
      </c>
      <c r="AV81" s="4" t="str">
        <f t="shared" si="50"/>
        <v>.</v>
      </c>
      <c r="AX81" s="1">
        <f t="shared" si="51"/>
        <v>1387919.2572100661</v>
      </c>
      <c r="AY81" s="4">
        <f t="shared" si="52"/>
        <v>2.9045680191815393</v>
      </c>
    </row>
    <row r="82" spans="1:51" x14ac:dyDescent="0.3">
      <c r="A82" s="4">
        <v>1941</v>
      </c>
      <c r="B82" s="1">
        <v>223873.26929927088</v>
      </c>
      <c r="C82" s="1">
        <v>216610.83749627002</v>
      </c>
      <c r="D82" s="1">
        <v>100167.80154189628</v>
      </c>
      <c r="E82" s="1">
        <v>637634.23502404324</v>
      </c>
      <c r="F82" s="1">
        <v>381332.81244264328</v>
      </c>
      <c r="G82" s="1">
        <v>32622.05118701794</v>
      </c>
      <c r="H82" s="1">
        <v>8635.6694008632294</v>
      </c>
      <c r="I82" s="1">
        <v>196657.68480114633</v>
      </c>
      <c r="J82" s="1">
        <v>0</v>
      </c>
      <c r="K82" s="1">
        <v>0</v>
      </c>
      <c r="L82" s="1">
        <v>0</v>
      </c>
      <c r="M82" s="1">
        <v>0</v>
      </c>
      <c r="N82" s="1">
        <v>437135.11457728205</v>
      </c>
      <c r="O82" s="1">
        <v>56124.057086787609</v>
      </c>
      <c r="P82" s="1">
        <v>8374.5804616734622</v>
      </c>
      <c r="Q82" s="1"/>
      <c r="R82" s="4">
        <f>'Direct mail readership'!B81</f>
        <v>9.8071861550641</v>
      </c>
      <c r="S82" s="4">
        <v>-9999</v>
      </c>
      <c r="T82" s="4">
        <v>-9999</v>
      </c>
      <c r="U82" s="4">
        <f>'Print newspapers, readership'!B81</f>
        <v>135.34716366056131</v>
      </c>
      <c r="V82" s="4">
        <f>'Print periodical, readership'!B81</f>
        <v>60.619953580227552</v>
      </c>
      <c r="W82" s="4">
        <v>-9999</v>
      </c>
      <c r="X82" s="4">
        <f>'Movie theater viewership'!B82</f>
        <v>185.95177453027136</v>
      </c>
      <c r="Y82" s="4">
        <f>'Radio listenership'!B81</f>
        <v>33.952449844612396</v>
      </c>
      <c r="AB82" s="4">
        <v>-9999</v>
      </c>
      <c r="AC82" s="4">
        <v>-9999</v>
      </c>
      <c r="AD82" s="4">
        <v>-9999</v>
      </c>
      <c r="AE82" s="4">
        <v>-9999</v>
      </c>
      <c r="AF82" s="4">
        <v>-9999</v>
      </c>
      <c r="AH82" s="4">
        <f t="shared" si="36"/>
        <v>33.343147611771947</v>
      </c>
      <c r="AI82" s="4" t="str">
        <f t="shared" si="37"/>
        <v>.</v>
      </c>
      <c r="AJ82" s="4" t="str">
        <f t="shared" si="38"/>
        <v>.</v>
      </c>
      <c r="AK82" s="4">
        <f t="shared" si="39"/>
        <v>2.6650662925888491</v>
      </c>
      <c r="AL82" s="4">
        <f t="shared" si="40"/>
        <v>4.9372224894181436</v>
      </c>
      <c r="AM82" s="4" t="str">
        <f t="shared" si="41"/>
        <v>.</v>
      </c>
      <c r="AN82" s="4">
        <f t="shared" si="42"/>
        <v>2.8491025165149426</v>
      </c>
      <c r="AO82" s="4">
        <f t="shared" si="43"/>
        <v>3.8858185300091628</v>
      </c>
      <c r="AP82" s="4" t="str">
        <f t="shared" si="44"/>
        <v>.</v>
      </c>
      <c r="AQ82" s="4" t="str">
        <f t="shared" si="45"/>
        <v>.</v>
      </c>
      <c r="AR82" s="4" t="str">
        <f t="shared" si="46"/>
        <v>.</v>
      </c>
      <c r="AS82" s="4" t="str">
        <f t="shared" si="47"/>
        <v>.</v>
      </c>
      <c r="AT82" s="4" t="str">
        <f t="shared" si="48"/>
        <v>.</v>
      </c>
      <c r="AU82" s="4" t="str">
        <f t="shared" si="49"/>
        <v>.</v>
      </c>
      <c r="AV82" s="4" t="str">
        <f t="shared" si="50"/>
        <v>.</v>
      </c>
      <c r="AX82" s="1">
        <f t="shared" si="51"/>
        <v>1448133.6709679668</v>
      </c>
      <c r="AY82" s="4">
        <f t="shared" si="52"/>
        <v>3.1230470803373369</v>
      </c>
    </row>
    <row r="83" spans="1:51" x14ac:dyDescent="0.3">
      <c r="A83" s="4">
        <v>1940</v>
      </c>
      <c r="B83" s="1">
        <v>211823.43327466425</v>
      </c>
      <c r="C83" s="1">
        <v>204951.89723443115</v>
      </c>
      <c r="D83" s="1">
        <v>92946.480949737204</v>
      </c>
      <c r="E83" s="1">
        <v>615725.00183008914</v>
      </c>
      <c r="F83" s="1">
        <v>343187.12897895277</v>
      </c>
      <c r="G83" s="1">
        <v>30061.05010457095</v>
      </c>
      <c r="H83" s="1">
        <v>7038.1863213469742</v>
      </c>
      <c r="I83" s="1">
        <v>172283.1840836526</v>
      </c>
      <c r="J83" s="1">
        <v>0</v>
      </c>
      <c r="K83" s="1">
        <v>0</v>
      </c>
      <c r="L83" s="1">
        <v>0</v>
      </c>
      <c r="M83" s="1">
        <v>0</v>
      </c>
      <c r="N83" s="1">
        <v>389480.82458346232</v>
      </c>
      <c r="O83" s="1">
        <v>52218.275158317367</v>
      </c>
      <c r="P83" s="1">
        <v>7791.7771733234395</v>
      </c>
      <c r="Q83" s="1"/>
      <c r="R83" s="4">
        <f>'Direct mail readership'!B82</f>
        <v>9.1552669819333925</v>
      </c>
      <c r="S83" s="4">
        <v>-9999</v>
      </c>
      <c r="T83" s="4">
        <v>-9999</v>
      </c>
      <c r="U83" s="4">
        <f>'Print newspapers, readership'!B82</f>
        <v>130.65854450049309</v>
      </c>
      <c r="V83" s="4">
        <f>'Print periodical, readership'!B82</f>
        <v>57.140261925028732</v>
      </c>
      <c r="W83" s="4">
        <v>-9999</v>
      </c>
      <c r="X83" s="4">
        <f>'Movie theater viewership'!B83</f>
        <v>168.94258872651352</v>
      </c>
      <c r="Y83" s="4">
        <f>'Radio listenership'!B82</f>
        <v>32.839731232371129</v>
      </c>
      <c r="AB83" s="4">
        <v>-9999</v>
      </c>
      <c r="AC83" s="4">
        <v>-9999</v>
      </c>
      <c r="AD83" s="4">
        <v>-9999</v>
      </c>
      <c r="AE83" s="4">
        <v>-9999</v>
      </c>
      <c r="AF83" s="4">
        <v>-9999</v>
      </c>
      <c r="AH83" s="4">
        <f t="shared" si="36"/>
        <v>33.794946394281119</v>
      </c>
      <c r="AI83" s="4" t="str">
        <f t="shared" si="37"/>
        <v>.</v>
      </c>
      <c r="AJ83" s="4" t="str">
        <f t="shared" si="38"/>
        <v>.</v>
      </c>
      <c r="AK83" s="4">
        <f t="shared" si="39"/>
        <v>2.6658427105270075</v>
      </c>
      <c r="AL83" s="4">
        <f t="shared" si="40"/>
        <v>4.7139273637863006</v>
      </c>
      <c r="AM83" s="4" t="str">
        <f t="shared" si="41"/>
        <v>.</v>
      </c>
      <c r="AN83" s="4">
        <f t="shared" si="42"/>
        <v>2.5558420473878605</v>
      </c>
      <c r="AO83" s="4">
        <f t="shared" si="43"/>
        <v>3.5195408057745676</v>
      </c>
      <c r="AP83" s="4" t="str">
        <f t="shared" si="44"/>
        <v>.</v>
      </c>
      <c r="AQ83" s="4" t="str">
        <f t="shared" si="45"/>
        <v>.</v>
      </c>
      <c r="AR83" s="4" t="str">
        <f t="shared" si="46"/>
        <v>.</v>
      </c>
      <c r="AS83" s="4" t="str">
        <f t="shared" si="47"/>
        <v>.</v>
      </c>
      <c r="AT83" s="4" t="str">
        <f t="shared" si="48"/>
        <v>.</v>
      </c>
      <c r="AU83" s="4" t="str">
        <f t="shared" si="49"/>
        <v>.</v>
      </c>
      <c r="AV83" s="4" t="str">
        <f t="shared" si="50"/>
        <v>.</v>
      </c>
      <c r="AX83" s="1">
        <f t="shared" si="51"/>
        <v>1350056.9344887058</v>
      </c>
      <c r="AY83" s="4">
        <f t="shared" si="52"/>
        <v>3.0507573785692648</v>
      </c>
    </row>
    <row r="84" spans="1:51" x14ac:dyDescent="0.3">
      <c r="A84" s="4">
        <v>1939</v>
      </c>
      <c r="B84" s="1">
        <v>211189.23137863231</v>
      </c>
      <c r="C84" s="1">
        <v>204338.26879959751</v>
      </c>
      <c r="D84" s="1">
        <v>86899.591423561418</v>
      </c>
      <c r="E84" s="1">
        <v>599104.20423467574</v>
      </c>
      <c r="F84" s="1">
        <v>311738.64400540391</v>
      </c>
      <c r="G84" s="1">
        <v>28282.591150702949</v>
      </c>
      <c r="H84" s="1">
        <v>7501.2248951198017</v>
      </c>
      <c r="I84" s="1">
        <v>146745.67635189783</v>
      </c>
      <c r="J84" s="1">
        <v>0</v>
      </c>
      <c r="K84" s="1">
        <v>0</v>
      </c>
      <c r="L84" s="1">
        <v>0</v>
      </c>
      <c r="M84" s="1">
        <v>0</v>
      </c>
      <c r="N84" s="1">
        <v>349153.90140045114</v>
      </c>
      <c r="O84" s="1">
        <v>48952.622233926777</v>
      </c>
      <c r="P84" s="1">
        <v>7304.4910683129292</v>
      </c>
      <c r="Q84" s="1"/>
      <c r="R84" s="4">
        <f>'Direct mail readership'!B83</f>
        <v>8.44630499216054</v>
      </c>
      <c r="S84" s="4">
        <v>-9999</v>
      </c>
      <c r="T84" s="4">
        <v>-9999</v>
      </c>
      <c r="U84" s="4">
        <f>'Print newspapers, readership'!B83</f>
        <v>128.2268720997246</v>
      </c>
      <c r="V84" s="4">
        <f>'Print periodical, readership'!B83</f>
        <v>53.860310673775217</v>
      </c>
      <c r="W84" s="4">
        <v>-9999</v>
      </c>
      <c r="X84" s="4">
        <f>'Movie theater viewership'!B84</f>
        <v>151.47369519832984</v>
      </c>
      <c r="Y84" s="4">
        <f>'Radio listenership'!B83</f>
        <v>31.457203466556223</v>
      </c>
      <c r="AB84" s="4">
        <v>-9999</v>
      </c>
      <c r="AC84" s="4">
        <v>-9999</v>
      </c>
      <c r="AD84" s="4">
        <v>-9999</v>
      </c>
      <c r="AE84" s="4">
        <v>-9999</v>
      </c>
      <c r="AF84" s="4">
        <v>-9999</v>
      </c>
      <c r="AH84" s="4">
        <f t="shared" si="36"/>
        <v>36.521935284195258</v>
      </c>
      <c r="AI84" s="4" t="str">
        <f t="shared" si="37"/>
        <v>.</v>
      </c>
      <c r="AJ84" s="4" t="str">
        <f t="shared" si="38"/>
        <v>.</v>
      </c>
      <c r="AK84" s="4">
        <f t="shared" si="39"/>
        <v>2.6430712323411445</v>
      </c>
      <c r="AL84" s="4">
        <f t="shared" si="40"/>
        <v>4.5427193763225464</v>
      </c>
      <c r="AM84" s="4" t="str">
        <f t="shared" si="41"/>
        <v>.</v>
      </c>
      <c r="AN84" s="4">
        <f t="shared" si="42"/>
        <v>3.0381370555713647</v>
      </c>
      <c r="AO84" s="4">
        <f t="shared" si="43"/>
        <v>3.1295933631434383</v>
      </c>
      <c r="AP84" s="4" t="str">
        <f t="shared" si="44"/>
        <v>.</v>
      </c>
      <c r="AQ84" s="4" t="str">
        <f t="shared" si="45"/>
        <v>.</v>
      </c>
      <c r="AR84" s="4" t="str">
        <f t="shared" si="46"/>
        <v>.</v>
      </c>
      <c r="AS84" s="4" t="str">
        <f t="shared" si="47"/>
        <v>.</v>
      </c>
      <c r="AT84" s="4" t="str">
        <f t="shared" si="48"/>
        <v>.</v>
      </c>
      <c r="AU84" s="4" t="str">
        <f t="shared" si="49"/>
        <v>.</v>
      </c>
      <c r="AV84" s="4" t="str">
        <f t="shared" si="50"/>
        <v>.</v>
      </c>
      <c r="AX84" s="1">
        <f t="shared" si="51"/>
        <v>1276278.9808657295</v>
      </c>
      <c r="AY84" s="4">
        <f t="shared" si="52"/>
        <v>3.0083384902032027</v>
      </c>
    </row>
    <row r="85" spans="1:51" x14ac:dyDescent="0.3">
      <c r="A85" s="4">
        <v>1938</v>
      </c>
      <c r="B85" s="1">
        <v>205481.41431434496</v>
      </c>
      <c r="C85" s="1">
        <v>198815.61288609487</v>
      </c>
      <c r="D85" s="1">
        <v>75253.08319545268</v>
      </c>
      <c r="E85" s="1">
        <v>590793.80543696904</v>
      </c>
      <c r="F85" s="1">
        <v>284843.54530689842</v>
      </c>
      <c r="G85" s="1">
        <v>27168.550407847808</v>
      </c>
      <c r="H85" s="1">
        <v>7779.0480393834987</v>
      </c>
      <c r="I85" s="1">
        <v>130915.03240748972</v>
      </c>
      <c r="J85" s="1">
        <v>0</v>
      </c>
      <c r="K85" s="1">
        <v>0</v>
      </c>
      <c r="L85" s="1">
        <v>0</v>
      </c>
      <c r="M85" s="1">
        <v>0</v>
      </c>
      <c r="N85" s="1">
        <v>320583.61750728812</v>
      </c>
      <c r="O85" s="1">
        <v>46732.315501972596</v>
      </c>
      <c r="P85" s="1">
        <v>6973.1868408300097</v>
      </c>
      <c r="Q85" s="1"/>
      <c r="R85" s="4">
        <f>'Direct mail readership'!B84</f>
        <v>8.7770914849685422</v>
      </c>
      <c r="S85" s="4">
        <v>-9999</v>
      </c>
      <c r="T85" s="4">
        <v>-9999</v>
      </c>
      <c r="U85" s="4">
        <f>'Print newspapers, readership'!B84</f>
        <v>125.84045529771743</v>
      </c>
      <c r="V85" s="4">
        <f>'Print periodical, readership'!B84</f>
        <v>52.099296090947263</v>
      </c>
      <c r="W85" s="4">
        <v>-9999</v>
      </c>
      <c r="X85" s="4">
        <f>'Movie theater viewership'!B85</f>
        <v>158.03729993041054</v>
      </c>
      <c r="Y85" s="4">
        <f>'Radio listenership'!B84</f>
        <v>30.667030056051704</v>
      </c>
      <c r="AB85" s="4">
        <v>-9999</v>
      </c>
      <c r="AC85" s="4">
        <v>-9999</v>
      </c>
      <c r="AD85" s="4">
        <v>-9999</v>
      </c>
      <c r="AE85" s="4">
        <v>-9999</v>
      </c>
      <c r="AF85" s="4">
        <v>-9999</v>
      </c>
      <c r="AH85" s="4">
        <f t="shared" si="36"/>
        <v>34.195636645544624</v>
      </c>
      <c r="AI85" s="4" t="str">
        <f t="shared" si="37"/>
        <v>.</v>
      </c>
      <c r="AJ85" s="4" t="str">
        <f t="shared" si="38"/>
        <v>.</v>
      </c>
      <c r="AK85" s="4">
        <f t="shared" si="39"/>
        <v>2.6558356792874083</v>
      </c>
      <c r="AL85" s="4">
        <f t="shared" si="40"/>
        <v>4.2911001286660504</v>
      </c>
      <c r="AM85" s="4" t="str">
        <f t="shared" si="41"/>
        <v>.</v>
      </c>
      <c r="AN85" s="4">
        <f t="shared" si="42"/>
        <v>3.0198074202436347</v>
      </c>
      <c r="AO85" s="4">
        <f t="shared" si="43"/>
        <v>2.8639175313743364</v>
      </c>
      <c r="AP85" s="4" t="str">
        <f t="shared" si="44"/>
        <v>.</v>
      </c>
      <c r="AQ85" s="4" t="str">
        <f t="shared" si="45"/>
        <v>.</v>
      </c>
      <c r="AR85" s="4" t="str">
        <f t="shared" si="46"/>
        <v>.</v>
      </c>
      <c r="AS85" s="4" t="str">
        <f t="shared" si="47"/>
        <v>.</v>
      </c>
      <c r="AT85" s="4" t="str">
        <f t="shared" si="48"/>
        <v>.</v>
      </c>
      <c r="AU85" s="4" t="str">
        <f t="shared" si="49"/>
        <v>.</v>
      </c>
      <c r="AV85" s="4" t="str">
        <f t="shared" si="50"/>
        <v>.</v>
      </c>
      <c r="AX85" s="1">
        <f t="shared" si="51"/>
        <v>1219812.8455050855</v>
      </c>
      <c r="AY85" s="4">
        <f t="shared" si="52"/>
        <v>2.9129713228178109</v>
      </c>
    </row>
    <row r="86" spans="1:51" x14ac:dyDescent="0.3">
      <c r="A86" s="4">
        <v>1937</v>
      </c>
      <c r="B86" s="1">
        <v>211189.23137863231</v>
      </c>
      <c r="C86" s="1">
        <v>204338.26879959751</v>
      </c>
      <c r="D86" s="1">
        <v>75796.062243250984</v>
      </c>
      <c r="E86" s="1">
        <v>657276.99581862276</v>
      </c>
      <c r="F86" s="1">
        <v>330076.21129983937</v>
      </c>
      <c r="G86" s="1">
        <v>25012.734603837493</v>
      </c>
      <c r="H86" s="1">
        <v>7339.1613942993108</v>
      </c>
      <c r="I86" s="1">
        <v>129303.37705144289</v>
      </c>
      <c r="J86" s="1">
        <v>0</v>
      </c>
      <c r="K86" s="1">
        <v>0</v>
      </c>
      <c r="L86" s="1">
        <v>0</v>
      </c>
      <c r="M86" s="1">
        <v>0</v>
      </c>
      <c r="N86" s="1">
        <v>342362.37578538328</v>
      </c>
      <c r="O86" s="1">
        <v>51888.894926759938</v>
      </c>
      <c r="P86" s="1">
        <v>7742.62853021311</v>
      </c>
      <c r="Q86" s="1"/>
      <c r="R86" s="4">
        <f>'Direct mail readership'!B85</f>
        <v>8.6325530471721166</v>
      </c>
      <c r="S86" s="4">
        <v>-9999</v>
      </c>
      <c r="T86" s="4">
        <v>-9999</v>
      </c>
      <c r="U86" s="4">
        <f>'Print newspapers, readership'!B85</f>
        <v>123.49845184729287</v>
      </c>
      <c r="V86" s="4">
        <f>'Print periodical, readership'!B85</f>
        <v>50.395859571114819</v>
      </c>
      <c r="W86" s="4">
        <v>-9999</v>
      </c>
      <c r="X86" s="4">
        <f>'Movie theater viewership'!B86</f>
        <v>167.33361169102295</v>
      </c>
      <c r="Y86" s="4">
        <f>'Radio listenership'!B85</f>
        <v>27.6816963050696</v>
      </c>
      <c r="AB86" s="4">
        <v>-9999</v>
      </c>
      <c r="AC86" s="4">
        <v>-9999</v>
      </c>
      <c r="AD86" s="4">
        <v>-9999</v>
      </c>
      <c r="AE86" s="4">
        <v>-9999</v>
      </c>
      <c r="AF86" s="4">
        <v>-9999</v>
      </c>
      <c r="AH86" s="4">
        <f t="shared" si="36"/>
        <v>35.733971471546774</v>
      </c>
      <c r="AI86" s="4" t="str">
        <f t="shared" si="37"/>
        <v>.</v>
      </c>
      <c r="AJ86" s="4" t="str">
        <f t="shared" si="38"/>
        <v>.</v>
      </c>
      <c r="AK86" s="4">
        <f t="shared" si="39"/>
        <v>3.0107345620539894</v>
      </c>
      <c r="AL86" s="4">
        <f t="shared" si="40"/>
        <v>5.1405961917197711</v>
      </c>
      <c r="AM86" s="4" t="str">
        <f t="shared" si="41"/>
        <v>.</v>
      </c>
      <c r="AN86" s="4">
        <f t="shared" si="42"/>
        <v>2.6907642506106053</v>
      </c>
      <c r="AO86" s="4">
        <f t="shared" si="43"/>
        <v>3.1337177472358837</v>
      </c>
      <c r="AP86" s="4" t="str">
        <f t="shared" si="44"/>
        <v>.</v>
      </c>
      <c r="AQ86" s="4" t="str">
        <f t="shared" si="45"/>
        <v>.</v>
      </c>
      <c r="AR86" s="4" t="str">
        <f t="shared" si="46"/>
        <v>.</v>
      </c>
      <c r="AS86" s="4" t="str">
        <f t="shared" si="47"/>
        <v>.</v>
      </c>
      <c r="AT86" s="4" t="str">
        <f t="shared" si="48"/>
        <v>.</v>
      </c>
      <c r="AU86" s="4" t="str">
        <f t="shared" si="49"/>
        <v>.</v>
      </c>
      <c r="AV86" s="4" t="str">
        <f t="shared" si="50"/>
        <v>.</v>
      </c>
      <c r="AX86" s="1">
        <f t="shared" si="51"/>
        <v>1335184.9769428368</v>
      </c>
      <c r="AY86" s="4">
        <f t="shared" si="52"/>
        <v>3.285687642711308</v>
      </c>
    </row>
    <row r="87" spans="1:51" x14ac:dyDescent="0.3">
      <c r="A87" s="4">
        <v>1936</v>
      </c>
      <c r="B87" s="1">
        <v>202310.40483418529</v>
      </c>
      <c r="C87" s="1">
        <v>195747.47071192673</v>
      </c>
      <c r="D87" s="1">
        <v>68721.080681805674</v>
      </c>
      <c r="E87" s="1">
        <v>636123.25342446018</v>
      </c>
      <c r="F87" s="1">
        <v>277508.51838912425</v>
      </c>
      <c r="G87" s="1">
        <v>21975.5618482801</v>
      </c>
      <c r="H87" s="1">
        <v>6598.2996762627881</v>
      </c>
      <c r="I87" s="1">
        <v>97428.125783759853</v>
      </c>
      <c r="J87" s="1">
        <v>0</v>
      </c>
      <c r="K87" s="1">
        <v>0</v>
      </c>
      <c r="L87" s="1">
        <v>0</v>
      </c>
      <c r="M87" s="1">
        <v>0</v>
      </c>
      <c r="N87" s="1">
        <v>299653.29843267141</v>
      </c>
      <c r="O87" s="1">
        <v>47218.853442977394</v>
      </c>
      <c r="P87" s="1">
        <v>7045.7858535546393</v>
      </c>
      <c r="Q87" s="1"/>
      <c r="R87" s="4">
        <f>'Direct mail readership'!B86</f>
        <v>7.7296861627937963</v>
      </c>
      <c r="S87" s="4">
        <v>-9999</v>
      </c>
      <c r="T87" s="4">
        <v>-9999</v>
      </c>
      <c r="U87" s="4">
        <f>'Print newspapers, readership'!B86</f>
        <v>121.20003517624561</v>
      </c>
      <c r="V87" s="4">
        <f>'Print periodical, readership'!B86</f>
        <v>44.974928881357897</v>
      </c>
      <c r="W87" s="4">
        <v>-9999</v>
      </c>
      <c r="X87" s="4">
        <f>'Movie theater viewership'!B87</f>
        <v>161.15513987473901</v>
      </c>
      <c r="Y87" s="4">
        <f>'Radio listenership'!B86</f>
        <v>24.34293293763508</v>
      </c>
      <c r="AB87" s="4">
        <v>-9999</v>
      </c>
      <c r="AC87" s="4">
        <v>-9999</v>
      </c>
      <c r="AD87" s="4">
        <v>-9999</v>
      </c>
      <c r="AE87" s="4">
        <v>-9999</v>
      </c>
      <c r="AF87" s="4">
        <v>-9999</v>
      </c>
      <c r="AH87" s="4">
        <f t="shared" si="36"/>
        <v>38.230073275101688</v>
      </c>
      <c r="AI87" s="4" t="str">
        <f t="shared" si="37"/>
        <v>.</v>
      </c>
      <c r="AJ87" s="4" t="str">
        <f t="shared" si="38"/>
        <v>.</v>
      </c>
      <c r="AK87" s="4">
        <f t="shared" si="39"/>
        <v>2.9690948694414936</v>
      </c>
      <c r="AL87" s="4">
        <f t="shared" si="40"/>
        <v>4.8428381506273501</v>
      </c>
      <c r="AM87" s="4" t="str">
        <f t="shared" si="41"/>
        <v>.</v>
      </c>
      <c r="AN87" s="4">
        <f t="shared" si="42"/>
        <v>2.5118879946060551</v>
      </c>
      <c r="AO87" s="4">
        <f t="shared" si="43"/>
        <v>2.6850609886658661</v>
      </c>
      <c r="AP87" s="4" t="str">
        <f t="shared" si="44"/>
        <v>.</v>
      </c>
      <c r="AQ87" s="4" t="str">
        <f t="shared" si="45"/>
        <v>.</v>
      </c>
      <c r="AR87" s="4" t="str">
        <f t="shared" si="46"/>
        <v>.</v>
      </c>
      <c r="AS87" s="4" t="str">
        <f t="shared" si="47"/>
        <v>.</v>
      </c>
      <c r="AT87" s="4" t="str">
        <f t="shared" si="48"/>
        <v>.</v>
      </c>
      <c r="AU87" s="4" t="str">
        <f t="shared" si="49"/>
        <v>.</v>
      </c>
      <c r="AV87" s="4" t="str">
        <f t="shared" si="50"/>
        <v>.</v>
      </c>
      <c r="AX87" s="1">
        <f t="shared" si="51"/>
        <v>1219968.6021077924</v>
      </c>
      <c r="AY87" s="4">
        <f t="shared" si="52"/>
        <v>3.2064950814948441</v>
      </c>
    </row>
    <row r="88" spans="1:51" x14ac:dyDescent="0.3">
      <c r="A88" s="4">
        <v>1935</v>
      </c>
      <c r="B88" s="1">
        <v>178844.93468100391</v>
      </c>
      <c r="C88" s="1">
        <v>173043.21862308256</v>
      </c>
      <c r="D88" s="1">
        <v>61036.385830830346</v>
      </c>
      <c r="E88" s="1">
        <v>574928.49864134705</v>
      </c>
      <c r="F88" s="1">
        <v>233498.35688247898</v>
      </c>
      <c r="G88" s="1">
        <v>19599.192320618749</v>
      </c>
      <c r="H88" s="1">
        <v>5232.3358836329471</v>
      </c>
      <c r="I88" s="1">
        <v>94711.911976534495</v>
      </c>
      <c r="J88" s="1">
        <v>0</v>
      </c>
      <c r="K88" s="1">
        <v>0</v>
      </c>
      <c r="L88" s="1">
        <v>0</v>
      </c>
      <c r="M88" s="1">
        <v>0</v>
      </c>
      <c r="N88" s="1">
        <v>256928.30420588868</v>
      </c>
      <c r="O88" s="1">
        <v>42093.200284618062</v>
      </c>
      <c r="P88" s="1">
        <v>6280.9588431527818</v>
      </c>
      <c r="Q88" s="1"/>
      <c r="R88" s="4">
        <f>'Direct mail readership'!B87</f>
        <v>6.6187166971254641</v>
      </c>
      <c r="S88" s="4">
        <v>-9999</v>
      </c>
      <c r="T88" s="4">
        <v>-9999</v>
      </c>
      <c r="U88" s="4">
        <f>'Print newspapers, readership'!B87</f>
        <v>118.94439409561851</v>
      </c>
      <c r="V88" s="4">
        <f>'Print periodical, readership'!B87</f>
        <v>40.137111363858324</v>
      </c>
      <c r="W88" s="4">
        <v>-9999</v>
      </c>
      <c r="X88" s="4">
        <f>'Movie theater viewership'!B88</f>
        <v>151.78016701461374</v>
      </c>
      <c r="Y88" s="4">
        <f>'Radio listenership'!B87</f>
        <v>22.232564366417837</v>
      </c>
      <c r="AB88" s="4">
        <v>-9999</v>
      </c>
      <c r="AC88" s="4">
        <v>-9999</v>
      </c>
      <c r="AD88" s="4">
        <v>-9999</v>
      </c>
      <c r="AE88" s="4">
        <v>-9999</v>
      </c>
      <c r="AF88" s="4">
        <v>-9999</v>
      </c>
      <c r="AH88" s="4">
        <f t="shared" si="36"/>
        <v>39.468591182758026</v>
      </c>
      <c r="AI88" s="4" t="str">
        <f t="shared" si="37"/>
        <v>.</v>
      </c>
      <c r="AJ88" s="4" t="str">
        <f t="shared" si="38"/>
        <v>.</v>
      </c>
      <c r="AK88" s="4">
        <f t="shared" si="39"/>
        <v>2.7343582058758527</v>
      </c>
      <c r="AL88" s="4">
        <f t="shared" si="40"/>
        <v>4.5659572070778767</v>
      </c>
      <c r="AM88" s="4" t="str">
        <f t="shared" si="41"/>
        <v>.</v>
      </c>
      <c r="AN88" s="4">
        <f t="shared" si="42"/>
        <v>2.1149153263151126</v>
      </c>
      <c r="AO88" s="4">
        <f t="shared" si="43"/>
        <v>2.8579705865671916</v>
      </c>
      <c r="AP88" s="4" t="str">
        <f t="shared" si="44"/>
        <v>.</v>
      </c>
      <c r="AQ88" s="4" t="str">
        <f t="shared" si="45"/>
        <v>.</v>
      </c>
      <c r="AR88" s="4" t="str">
        <f t="shared" si="46"/>
        <v>.</v>
      </c>
      <c r="AS88" s="4" t="str">
        <f t="shared" si="47"/>
        <v>.</v>
      </c>
      <c r="AT88" s="4" t="str">
        <f t="shared" si="48"/>
        <v>.</v>
      </c>
      <c r="AU88" s="4" t="str">
        <f t="shared" si="49"/>
        <v>.</v>
      </c>
      <c r="AV88" s="4" t="str">
        <f t="shared" si="50"/>
        <v>.</v>
      </c>
      <c r="AX88" s="1">
        <f t="shared" si="51"/>
        <v>1087216.0380649976</v>
      </c>
      <c r="AY88" s="4">
        <f t="shared" si="52"/>
        <v>3.0602299327163851</v>
      </c>
    </row>
    <row r="89" spans="1:51" x14ac:dyDescent="0.3">
      <c r="A89" s="4">
        <v>1934</v>
      </c>
      <c r="B89" s="1">
        <v>183524.81884656393</v>
      </c>
      <c r="C89" s="1">
        <v>177571.28770279197</v>
      </c>
      <c r="D89" s="1">
        <v>57016.065947959556</v>
      </c>
      <c r="E89" s="1">
        <v>531146.67246295093</v>
      </c>
      <c r="F89" s="1">
        <v>223526.40326451979</v>
      </c>
      <c r="G89" s="1">
        <v>17505.521137211555</v>
      </c>
      <c r="H89" s="1">
        <v>4560.9299516623478</v>
      </c>
      <c r="I89" s="1">
        <v>77906.090400560002</v>
      </c>
      <c r="J89" s="1">
        <v>0</v>
      </c>
      <c r="K89" s="1">
        <v>0</v>
      </c>
      <c r="L89" s="1">
        <v>0</v>
      </c>
      <c r="M89" s="1">
        <v>0</v>
      </c>
      <c r="N89" s="1">
        <v>236540.93479181931</v>
      </c>
      <c r="O89" s="1">
        <v>38832.139330262187</v>
      </c>
      <c r="P89" s="1">
        <v>5794.3579313469236</v>
      </c>
      <c r="Q89" s="1"/>
      <c r="R89" s="4">
        <f>'Direct mail readership'!B88</f>
        <v>6.1197391488092672</v>
      </c>
      <c r="S89" s="4">
        <v>-9999</v>
      </c>
      <c r="T89" s="4">
        <v>-9999</v>
      </c>
      <c r="U89" s="4">
        <f>'Print newspapers, readership'!B88</f>
        <v>119.1570420253896</v>
      </c>
      <c r="V89" s="4">
        <f>'Print periodical, readership'!B88</f>
        <v>39.70092650250006</v>
      </c>
      <c r="W89" s="4">
        <v>-9999</v>
      </c>
      <c r="X89" s="4">
        <f>'Movie theater viewership'!B89</f>
        <v>144.94784424071881</v>
      </c>
      <c r="Y89" s="4">
        <f>'Radio listenership'!B88</f>
        <v>20.572737775439556</v>
      </c>
      <c r="AB89" s="4">
        <v>-9999</v>
      </c>
      <c r="AC89" s="4">
        <v>-9999</v>
      </c>
      <c r="AD89" s="4">
        <v>-9999</v>
      </c>
      <c r="AE89" s="4">
        <v>-9999</v>
      </c>
      <c r="AF89" s="4">
        <v>-9999</v>
      </c>
      <c r="AH89" s="4">
        <f t="shared" si="36"/>
        <v>43.803686862192386</v>
      </c>
      <c r="AI89" s="4" t="str">
        <f t="shared" si="37"/>
        <v>.</v>
      </c>
      <c r="AJ89" s="4" t="str">
        <f t="shared" si="38"/>
        <v>.</v>
      </c>
      <c r="AK89" s="4">
        <f t="shared" si="39"/>
        <v>2.5216238316960364</v>
      </c>
      <c r="AL89" s="4">
        <f t="shared" si="40"/>
        <v>4.4189827830683823</v>
      </c>
      <c r="AM89" s="4" t="str">
        <f t="shared" si="41"/>
        <v>.</v>
      </c>
      <c r="AN89" s="4">
        <f t="shared" si="42"/>
        <v>1.9304299069914201</v>
      </c>
      <c r="AO89" s="4">
        <f t="shared" si="43"/>
        <v>2.5405165545952766</v>
      </c>
      <c r="AP89" s="4" t="str">
        <f t="shared" si="44"/>
        <v>.</v>
      </c>
      <c r="AQ89" s="4" t="str">
        <f t="shared" si="45"/>
        <v>.</v>
      </c>
      <c r="AR89" s="4" t="str">
        <f t="shared" si="46"/>
        <v>.</v>
      </c>
      <c r="AS89" s="4" t="str">
        <f t="shared" si="47"/>
        <v>.</v>
      </c>
      <c r="AT89" s="4" t="str">
        <f t="shared" si="48"/>
        <v>.</v>
      </c>
      <c r="AU89" s="4" t="str">
        <f t="shared" si="49"/>
        <v>.</v>
      </c>
      <c r="AV89" s="4" t="str">
        <f t="shared" si="50"/>
        <v>.</v>
      </c>
      <c r="AX89" s="1">
        <f t="shared" si="51"/>
        <v>1020664.9149262569</v>
      </c>
      <c r="AY89" s="4">
        <f t="shared" si="52"/>
        <v>2.935110473837506</v>
      </c>
    </row>
    <row r="90" spans="1:51" x14ac:dyDescent="0.3">
      <c r="A90" s="4">
        <v>1933</v>
      </c>
      <c r="B90" s="1">
        <v>119582.78689468358</v>
      </c>
      <c r="C90" s="1">
        <v>115703.53039678308</v>
      </c>
      <c r="D90" s="1">
        <v>51536.901858291429</v>
      </c>
      <c r="E90" s="1">
        <v>491762.65656250063</v>
      </c>
      <c r="F90" s="1">
        <v>184957.03722302461</v>
      </c>
      <c r="G90" s="1">
        <v>17377.241678824259</v>
      </c>
      <c r="H90" s="1">
        <v>3912.6759483803899</v>
      </c>
      <c r="I90" s="1">
        <v>64082.289631829124</v>
      </c>
      <c r="J90" s="1">
        <v>0</v>
      </c>
      <c r="K90" s="1">
        <v>0</v>
      </c>
      <c r="L90" s="1">
        <v>0</v>
      </c>
      <c r="M90" s="1">
        <v>0</v>
      </c>
      <c r="N90" s="1">
        <v>210745.70220873266</v>
      </c>
      <c r="O90" s="1">
        <v>34664.369833393619</v>
      </c>
      <c r="P90" s="1">
        <v>5172.4620312828692</v>
      </c>
      <c r="Q90" s="1"/>
      <c r="R90" s="4">
        <f>'Direct mail readership'!B89</f>
        <v>6.1932602063307307</v>
      </c>
      <c r="S90" s="4">
        <v>-9999</v>
      </c>
      <c r="T90" s="4">
        <v>-9999</v>
      </c>
      <c r="U90" s="4">
        <f>'Print newspapers, readership'!B89</f>
        <v>119.37007012559562</v>
      </c>
      <c r="V90" s="4">
        <f>'Print periodical, readership'!B89</f>
        <v>39.269481823651518</v>
      </c>
      <c r="W90" s="4">
        <v>-9999</v>
      </c>
      <c r="X90" s="4">
        <f>'Movie theater viewership'!B90</f>
        <v>134.87424888808198</v>
      </c>
      <c r="Y90" s="4">
        <f>'Radio listenership'!B89</f>
        <v>18.687023843897911</v>
      </c>
      <c r="AB90" s="4">
        <v>-9999</v>
      </c>
      <c r="AC90" s="4">
        <v>-9999</v>
      </c>
      <c r="AD90" s="4">
        <v>-9999</v>
      </c>
      <c r="AE90" s="4">
        <v>-9999</v>
      </c>
      <c r="AF90" s="4">
        <v>-9999</v>
      </c>
      <c r="AH90" s="4">
        <f t="shared" si="36"/>
        <v>28.203182391207761</v>
      </c>
      <c r="AI90" s="4" t="str">
        <f t="shared" si="37"/>
        <v>.</v>
      </c>
      <c r="AJ90" s="4" t="str">
        <f t="shared" si="38"/>
        <v>.</v>
      </c>
      <c r="AK90" s="4">
        <f t="shared" si="39"/>
        <v>2.3304814272686563</v>
      </c>
      <c r="AL90" s="4">
        <f t="shared" si="40"/>
        <v>3.6966625761578578</v>
      </c>
      <c r="AM90" s="4" t="str">
        <f t="shared" si="41"/>
        <v>.</v>
      </c>
      <c r="AN90" s="4">
        <f t="shared" si="42"/>
        <v>1.7797427693182268</v>
      </c>
      <c r="AO90" s="4">
        <f t="shared" si="43"/>
        <v>2.3005972165610937</v>
      </c>
      <c r="AP90" s="4" t="str">
        <f t="shared" si="44"/>
        <v>.</v>
      </c>
      <c r="AQ90" s="4" t="str">
        <f t="shared" si="45"/>
        <v>.</v>
      </c>
      <c r="AR90" s="4" t="str">
        <f t="shared" si="46"/>
        <v>.</v>
      </c>
      <c r="AS90" s="4" t="str">
        <f t="shared" si="47"/>
        <v>.</v>
      </c>
      <c r="AT90" s="4" t="str">
        <f t="shared" si="48"/>
        <v>.</v>
      </c>
      <c r="AU90" s="4" t="str">
        <f t="shared" si="49"/>
        <v>.</v>
      </c>
      <c r="AV90" s="4" t="str">
        <f t="shared" si="50"/>
        <v>.</v>
      </c>
      <c r="AX90" s="1">
        <f t="shared" si="51"/>
        <v>864297.44626041839</v>
      </c>
      <c r="AY90" s="4">
        <f t="shared" si="52"/>
        <v>2.5009068663976652</v>
      </c>
    </row>
    <row r="91" spans="1:51" x14ac:dyDescent="0.3">
      <c r="A91" s="4">
        <v>1932</v>
      </c>
      <c r="B91" s="1">
        <v>154364.22513339404</v>
      </c>
      <c r="C91" s="1">
        <v>149356.66142843143</v>
      </c>
      <c r="D91" s="1">
        <v>60392.803445133519</v>
      </c>
      <c r="E91" s="1">
        <v>593792.52372192044</v>
      </c>
      <c r="F91" s="1">
        <v>210066.45062911473</v>
      </c>
      <c r="G91" s="1">
        <v>18663.191489591438</v>
      </c>
      <c r="H91" s="1">
        <v>3472.7893032962038</v>
      </c>
      <c r="I91" s="1">
        <v>52711.38828767564</v>
      </c>
      <c r="J91" s="1">
        <v>0</v>
      </c>
      <c r="K91" s="1">
        <v>0</v>
      </c>
      <c r="L91" s="1">
        <v>0</v>
      </c>
      <c r="M91" s="1">
        <v>0</v>
      </c>
      <c r="N91" s="1">
        <v>243444.60537240381</v>
      </c>
      <c r="O91" s="1">
        <v>40116.323541805716</v>
      </c>
      <c r="P91" s="1">
        <v>5985.978148512474</v>
      </c>
      <c r="Q91" s="1"/>
      <c r="R91" s="4">
        <f>'Direct mail readership'!B90</f>
        <v>6.2193884507135273</v>
      </c>
      <c r="S91" s="4">
        <v>-9999</v>
      </c>
      <c r="T91" s="4">
        <v>-9999</v>
      </c>
      <c r="U91" s="4">
        <f>'Print newspapers, readership'!B90</f>
        <v>119.58347907590255</v>
      </c>
      <c r="V91" s="4">
        <f>'Print periodical, readership'!B90</f>
        <v>40.242527696790503</v>
      </c>
      <c r="W91" s="4">
        <v>-9999</v>
      </c>
      <c r="X91" s="4">
        <f>'Movie theater viewership'!B91</f>
        <v>154.16925412791792</v>
      </c>
      <c r="Y91" s="4">
        <f>'Radio listenership'!B90</f>
        <v>17.689517062408434</v>
      </c>
      <c r="AB91" s="4">
        <v>-9999</v>
      </c>
      <c r="AC91" s="4">
        <v>-9999</v>
      </c>
      <c r="AD91" s="4">
        <v>-9999</v>
      </c>
      <c r="AE91" s="4">
        <v>-9999</v>
      </c>
      <c r="AF91" s="4">
        <v>-9999</v>
      </c>
      <c r="AH91" s="4">
        <f t="shared" si="36"/>
        <v>36.25331686621859</v>
      </c>
      <c r="AI91" s="4" t="str">
        <f t="shared" si="37"/>
        <v>.</v>
      </c>
      <c r="AJ91" s="4" t="str">
        <f t="shared" si="38"/>
        <v>.</v>
      </c>
      <c r="AK91" s="4">
        <f t="shared" si="39"/>
        <v>2.8089828640797179</v>
      </c>
      <c r="AL91" s="4">
        <f t="shared" si="40"/>
        <v>4.0969962589256568</v>
      </c>
      <c r="AM91" s="4" t="str">
        <f t="shared" si="41"/>
        <v>.</v>
      </c>
      <c r="AN91" s="4">
        <f t="shared" si="42"/>
        <v>1.3819523204519963</v>
      </c>
      <c r="AO91" s="4">
        <f t="shared" si="43"/>
        <v>1.999084663456125</v>
      </c>
      <c r="AP91" s="4" t="str">
        <f t="shared" si="44"/>
        <v>.</v>
      </c>
      <c r="AQ91" s="4" t="str">
        <f t="shared" si="45"/>
        <v>.</v>
      </c>
      <c r="AR91" s="4" t="str">
        <f t="shared" si="46"/>
        <v>.</v>
      </c>
      <c r="AS91" s="4" t="str">
        <f t="shared" si="47"/>
        <v>.</v>
      </c>
      <c r="AT91" s="4" t="str">
        <f t="shared" si="48"/>
        <v>.</v>
      </c>
      <c r="AU91" s="4" t="str">
        <f t="shared" si="49"/>
        <v>.</v>
      </c>
      <c r="AV91" s="4" t="str">
        <f t="shared" si="50"/>
        <v>.</v>
      </c>
      <c r="AX91" s="1">
        <f t="shared" si="51"/>
        <v>1014407.3770754011</v>
      </c>
      <c r="AY91" s="4">
        <f t="shared" si="52"/>
        <v>2.9243334689982188</v>
      </c>
    </row>
    <row r="92" spans="1:51" x14ac:dyDescent="0.3">
      <c r="A92" s="4">
        <v>1931</v>
      </c>
      <c r="B92" s="1">
        <v>227014.60547905267</v>
      </c>
      <c r="C92" s="1">
        <v>219650.26896966426</v>
      </c>
      <c r="D92" s="1">
        <v>75664.625197311339</v>
      </c>
      <c r="E92" s="1">
        <v>716991.33011177485</v>
      </c>
      <c r="F92" s="1">
        <v>298742.5563683951</v>
      </c>
      <c r="G92" s="1">
        <v>21312.652704794218</v>
      </c>
      <c r="H92" s="1">
        <v>3519.0931606734871</v>
      </c>
      <c r="I92" s="1">
        <v>43358.148777533912</v>
      </c>
      <c r="J92" s="1">
        <v>0</v>
      </c>
      <c r="K92" s="1">
        <v>0</v>
      </c>
      <c r="L92" s="1">
        <v>0</v>
      </c>
      <c r="M92" s="1">
        <v>0</v>
      </c>
      <c r="N92" s="1">
        <v>300693.08089249418</v>
      </c>
      <c r="O92" s="1">
        <v>49636.340297729483</v>
      </c>
      <c r="P92" s="1">
        <v>7406.5124159421857</v>
      </c>
      <c r="Q92" s="1"/>
      <c r="R92" s="4">
        <f>'Direct mail readership'!B91</f>
        <v>6.9968879965701714</v>
      </c>
      <c r="S92" s="4">
        <v>-9999</v>
      </c>
      <c r="T92" s="4">
        <v>-9999</v>
      </c>
      <c r="U92" s="4">
        <f>'Print newspapers, readership'!B91</f>
        <v>119.79726955719143</v>
      </c>
      <c r="V92" s="4">
        <f>'Print periodical, readership'!B91</f>
        <v>41.239684360988171</v>
      </c>
      <c r="W92" s="4">
        <v>-9999</v>
      </c>
      <c r="X92" s="4">
        <f>'Movie theater viewership'!B92</f>
        <v>220.35323590814184</v>
      </c>
      <c r="Y92" s="4">
        <f>'Radio listenership'!B91</f>
        <v>15.812944039772828</v>
      </c>
      <c r="AB92" s="4">
        <v>-9999</v>
      </c>
      <c r="AC92" s="4">
        <v>-9999</v>
      </c>
      <c r="AD92" s="4">
        <v>-9999</v>
      </c>
      <c r="AE92" s="4">
        <v>-9999</v>
      </c>
      <c r="AF92" s="4">
        <v>-9999</v>
      </c>
      <c r="AH92" s="4">
        <f t="shared" si="36"/>
        <v>47.391193920481385</v>
      </c>
      <c r="AI92" s="4" t="str">
        <f t="shared" si="37"/>
        <v>.</v>
      </c>
      <c r="AJ92" s="4" t="str">
        <f t="shared" si="38"/>
        <v>.</v>
      </c>
      <c r="AK92" s="4">
        <f t="shared" si="39"/>
        <v>3.3857316511383182</v>
      </c>
      <c r="AL92" s="4">
        <f t="shared" si="40"/>
        <v>5.6855944942234391</v>
      </c>
      <c r="AM92" s="4" t="str">
        <f t="shared" si="41"/>
        <v>.</v>
      </c>
      <c r="AN92" s="4">
        <f t="shared" si="42"/>
        <v>0.97976907414642433</v>
      </c>
      <c r="AO92" s="4">
        <f t="shared" si="43"/>
        <v>1.8395038727060919</v>
      </c>
      <c r="AP92" s="4" t="str">
        <f t="shared" si="44"/>
        <v>.</v>
      </c>
      <c r="AQ92" s="4" t="str">
        <f t="shared" si="45"/>
        <v>.</v>
      </c>
      <c r="AR92" s="4" t="str">
        <f t="shared" si="46"/>
        <v>.</v>
      </c>
      <c r="AS92" s="4" t="str">
        <f t="shared" si="47"/>
        <v>.</v>
      </c>
      <c r="AT92" s="4" t="str">
        <f t="shared" si="48"/>
        <v>.</v>
      </c>
      <c r="AU92" s="4" t="str">
        <f t="shared" si="49"/>
        <v>.</v>
      </c>
      <c r="AV92" s="4" t="str">
        <f t="shared" si="50"/>
        <v>.</v>
      </c>
      <c r="AX92" s="1">
        <f t="shared" si="51"/>
        <v>1289625.7338974301</v>
      </c>
      <c r="AY92" s="4">
        <f t="shared" si="52"/>
        <v>3.6382581798908866</v>
      </c>
    </row>
    <row r="93" spans="1:51" x14ac:dyDescent="0.3">
      <c r="A93" s="4">
        <v>1930</v>
      </c>
      <c r="B93" s="1">
        <v>280921.70484180877</v>
      </c>
      <c r="C93" s="1">
        <v>271808.62613535055</v>
      </c>
      <c r="D93" s="1">
        <v>97614.435783446344</v>
      </c>
      <c r="E93" s="1">
        <v>809877.85493489832</v>
      </c>
      <c r="F93" s="1">
        <v>364982.24141266721</v>
      </c>
      <c r="G93" s="1">
        <v>22305.927615951448</v>
      </c>
      <c r="H93" s="1">
        <v>4722.9934524828386</v>
      </c>
      <c r="I93" s="1">
        <v>35664.55971708431</v>
      </c>
      <c r="J93" s="1">
        <v>0</v>
      </c>
      <c r="K93" s="1">
        <v>0</v>
      </c>
      <c r="L93" s="1">
        <v>0</v>
      </c>
      <c r="M93" s="1">
        <v>0</v>
      </c>
      <c r="N93" s="1">
        <v>343329.54801006411</v>
      </c>
      <c r="O93" s="1">
        <v>56768.034609191855</v>
      </c>
      <c r="P93" s="1">
        <v>8470.6719036827926</v>
      </c>
      <c r="Q93" s="1"/>
      <c r="R93" s="4">
        <f>'Direct mail readership'!B92</f>
        <v>7.6249320507249436</v>
      </c>
      <c r="S93" s="4">
        <v>-9999</v>
      </c>
      <c r="T93" s="4">
        <v>-9999</v>
      </c>
      <c r="U93" s="4">
        <f>'Print newspapers, readership'!B92</f>
        <v>120.0114422515606</v>
      </c>
      <c r="V93" s="4">
        <f>'Print periodical, readership'!B92</f>
        <v>43.267695174222169</v>
      </c>
      <c r="W93" s="4">
        <v>-9999</v>
      </c>
      <c r="X93" s="4">
        <f>'Movie theater viewership'!B93</f>
        <v>235.55423799582451</v>
      </c>
      <c r="Y93" s="4">
        <f>'Radio listenership'!B92</f>
        <v>12.953162283075475</v>
      </c>
      <c r="AB93" s="4">
        <v>-9999</v>
      </c>
      <c r="AC93" s="4">
        <v>-9999</v>
      </c>
      <c r="AD93" s="4">
        <v>-9999</v>
      </c>
      <c r="AE93" s="4">
        <v>-9999</v>
      </c>
      <c r="AF93" s="4">
        <v>-9999</v>
      </c>
      <c r="AH93" s="4">
        <f t="shared" si="36"/>
        <v>53.814348895855076</v>
      </c>
      <c r="AI93" s="4" t="str">
        <f t="shared" si="37"/>
        <v>.</v>
      </c>
      <c r="AJ93" s="4" t="str">
        <f t="shared" si="38"/>
        <v>.</v>
      </c>
      <c r="AK93" s="4">
        <f t="shared" si="39"/>
        <v>3.8175296418177069</v>
      </c>
      <c r="AL93" s="4">
        <f t="shared" si="40"/>
        <v>6.6206723259817828</v>
      </c>
      <c r="AM93" s="4" t="str">
        <f t="shared" si="41"/>
        <v>.</v>
      </c>
      <c r="AN93" s="4">
        <f t="shared" si="42"/>
        <v>1.2300954633809675</v>
      </c>
      <c r="AO93" s="4">
        <f t="shared" si="43"/>
        <v>1.8471568279464532</v>
      </c>
      <c r="AP93" s="4" t="str">
        <f t="shared" si="44"/>
        <v>.</v>
      </c>
      <c r="AQ93" s="4" t="str">
        <f t="shared" si="45"/>
        <v>.</v>
      </c>
      <c r="AR93" s="4" t="str">
        <f t="shared" si="46"/>
        <v>.</v>
      </c>
      <c r="AS93" s="4" t="str">
        <f t="shared" si="47"/>
        <v>.</v>
      </c>
      <c r="AT93" s="4" t="str">
        <f t="shared" si="48"/>
        <v>.</v>
      </c>
      <c r="AU93" s="4" t="str">
        <f t="shared" si="49"/>
        <v>.</v>
      </c>
      <c r="AV93" s="4" t="str">
        <f t="shared" si="50"/>
        <v>.</v>
      </c>
      <c r="AX93" s="1">
        <f t="shared" si="51"/>
        <v>1496169.3543589413</v>
      </c>
      <c r="AY93" s="4">
        <f t="shared" si="52"/>
        <v>4.1269429395514399</v>
      </c>
    </row>
    <row r="94" spans="1:51" x14ac:dyDescent="0.3">
      <c r="A94" s="4">
        <v>1929</v>
      </c>
      <c r="B94" s="1">
        <v>342709.93603019114</v>
      </c>
      <c r="C94" s="1">
        <v>331592.45181056811</v>
      </c>
      <c r="D94" s="1">
        <v>119598.35724098745</v>
      </c>
      <c r="E94" s="1">
        <v>914797.86765581497</v>
      </c>
      <c r="F94" s="1">
        <v>372862.53548911889</v>
      </c>
      <c r="G94" s="1">
        <v>21039.771001047215</v>
      </c>
      <c r="H94" s="1">
        <v>4722.9934524828386</v>
      </c>
      <c r="I94" s="1">
        <v>29336.133719284728</v>
      </c>
      <c r="J94" s="1">
        <v>0</v>
      </c>
      <c r="K94" s="1">
        <v>0</v>
      </c>
      <c r="L94" s="1">
        <v>0</v>
      </c>
      <c r="M94" s="1">
        <v>0</v>
      </c>
      <c r="N94" s="1">
        <v>372655.97025671153</v>
      </c>
      <c r="O94" s="1">
        <v>61659.211493328301</v>
      </c>
      <c r="P94" s="1">
        <v>9200.5114144853887</v>
      </c>
      <c r="Q94" s="1"/>
      <c r="R94" s="4">
        <f>'Direct mail readership'!B93</f>
        <v>7.3035885820388469</v>
      </c>
      <c r="S94" s="4">
        <v>-9999</v>
      </c>
      <c r="T94" s="4">
        <v>-9999</v>
      </c>
      <c r="U94" s="4">
        <f>'Print newspapers, readership'!B93</f>
        <v>116.45593857196421</v>
      </c>
      <c r="V94" s="4">
        <f>'Print periodical, readership'!B93</f>
        <v>45.395435845293889</v>
      </c>
      <c r="W94" s="4">
        <v>-9999</v>
      </c>
      <c r="X94" s="4">
        <f>'Movie theater viewership'!B94</f>
        <v>132.39582463465547</v>
      </c>
      <c r="Y94" s="4">
        <f>'Radio listenership'!B93</f>
        <v>9.6886752328951893</v>
      </c>
      <c r="AB94" s="4">
        <v>-9999</v>
      </c>
      <c r="AC94" s="4">
        <v>-9999</v>
      </c>
      <c r="AD94" s="4">
        <v>-9999</v>
      </c>
      <c r="AE94" s="4">
        <v>-9999</v>
      </c>
      <c r="AF94" s="4">
        <v>-9999</v>
      </c>
      <c r="AH94" s="4">
        <f t="shared" si="36"/>
        <v>68.539221539026229</v>
      </c>
      <c r="AI94" s="4" t="str">
        <f t="shared" si="37"/>
        <v>.</v>
      </c>
      <c r="AJ94" s="4" t="str">
        <f t="shared" si="38"/>
        <v>.</v>
      </c>
      <c r="AK94" s="4">
        <f t="shared" si="39"/>
        <v>4.4437442145368076</v>
      </c>
      <c r="AL94" s="4">
        <f t="shared" si="40"/>
        <v>6.4465993470524756</v>
      </c>
      <c r="AM94" s="4" t="str">
        <f t="shared" si="41"/>
        <v>.</v>
      </c>
      <c r="AN94" s="4">
        <f t="shared" si="42"/>
        <v>2.1885448452653042</v>
      </c>
      <c r="AO94" s="4">
        <f t="shared" si="43"/>
        <v>2.0313332966176767</v>
      </c>
      <c r="AP94" s="4" t="str">
        <f t="shared" si="44"/>
        <v>.</v>
      </c>
      <c r="AQ94" s="4" t="str">
        <f t="shared" si="45"/>
        <v>.</v>
      </c>
      <c r="AR94" s="4" t="str">
        <f t="shared" si="46"/>
        <v>.</v>
      </c>
      <c r="AS94" s="4" t="str">
        <f t="shared" si="47"/>
        <v>.</v>
      </c>
      <c r="AT94" s="4" t="str">
        <f t="shared" si="48"/>
        <v>.</v>
      </c>
      <c r="AU94" s="4" t="str">
        <f t="shared" si="49"/>
        <v>.</v>
      </c>
      <c r="AV94" s="4" t="str">
        <f t="shared" si="50"/>
        <v>.</v>
      </c>
      <c r="AX94" s="1">
        <f t="shared" si="51"/>
        <v>1664429.4663468925</v>
      </c>
      <c r="AY94" s="4">
        <f t="shared" si="52"/>
        <v>4.6907968375049105</v>
      </c>
    </row>
    <row r="95" spans="1:51" x14ac:dyDescent="0.3">
      <c r="A95" s="4">
        <v>1928</v>
      </c>
      <c r="B95" s="1">
        <v>342098.41260249296</v>
      </c>
      <c r="C95" s="1">
        <v>331000.76615628297</v>
      </c>
      <c r="D95" s="1">
        <v>107719.4145851033</v>
      </c>
      <c r="E95" s="1">
        <v>872214.60372193321</v>
      </c>
      <c r="F95" s="1">
        <v>343858.56980320095</v>
      </c>
      <c r="G95" s="1">
        <v>18456.474245505473</v>
      </c>
      <c r="H95" s="1">
        <v>4000.5376382112704</v>
      </c>
      <c r="I95" s="1">
        <v>12572.656620613832</v>
      </c>
      <c r="J95" s="1">
        <v>0</v>
      </c>
      <c r="K95" s="1">
        <v>0</v>
      </c>
      <c r="L95" s="1">
        <v>0</v>
      </c>
      <c r="M95" s="1">
        <v>0</v>
      </c>
      <c r="N95" s="1">
        <v>347608.06179723021</v>
      </c>
      <c r="O95" s="1">
        <v>57553.296313082508</v>
      </c>
      <c r="P95" s="1">
        <v>8587.84513854951</v>
      </c>
      <c r="Q95" s="1"/>
      <c r="R95" s="4">
        <f>'Direct mail readership'!B94</f>
        <v>6.7043196309946183</v>
      </c>
      <c r="S95" s="4">
        <v>-9999</v>
      </c>
      <c r="T95" s="4">
        <v>-9999</v>
      </c>
      <c r="U95" s="4">
        <f>'Print newspapers, readership'!B94</f>
        <v>113.00577156842516</v>
      </c>
      <c r="V95" s="4">
        <f>'Print periodical, readership'!B94</f>
        <v>41.112769388004082</v>
      </c>
      <c r="W95" s="4">
        <v>-9999</v>
      </c>
      <c r="X95" s="4">
        <f>'Movie theater viewership'!B95</f>
        <v>112.25226613200189</v>
      </c>
      <c r="Y95" s="4">
        <f>'Radio listenership'!B94</f>
        <v>7.6409291395059302</v>
      </c>
      <c r="AB95" s="4">
        <v>-9999</v>
      </c>
      <c r="AC95" s="4">
        <v>-9999</v>
      </c>
      <c r="AD95" s="4">
        <v>-9999</v>
      </c>
      <c r="AE95" s="4">
        <v>-9999</v>
      </c>
      <c r="AF95" s="4">
        <v>-9999</v>
      </c>
      <c r="AH95" s="4">
        <f t="shared" si="36"/>
        <v>74.532402435358293</v>
      </c>
      <c r="AI95" s="4" t="str">
        <f t="shared" si="37"/>
        <v>.</v>
      </c>
      <c r="AJ95" s="4" t="str">
        <f t="shared" si="38"/>
        <v>.</v>
      </c>
      <c r="AK95" s="4">
        <f t="shared" si="39"/>
        <v>4.366246776207193</v>
      </c>
      <c r="AL95" s="4">
        <f t="shared" si="40"/>
        <v>6.5644333296319877</v>
      </c>
      <c r="AM95" s="4" t="str">
        <f t="shared" si="41"/>
        <v>.</v>
      </c>
      <c r="AN95" s="4">
        <f t="shared" si="42"/>
        <v>2.1864303091829238</v>
      </c>
      <c r="AO95" s="4">
        <f t="shared" si="43"/>
        <v>1.1038843887425729</v>
      </c>
      <c r="AP95" s="4" t="str">
        <f t="shared" si="44"/>
        <v>.</v>
      </c>
      <c r="AQ95" s="4" t="str">
        <f t="shared" si="45"/>
        <v>.</v>
      </c>
      <c r="AR95" s="4" t="str">
        <f t="shared" si="46"/>
        <v>.</v>
      </c>
      <c r="AS95" s="4" t="str">
        <f t="shared" si="47"/>
        <v>.</v>
      </c>
      <c r="AT95" s="4" t="str">
        <f t="shared" si="48"/>
        <v>.</v>
      </c>
      <c r="AU95" s="4" t="str">
        <f t="shared" si="49"/>
        <v>.</v>
      </c>
      <c r="AV95" s="4" t="str">
        <f t="shared" si="50"/>
        <v>.</v>
      </c>
      <c r="AX95" s="1">
        <f t="shared" si="51"/>
        <v>1574744.7803864521</v>
      </c>
      <c r="AY95" s="4">
        <f t="shared" si="52"/>
        <v>4.7102154064602839</v>
      </c>
    </row>
    <row r="96" spans="1:51" x14ac:dyDescent="0.3">
      <c r="A96" s="4">
        <v>1927</v>
      </c>
      <c r="B96" s="1">
        <v>351166.77917983948</v>
      </c>
      <c r="C96" s="1">
        <v>339774.95561262389</v>
      </c>
      <c r="D96" s="1">
        <v>99777.650915921724</v>
      </c>
      <c r="E96" s="1">
        <v>831613.56387423945</v>
      </c>
      <c r="F96" s="1">
        <v>344050.4477447925</v>
      </c>
      <c r="G96" s="1">
        <v>16319.250703553807</v>
      </c>
      <c r="H96" s="1">
        <v>2843.6621452708005</v>
      </c>
      <c r="I96" s="1">
        <v>5097.9725991928726</v>
      </c>
      <c r="J96" s="1">
        <v>0</v>
      </c>
      <c r="K96" s="1">
        <v>0</v>
      </c>
      <c r="L96" s="1">
        <v>0</v>
      </c>
      <c r="M96" s="1">
        <v>0</v>
      </c>
      <c r="N96" s="1">
        <v>333463.80135716195</v>
      </c>
      <c r="O96" s="1">
        <v>55247.541753034297</v>
      </c>
      <c r="P96" s="1">
        <v>8243.790768814004</v>
      </c>
      <c r="Q96" s="1"/>
      <c r="R96" s="4">
        <f>'Direct mail readership'!B95</f>
        <v>6.9163648301484839</v>
      </c>
      <c r="S96" s="4">
        <v>-9999</v>
      </c>
      <c r="T96" s="4">
        <v>-9999</v>
      </c>
      <c r="U96" s="4">
        <f>'Print newspapers, readership'!B95</f>
        <v>109.65782049735188</v>
      </c>
      <c r="V96" s="4">
        <f>'Print periodical, readership'!B95</f>
        <v>37.234135442857159</v>
      </c>
      <c r="W96" s="4">
        <v>-9999</v>
      </c>
      <c r="X96" s="4">
        <f>'Movie theater viewership'!B96</f>
        <v>80.023331296171847</v>
      </c>
      <c r="Y96" s="4">
        <f>'Radio listenership'!B95</f>
        <v>6.5065483280907976</v>
      </c>
      <c r="AB96" s="4">
        <v>-9999</v>
      </c>
      <c r="AC96" s="4">
        <v>-9999</v>
      </c>
      <c r="AD96" s="4">
        <v>-9999</v>
      </c>
      <c r="AE96" s="4">
        <v>-9999</v>
      </c>
      <c r="AF96" s="4">
        <v>-9999</v>
      </c>
      <c r="AH96" s="4">
        <f t="shared" si="36"/>
        <v>74.162490067953755</v>
      </c>
      <c r="AI96" s="4" t="str">
        <f t="shared" si="37"/>
        <v>.</v>
      </c>
      <c r="AJ96" s="4" t="str">
        <f t="shared" si="38"/>
        <v>.</v>
      </c>
      <c r="AK96" s="4">
        <f t="shared" si="39"/>
        <v>4.2901008677266539</v>
      </c>
      <c r="AL96" s="4">
        <f t="shared" si="40"/>
        <v>7.2522868712080708</v>
      </c>
      <c r="AM96" s="4" t="str">
        <f t="shared" si="41"/>
        <v>.</v>
      </c>
      <c r="AN96" s="4">
        <f t="shared" si="42"/>
        <v>2.1800867009357772</v>
      </c>
      <c r="AO96" s="4">
        <f t="shared" si="43"/>
        <v>0.52564137928651644</v>
      </c>
      <c r="AP96" s="4" t="str">
        <f t="shared" si="44"/>
        <v>.</v>
      </c>
      <c r="AQ96" s="4" t="str">
        <f t="shared" si="45"/>
        <v>.</v>
      </c>
      <c r="AR96" s="4" t="str">
        <f t="shared" si="46"/>
        <v>.</v>
      </c>
      <c r="AS96" s="4" t="str">
        <f t="shared" si="47"/>
        <v>.</v>
      </c>
      <c r="AT96" s="4" t="str">
        <f t="shared" si="48"/>
        <v>.</v>
      </c>
      <c r="AU96" s="4" t="str">
        <f t="shared" si="49"/>
        <v>.</v>
      </c>
      <c r="AV96" s="4" t="str">
        <f t="shared" si="50"/>
        <v>.</v>
      </c>
      <c r="AX96" s="1">
        <f t="shared" si="51"/>
        <v>1534772.425543335</v>
      </c>
      <c r="AY96" s="4">
        <f t="shared" si="52"/>
        <v>4.7436493349015159</v>
      </c>
    </row>
    <row r="97" spans="1:51" x14ac:dyDescent="0.3">
      <c r="A97" s="4">
        <v>1926</v>
      </c>
      <c r="B97" s="1">
        <v>366562.66570716852</v>
      </c>
      <c r="C97" s="1">
        <v>354671.40075375501</v>
      </c>
      <c r="D97" s="1">
        <v>95117.021113267445</v>
      </c>
      <c r="E97" s="1">
        <v>794469.80549185956</v>
      </c>
      <c r="F97" s="1">
        <v>313541.85503174103</v>
      </c>
      <c r="G97" s="1">
        <v>15020.778639760905</v>
      </c>
      <c r="H97" s="1">
        <v>3443.5136739820277</v>
      </c>
      <c r="I97" s="1">
        <v>2067.1302806648823</v>
      </c>
      <c r="J97" s="1">
        <v>0</v>
      </c>
      <c r="K97" s="1">
        <v>0</v>
      </c>
      <c r="L97" s="1">
        <v>0</v>
      </c>
      <c r="M97" s="1">
        <v>0</v>
      </c>
      <c r="N97" s="1">
        <v>313540.9371383118</v>
      </c>
      <c r="O97" s="1">
        <v>51979.964612390941</v>
      </c>
      <c r="P97" s="1">
        <v>7756.217540871351</v>
      </c>
      <c r="Q97" s="1"/>
      <c r="R97" s="4">
        <f>'Direct mail readership'!B96</f>
        <v>6.989767234411163</v>
      </c>
      <c r="S97" s="4">
        <v>-9999</v>
      </c>
      <c r="T97" s="4">
        <v>-9999</v>
      </c>
      <c r="U97" s="4">
        <f>'Print newspapers, readership'!B96</f>
        <v>106.40905707146462</v>
      </c>
      <c r="V97" s="4">
        <f>'Print periodical, readership'!B96</f>
        <v>35.822400652863145</v>
      </c>
      <c r="W97" s="4">
        <v>-9999</v>
      </c>
      <c r="X97" s="4">
        <f>'Movie theater viewership'!B97</f>
        <v>96.065128461564427</v>
      </c>
      <c r="Y97" s="4">
        <f>'Radio listenership'!B96</f>
        <v>4.3770732868192379</v>
      </c>
      <c r="AB97" s="4">
        <v>-9999</v>
      </c>
      <c r="AC97" s="4">
        <v>-9999</v>
      </c>
      <c r="AD97" s="4">
        <v>-9999</v>
      </c>
      <c r="AE97" s="4">
        <v>-9999</v>
      </c>
      <c r="AF97" s="4">
        <v>-9999</v>
      </c>
      <c r="AH97" s="4">
        <f t="shared" si="36"/>
        <v>76.600973515162977</v>
      </c>
      <c r="AI97" s="4" t="str">
        <f t="shared" si="37"/>
        <v>.</v>
      </c>
      <c r="AJ97" s="4" t="str">
        <f t="shared" si="38"/>
        <v>.</v>
      </c>
      <c r="AK97" s="4">
        <f t="shared" si="39"/>
        <v>4.2236152597505683</v>
      </c>
      <c r="AL97" s="4">
        <f t="shared" si="40"/>
        <v>6.8696554923303408</v>
      </c>
      <c r="AM97" s="4" t="str">
        <f t="shared" si="41"/>
        <v>.</v>
      </c>
      <c r="AN97" s="4">
        <f t="shared" si="42"/>
        <v>2.1991175256772153</v>
      </c>
      <c r="AO97" s="4">
        <f t="shared" si="43"/>
        <v>0.31683032284883272</v>
      </c>
      <c r="AP97" s="4" t="str">
        <f t="shared" si="44"/>
        <v>.</v>
      </c>
      <c r="AQ97" s="4" t="str">
        <f t="shared" si="45"/>
        <v>.</v>
      </c>
      <c r="AR97" s="4" t="str">
        <f t="shared" si="46"/>
        <v>.</v>
      </c>
      <c r="AS97" s="4" t="str">
        <f t="shared" si="47"/>
        <v>.</v>
      </c>
      <c r="AT97" s="4" t="str">
        <f t="shared" si="48"/>
        <v>.</v>
      </c>
      <c r="AU97" s="4" t="str">
        <f t="shared" si="49"/>
        <v>.</v>
      </c>
      <c r="AV97" s="4" t="str">
        <f t="shared" si="50"/>
        <v>.</v>
      </c>
      <c r="AX97" s="1">
        <f t="shared" si="51"/>
        <v>1480084.9701854163</v>
      </c>
      <c r="AY97" s="4">
        <f t="shared" si="52"/>
        <v>4.6789639570390245</v>
      </c>
    </row>
    <row r="98" spans="1:51" x14ac:dyDescent="0.3">
      <c r="A98" s="4">
        <v>1925</v>
      </c>
      <c r="B98" s="1">
        <v>359002.734462897</v>
      </c>
      <c r="C98" s="1">
        <v>347356.71310318616</v>
      </c>
      <c r="D98" s="1">
        <v>90849.953019518245</v>
      </c>
      <c r="E98" s="1">
        <v>758985.06140012864</v>
      </c>
      <c r="F98" s="1">
        <v>287186.18489610596</v>
      </c>
      <c r="G98" s="1">
        <v>13149.17939408506</v>
      </c>
      <c r="H98" s="1">
        <v>4240.1860845391257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295384.43112054147</v>
      </c>
      <c r="O98" s="1">
        <v>49000.498833573591</v>
      </c>
      <c r="P98" s="1">
        <v>7311.635000109477</v>
      </c>
      <c r="Q98" s="1"/>
      <c r="R98" s="4">
        <f>'Direct mail readership'!B97</f>
        <v>6.7514553944243207</v>
      </c>
      <c r="S98" s="4">
        <v>-9999</v>
      </c>
      <c r="T98" s="4">
        <v>-9999</v>
      </c>
      <c r="U98" s="4">
        <f>'Print newspapers, readership'!B97</f>
        <v>103.25654272065029</v>
      </c>
      <c r="V98" s="4">
        <f>'Print periodical, readership'!B97</f>
        <v>34.464191883913394</v>
      </c>
      <c r="W98" s="4">
        <v>-9999</v>
      </c>
      <c r="X98" s="4">
        <f>'Movie theater viewership'!B98</f>
        <v>119.03419266121819</v>
      </c>
      <c r="AB98" s="4">
        <v>-9999</v>
      </c>
      <c r="AC98" s="4">
        <v>-9999</v>
      </c>
      <c r="AD98" s="4">
        <v>-9999</v>
      </c>
      <c r="AE98" s="4">
        <v>-9999</v>
      </c>
      <c r="AF98" s="4">
        <v>-9999</v>
      </c>
      <c r="AH98" s="4">
        <f t="shared" si="36"/>
        <v>77.66925266390777</v>
      </c>
      <c r="AI98" s="4" t="str">
        <f t="shared" si="37"/>
        <v>.</v>
      </c>
      <c r="AJ98" s="4" t="str">
        <f t="shared" si="38"/>
        <v>.</v>
      </c>
      <c r="AK98" s="4">
        <f t="shared" si="39"/>
        <v>4.1581600089162221</v>
      </c>
      <c r="AL98" s="4">
        <f t="shared" si="40"/>
        <v>6.5401779672748832</v>
      </c>
      <c r="AM98" s="4" t="str">
        <f t="shared" si="41"/>
        <v>.</v>
      </c>
      <c r="AN98" s="4">
        <f t="shared" si="42"/>
        <v>2.1853730411417325</v>
      </c>
      <c r="AO98" s="4" t="str">
        <f t="shared" si="43"/>
        <v>.</v>
      </c>
      <c r="AP98" s="4" t="str">
        <f t="shared" si="44"/>
        <v>.</v>
      </c>
      <c r="AQ98" s="4" t="str">
        <f t="shared" si="45"/>
        <v>.</v>
      </c>
      <c r="AR98" s="4" t="str">
        <f t="shared" si="46"/>
        <v>.</v>
      </c>
      <c r="AS98" s="4" t="str">
        <f t="shared" si="47"/>
        <v>.</v>
      </c>
      <c r="AT98" s="4" t="str">
        <f t="shared" si="48"/>
        <v>.</v>
      </c>
      <c r="AU98" s="4" t="str">
        <f t="shared" si="49"/>
        <v>.</v>
      </c>
      <c r="AV98" s="4" t="str">
        <f t="shared" si="50"/>
        <v>.</v>
      </c>
      <c r="AX98" s="1">
        <f t="shared" si="51"/>
        <v>1409414.1668436709</v>
      </c>
      <c r="AY98" s="4">
        <f t="shared" ref="AY98:AY123" si="53">AY97*((E98/U98)/(E97/U97))^((E98+E97)/(AX98+AX97))*((F98/V98)/(F97/V97))^((F98+F97)/(AX98+AX97))*((H98/X98)/(H97/X97))^((H98+H97)/(AX98+AX97))*((B98/R98)/(B97/R97))^((B98+B97)/(AX98+AX97))</f>
        <v>4.6085927291836351</v>
      </c>
    </row>
    <row r="99" spans="1:51" x14ac:dyDescent="0.3">
      <c r="A99" s="4">
        <v>1924</v>
      </c>
      <c r="B99" s="1">
        <v>351061.36814163171</v>
      </c>
      <c r="C99" s="1">
        <v>339672.96410046611</v>
      </c>
      <c r="D99" s="1">
        <v>78330.059567823599</v>
      </c>
      <c r="E99" s="1">
        <v>711244.61623723421</v>
      </c>
      <c r="F99" s="1">
        <v>250332.32163933499</v>
      </c>
      <c r="G99" s="1">
        <v>11127.326413793022</v>
      </c>
      <c r="H99" s="1">
        <v>2836.3280602990999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270773.2029224977</v>
      </c>
      <c r="O99" s="1">
        <v>44945.229381718855</v>
      </c>
      <c r="P99" s="1">
        <v>6706.525852960548</v>
      </c>
      <c r="Q99" s="1"/>
      <c r="R99" s="4">
        <f>'Direct mail readership'!B98</f>
        <v>6.8256308691444216</v>
      </c>
      <c r="S99" s="4">
        <v>-9999</v>
      </c>
      <c r="T99" s="4">
        <v>-9999</v>
      </c>
      <c r="U99" s="4">
        <f>'Print newspapers, readership'!B98</f>
        <v>99.799783316729915</v>
      </c>
      <c r="V99" s="4">
        <f>'Print periodical, readership'!B98</f>
        <v>31.560709126012505</v>
      </c>
      <c r="W99" s="4">
        <v>-9999</v>
      </c>
      <c r="X99" s="4">
        <f>'Movie theater viewership'!B99</f>
        <v>76.407863024348231</v>
      </c>
      <c r="AB99" s="4">
        <v>-9999</v>
      </c>
      <c r="AC99" s="4">
        <v>-9999</v>
      </c>
      <c r="AD99" s="4">
        <v>-9999</v>
      </c>
      <c r="AE99" s="4">
        <v>-9999</v>
      </c>
      <c r="AF99" s="4">
        <v>-9999</v>
      </c>
      <c r="AH99" s="4">
        <f t="shared" ref="AH99:AH123" si="54">IF(OR(R99=-9999,R99=0), ".", (B99/R99)*100/(B$11/R$11))</f>
        <v>75.125783725308608</v>
      </c>
      <c r="AI99" s="4" t="str">
        <f t="shared" ref="AI99:AI123" si="55">IF(OR(S99=-9999,S99=0), ".", (C99/S99)*100/(C$11/S$11))</f>
        <v>.</v>
      </c>
      <c r="AJ99" s="4" t="str">
        <f t="shared" ref="AJ99:AJ123" si="56">IF(OR(T99=-9999,T99=0), ".", (D99/T99)*100/(D$11/T$11))</f>
        <v>.</v>
      </c>
      <c r="AK99" s="4">
        <f t="shared" ref="AK99:AK123" si="57">IF(OR(U99=-9999,U99=0), ".", (E99/U99)*100/(E$11/U$11))</f>
        <v>4.0315768488024197</v>
      </c>
      <c r="AL99" s="4">
        <f t="shared" ref="AL99:AL123" si="58">IF(OR(V99=-9999,V99=0), ".", (F99/V99)*100/(F$11/V$11))</f>
        <v>6.2253574935846947</v>
      </c>
      <c r="AM99" s="4" t="str">
        <f t="shared" ref="AM99:AM123" si="59">IF(OR(W99=-9999,W99=0), ".", (G99/W99)*100/(G$11/W$11))</f>
        <v>.</v>
      </c>
      <c r="AN99" s="4">
        <f t="shared" ref="AN99:AN123" si="60">IF(OR(X99=-9999,X99=0), ".", (H99/X99)*100/(H$11/X$11))</f>
        <v>2.2773553607253474</v>
      </c>
      <c r="AO99" s="4" t="str">
        <f t="shared" ref="AO99:AO123" si="61">IF(OR(Y99=-9999,Y99=0), ".", (I99/Y99)*100/(I$11/Y$11))</f>
        <v>.</v>
      </c>
      <c r="AP99" s="4" t="str">
        <f t="shared" ref="AP99:AP123" si="62">IF(OR(Z99=-9999,Z99=0), ".", (J99/Z99)*100/(J$11/Z$11))</f>
        <v>.</v>
      </c>
      <c r="AQ99" s="4" t="str">
        <f t="shared" ref="AQ99:AQ123" si="63">IF(OR(AA99=-9999,AA99=0), ".", (K99/AA99)*100/(K$11/AA$11))</f>
        <v>.</v>
      </c>
      <c r="AR99" s="4" t="str">
        <f t="shared" ref="AR99:AR123" si="64">IF(OR(AB99=-9999,AB99=0), ".", (L99/AB99)*100/(L$11/AB$11))</f>
        <v>.</v>
      </c>
      <c r="AS99" s="4" t="str">
        <f t="shared" ref="AS99:AS123" si="65">IF(OR(AC99=-9999,AC99=0), ".", (M99/AC99)*100/(M$11/AC$11))</f>
        <v>.</v>
      </c>
      <c r="AT99" s="4" t="str">
        <f t="shared" ref="AT99:AT123" si="66">IF(OR(AD99=-9999,AD99=0), ".", (N99/AD99)*100/(N$11/AD$11))</f>
        <v>.</v>
      </c>
      <c r="AU99" s="4" t="str">
        <f t="shared" ref="AU99:AU123" si="67">IF(OR(AE99=-9999,AE99=0), ".", (O99/AE99)*100/(O$11/AE$11))</f>
        <v>.</v>
      </c>
      <c r="AV99" s="4" t="str">
        <f t="shared" ref="AV99:AV123" si="68">IF(OR(AF99=-9999,AF99=0), ".", (P99/AF99)*100/(P$11/AF$11))</f>
        <v>.</v>
      </c>
      <c r="AX99" s="1">
        <f t="shared" ref="AX99:AX123" si="69">E99+F99+H99+I99+J99+K99+L99+M99+B99</f>
        <v>1315474.6340784999</v>
      </c>
      <c r="AY99" s="4">
        <f t="shared" si="53"/>
        <v>4.4501651675503275</v>
      </c>
    </row>
    <row r="100" spans="1:51" x14ac:dyDescent="0.3">
      <c r="A100" s="4">
        <v>1923</v>
      </c>
      <c r="B100" s="1">
        <v>352056.7025559821</v>
      </c>
      <c r="C100" s="1">
        <v>340636.00994223246</v>
      </c>
      <c r="D100" s="1">
        <v>68108.760497992233</v>
      </c>
      <c r="E100" s="1">
        <v>666507.06298916624</v>
      </c>
      <c r="F100" s="1">
        <v>223484.60806932169</v>
      </c>
      <c r="G100" s="1">
        <v>9758.5365232892127</v>
      </c>
      <c r="H100" s="1">
        <v>2650.0596671689741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250322.88244575041</v>
      </c>
      <c r="O100" s="1">
        <v>41575.499085997391</v>
      </c>
      <c r="P100" s="1">
        <v>6203.709788683158</v>
      </c>
      <c r="Q100" s="1"/>
      <c r="R100" s="4">
        <f>'Direct mail readership'!B99</f>
        <v>6.1686731272816537</v>
      </c>
      <c r="S100" s="4">
        <v>-9999</v>
      </c>
      <c r="T100" s="4">
        <v>-9999</v>
      </c>
      <c r="U100" s="4">
        <f>'Print newspapers, readership'!B99</f>
        <v>96.458747190596611</v>
      </c>
      <c r="V100" s="4">
        <f>'Print periodical, readership'!B99</f>
        <v>28.90183422527025</v>
      </c>
      <c r="W100" s="4">
        <v>-9999</v>
      </c>
      <c r="X100" s="4">
        <f>'Movie theater viewership'!B100</f>
        <v>71.857014611074334</v>
      </c>
      <c r="AB100" s="4">
        <v>-9999</v>
      </c>
      <c r="AC100" s="4">
        <v>-9999</v>
      </c>
      <c r="AD100" s="4">
        <v>-9999</v>
      </c>
      <c r="AE100" s="4">
        <v>-9999</v>
      </c>
      <c r="AF100" s="4">
        <v>-9999</v>
      </c>
      <c r="AH100" s="4">
        <f t="shared" si="54"/>
        <v>83.362289069547316</v>
      </c>
      <c r="AI100" s="4" t="str">
        <f t="shared" si="55"/>
        <v>.</v>
      </c>
      <c r="AJ100" s="4" t="str">
        <f t="shared" si="56"/>
        <v>.</v>
      </c>
      <c r="AK100" s="4">
        <f t="shared" si="57"/>
        <v>3.9088471470428114</v>
      </c>
      <c r="AL100" s="4">
        <f t="shared" si="58"/>
        <v>6.06898876372024</v>
      </c>
      <c r="AM100" s="4" t="str">
        <f t="shared" si="59"/>
        <v>.</v>
      </c>
      <c r="AN100" s="4">
        <f t="shared" si="60"/>
        <v>2.2625536081486732</v>
      </c>
      <c r="AO100" s="4" t="str">
        <f t="shared" si="61"/>
        <v>.</v>
      </c>
      <c r="AP100" s="4" t="str">
        <f t="shared" si="62"/>
        <v>.</v>
      </c>
      <c r="AQ100" s="4" t="str">
        <f t="shared" si="63"/>
        <v>.</v>
      </c>
      <c r="AR100" s="4" t="str">
        <f t="shared" si="64"/>
        <v>.</v>
      </c>
      <c r="AS100" s="4" t="str">
        <f t="shared" si="65"/>
        <v>.</v>
      </c>
      <c r="AT100" s="4" t="str">
        <f t="shared" si="66"/>
        <v>.</v>
      </c>
      <c r="AU100" s="4" t="str">
        <f t="shared" si="67"/>
        <v>.</v>
      </c>
      <c r="AV100" s="4" t="str">
        <f t="shared" si="68"/>
        <v>.</v>
      </c>
      <c r="AX100" s="1">
        <f t="shared" si="69"/>
        <v>1244698.4332816391</v>
      </c>
      <c r="AY100" s="4">
        <f t="shared" si="53"/>
        <v>4.4823766345684559</v>
      </c>
    </row>
    <row r="101" spans="1:51" x14ac:dyDescent="0.3">
      <c r="A101" s="4">
        <v>1922</v>
      </c>
      <c r="B101" s="1">
        <v>319164.70876581233</v>
      </c>
      <c r="C101" s="1">
        <v>308811.02992513846</v>
      </c>
      <c r="D101" s="1">
        <v>59517.65237814741</v>
      </c>
      <c r="E101" s="1">
        <v>631632.52623474482</v>
      </c>
      <c r="F101" s="1">
        <v>185734.04789739032</v>
      </c>
      <c r="G101" s="1">
        <v>7945.0063387534847</v>
      </c>
      <c r="H101" s="1">
        <v>2030.458906582485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229368.25552916518</v>
      </c>
      <c r="O101" s="1">
        <v>38117.406931636127</v>
      </c>
      <c r="P101" s="1">
        <v>5687.7087635648622</v>
      </c>
      <c r="Q101" s="1"/>
      <c r="R101" s="4">
        <f>'Direct mail readership'!B100</f>
        <v>5.5053936380598918</v>
      </c>
      <c r="S101" s="4">
        <v>-9999</v>
      </c>
      <c r="T101" s="4">
        <v>-9999</v>
      </c>
      <c r="U101" s="4">
        <f>'Print newspapers, readership'!B100</f>
        <v>87.096173180708817</v>
      </c>
      <c r="V101" s="4">
        <f>'Print periodical, readership'!B100</f>
        <v>28.056824351750706</v>
      </c>
      <c r="W101" s="4">
        <v>-9999</v>
      </c>
      <c r="X101" s="4">
        <f>'Movie theater viewership'!B101</f>
        <v>67.519009732058407</v>
      </c>
      <c r="AB101" s="4">
        <v>-9999</v>
      </c>
      <c r="AC101" s="4">
        <v>-9999</v>
      </c>
      <c r="AD101" s="4">
        <v>-9999</v>
      </c>
      <c r="AE101" s="4">
        <v>-9999</v>
      </c>
      <c r="AF101" s="4">
        <v>-9999</v>
      </c>
      <c r="AH101" s="4">
        <f t="shared" si="54"/>
        <v>84.678910111554501</v>
      </c>
      <c r="AI101" s="4" t="str">
        <f t="shared" si="55"/>
        <v>.</v>
      </c>
      <c r="AJ101" s="4" t="str">
        <f t="shared" si="56"/>
        <v>.</v>
      </c>
      <c r="AK101" s="4">
        <f t="shared" si="57"/>
        <v>4.1025224057698555</v>
      </c>
      <c r="AL101" s="4">
        <f t="shared" si="58"/>
        <v>5.1957366705761121</v>
      </c>
      <c r="AM101" s="4" t="str">
        <f t="shared" si="59"/>
        <v>.</v>
      </c>
      <c r="AN101" s="4">
        <f t="shared" si="60"/>
        <v>1.8449327318782411</v>
      </c>
      <c r="AO101" s="4" t="str">
        <f t="shared" si="61"/>
        <v>.</v>
      </c>
      <c r="AP101" s="4" t="str">
        <f t="shared" si="62"/>
        <v>.</v>
      </c>
      <c r="AQ101" s="4" t="str">
        <f t="shared" si="63"/>
        <v>.</v>
      </c>
      <c r="AR101" s="4" t="str">
        <f t="shared" si="64"/>
        <v>.</v>
      </c>
      <c r="AS101" s="4" t="str">
        <f t="shared" si="65"/>
        <v>.</v>
      </c>
      <c r="AT101" s="4" t="str">
        <f t="shared" si="66"/>
        <v>.</v>
      </c>
      <c r="AU101" s="4" t="str">
        <f t="shared" si="67"/>
        <v>.</v>
      </c>
      <c r="AV101" s="4" t="str">
        <f t="shared" si="68"/>
        <v>.</v>
      </c>
      <c r="AX101" s="1">
        <f t="shared" si="69"/>
        <v>1138561.7418045299</v>
      </c>
      <c r="AY101" s="4">
        <f t="shared" si="53"/>
        <v>4.4988960633046409</v>
      </c>
    </row>
    <row r="102" spans="1:51" x14ac:dyDescent="0.3">
      <c r="A102" s="4">
        <v>1921</v>
      </c>
      <c r="B102" s="1">
        <v>265217.31171756954</v>
      </c>
      <c r="C102" s="1">
        <v>256613.68232781306</v>
      </c>
      <c r="D102" s="1">
        <v>53972.242126376972</v>
      </c>
      <c r="E102" s="1">
        <v>598582.77631511108</v>
      </c>
      <c r="F102" s="1">
        <v>178457.88436971194</v>
      </c>
      <c r="G102" s="1">
        <v>6694.2947039884093</v>
      </c>
      <c r="H102" s="1">
        <v>3406.5652194807112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218099.00179000694</v>
      </c>
      <c r="O102" s="1">
        <v>36265.283553570298</v>
      </c>
      <c r="P102" s="1">
        <v>5411.3432073369222</v>
      </c>
      <c r="Q102" s="1"/>
      <c r="R102" s="4">
        <f>'Direct mail readership'!B101</f>
        <v>6.1697359646334471</v>
      </c>
      <c r="S102" s="4">
        <v>-9999</v>
      </c>
      <c r="T102" s="4">
        <v>-9999</v>
      </c>
      <c r="U102" s="4">
        <f>'Print newspapers, readership'!B101</f>
        <v>89.704034143888066</v>
      </c>
      <c r="V102" s="4">
        <f>'Print periodical, readership'!B101</f>
        <v>27.236520234993218</v>
      </c>
      <c r="W102" s="4">
        <v>-9999</v>
      </c>
      <c r="X102" s="4">
        <f>'Movie theater viewership'!B102</f>
        <v>97.9541492505912</v>
      </c>
      <c r="AB102" s="4">
        <v>-9999</v>
      </c>
      <c r="AC102" s="4">
        <v>-9999</v>
      </c>
      <c r="AD102" s="4">
        <v>-9999</v>
      </c>
      <c r="AE102" s="4">
        <v>-9999</v>
      </c>
      <c r="AF102" s="4">
        <v>-9999</v>
      </c>
      <c r="AH102" s="4">
        <f t="shared" si="54"/>
        <v>62.789071729989381</v>
      </c>
      <c r="AI102" s="4" t="str">
        <f t="shared" si="55"/>
        <v>.</v>
      </c>
      <c r="AJ102" s="4" t="str">
        <f t="shared" si="56"/>
        <v>.</v>
      </c>
      <c r="AK102" s="4">
        <f t="shared" si="57"/>
        <v>3.7748334146307414</v>
      </c>
      <c r="AL102" s="4">
        <f t="shared" si="58"/>
        <v>5.1425466583153581</v>
      </c>
      <c r="AM102" s="4" t="str">
        <f t="shared" si="59"/>
        <v>.</v>
      </c>
      <c r="AN102" s="4">
        <f t="shared" si="60"/>
        <v>2.1335669071233752</v>
      </c>
      <c r="AO102" s="4" t="str">
        <f t="shared" si="61"/>
        <v>.</v>
      </c>
      <c r="AP102" s="4" t="str">
        <f t="shared" si="62"/>
        <v>.</v>
      </c>
      <c r="AQ102" s="4" t="str">
        <f t="shared" si="63"/>
        <v>.</v>
      </c>
      <c r="AR102" s="4" t="str">
        <f t="shared" si="64"/>
        <v>.</v>
      </c>
      <c r="AS102" s="4" t="str">
        <f t="shared" si="65"/>
        <v>.</v>
      </c>
      <c r="AT102" s="4" t="str">
        <f t="shared" si="66"/>
        <v>.</v>
      </c>
      <c r="AU102" s="4" t="str">
        <f t="shared" si="67"/>
        <v>.</v>
      </c>
      <c r="AV102" s="4" t="str">
        <f t="shared" si="68"/>
        <v>.</v>
      </c>
      <c r="AX102" s="1">
        <f t="shared" si="69"/>
        <v>1045664.5376218732</v>
      </c>
      <c r="AY102" s="4">
        <f t="shared" si="53"/>
        <v>3.9573420426400219</v>
      </c>
    </row>
    <row r="103" spans="1:51" x14ac:dyDescent="0.3">
      <c r="A103" s="4">
        <v>1920</v>
      </c>
      <c r="B103" s="1">
        <v>448149.91050091642</v>
      </c>
      <c r="C103" s="1">
        <v>433611.96154112765</v>
      </c>
      <c r="D103" s="1">
        <v>53243.499324172131</v>
      </c>
      <c r="E103" s="1">
        <v>506476.26865499106</v>
      </c>
      <c r="F103" s="1">
        <v>245957.12461472841</v>
      </c>
      <c r="G103" s="1">
        <v>5661.3182363380674</v>
      </c>
      <c r="H103" s="1">
        <v>2554.9239146105333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210641.42387258177</v>
      </c>
      <c r="O103" s="1">
        <v>35044.746073276576</v>
      </c>
      <c r="P103" s="1">
        <v>5229.220070383335</v>
      </c>
      <c r="Q103" s="1"/>
      <c r="R103" s="4">
        <f>'Direct mail readership'!B102</f>
        <v>5.4110054342177323</v>
      </c>
      <c r="S103" s="4">
        <v>-9999</v>
      </c>
      <c r="T103" s="4">
        <v>-9999</v>
      </c>
      <c r="U103" s="4">
        <f>'Print newspapers, readership'!B102</f>
        <v>88.314837322824786</v>
      </c>
      <c r="V103" s="4">
        <f>'Print periodical, readership'!B102</f>
        <v>26.440199546849499</v>
      </c>
      <c r="W103" s="4">
        <v>-9999</v>
      </c>
      <c r="X103" s="4">
        <f>'Movie theater viewership'!B103</f>
        <v>58.994669674003092</v>
      </c>
      <c r="AB103" s="4">
        <v>-9999</v>
      </c>
      <c r="AC103" s="4">
        <v>-9999</v>
      </c>
      <c r="AD103" s="4">
        <v>-9999</v>
      </c>
      <c r="AE103" s="4">
        <v>-9999</v>
      </c>
      <c r="AF103" s="4">
        <v>-9999</v>
      </c>
      <c r="AH103" s="4">
        <f t="shared" si="54"/>
        <v>120.97457818444903</v>
      </c>
      <c r="AI103" s="4" t="str">
        <f t="shared" si="55"/>
        <v>.</v>
      </c>
      <c r="AJ103" s="4" t="str">
        <f t="shared" si="56"/>
        <v>.</v>
      </c>
      <c r="AK103" s="4">
        <f t="shared" si="57"/>
        <v>3.2442250744632859</v>
      </c>
      <c r="AL103" s="4">
        <f t="shared" si="58"/>
        <v>7.3011084639133843</v>
      </c>
      <c r="AM103" s="4" t="str">
        <f t="shared" si="59"/>
        <v>.</v>
      </c>
      <c r="AN103" s="4">
        <f t="shared" si="60"/>
        <v>2.6569145875129045</v>
      </c>
      <c r="AO103" s="4" t="str">
        <f t="shared" si="61"/>
        <v>.</v>
      </c>
      <c r="AP103" s="4" t="str">
        <f t="shared" si="62"/>
        <v>.</v>
      </c>
      <c r="AQ103" s="4" t="str">
        <f t="shared" si="63"/>
        <v>.</v>
      </c>
      <c r="AR103" s="4" t="str">
        <f t="shared" si="64"/>
        <v>.</v>
      </c>
      <c r="AS103" s="4" t="str">
        <f t="shared" si="65"/>
        <v>.</v>
      </c>
      <c r="AT103" s="4" t="str">
        <f t="shared" si="66"/>
        <v>.</v>
      </c>
      <c r="AU103" s="4" t="str">
        <f t="shared" si="67"/>
        <v>.</v>
      </c>
      <c r="AV103" s="4" t="str">
        <f t="shared" si="68"/>
        <v>.</v>
      </c>
      <c r="AX103" s="1">
        <f t="shared" si="69"/>
        <v>1203138.2276852464</v>
      </c>
      <c r="AY103" s="4">
        <f t="shared" si="53"/>
        <v>4.8350712786100605</v>
      </c>
    </row>
    <row r="104" spans="1:51" x14ac:dyDescent="0.3">
      <c r="A104" s="4">
        <v>1919</v>
      </c>
      <c r="B104" s="1">
        <v>328273.69762866775</v>
      </c>
      <c r="C104" s="1">
        <v>317624.52388314059</v>
      </c>
      <c r="D104" s="1">
        <v>43913.75949716293</v>
      </c>
      <c r="E104" s="1">
        <v>428542.58568850695</v>
      </c>
      <c r="F104" s="1">
        <v>179299.48761847476</v>
      </c>
      <c r="G104" s="1">
        <v>4787.7372584147679</v>
      </c>
      <c r="H104" s="1">
        <v>1916.1929359579001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170089.41386120574</v>
      </c>
      <c r="O104" s="1">
        <v>28313.441090576929</v>
      </c>
      <c r="P104" s="1">
        <v>4224.8048852424799</v>
      </c>
      <c r="Q104" s="1"/>
      <c r="R104" s="4">
        <f>'Direct mail readership'!B103</f>
        <v>4.1817346673226412</v>
      </c>
      <c r="S104" s="4">
        <v>-9999</v>
      </c>
      <c r="T104" s="4">
        <v>-9999</v>
      </c>
      <c r="U104" s="4">
        <f>'Print newspapers, readership'!B103</f>
        <v>86.947154225487211</v>
      </c>
      <c r="V104" s="4">
        <f>'Print periodical, readership'!B103</f>
        <v>25.667161078052981</v>
      </c>
      <c r="W104" s="4">
        <v>-9999</v>
      </c>
      <c r="X104" s="4">
        <f>'Movie theater viewership'!B104</f>
        <v>52.251035558307009</v>
      </c>
      <c r="AB104" s="4">
        <v>-9999</v>
      </c>
      <c r="AC104" s="4">
        <v>-9999</v>
      </c>
      <c r="AD104" s="4">
        <v>-9999</v>
      </c>
      <c r="AE104" s="4">
        <v>-9999</v>
      </c>
      <c r="AF104" s="4">
        <v>-9999</v>
      </c>
      <c r="AH104" s="4">
        <f t="shared" si="54"/>
        <v>114.66434283371518</v>
      </c>
      <c r="AI104" s="4" t="str">
        <f t="shared" si="55"/>
        <v>.</v>
      </c>
      <c r="AJ104" s="4" t="str">
        <f t="shared" si="56"/>
        <v>.</v>
      </c>
      <c r="AK104" s="4">
        <f t="shared" si="57"/>
        <v>2.7882015383732872</v>
      </c>
      <c r="AL104" s="4">
        <f t="shared" si="58"/>
        <v>5.4827107425347839</v>
      </c>
      <c r="AM104" s="4" t="str">
        <f t="shared" si="59"/>
        <v>.</v>
      </c>
      <c r="AN104" s="4">
        <f t="shared" si="60"/>
        <v>2.2498663916543822</v>
      </c>
      <c r="AO104" s="4" t="str">
        <f t="shared" si="61"/>
        <v>.</v>
      </c>
      <c r="AP104" s="4" t="str">
        <f t="shared" si="62"/>
        <v>.</v>
      </c>
      <c r="AQ104" s="4" t="str">
        <f t="shared" si="63"/>
        <v>.</v>
      </c>
      <c r="AR104" s="4" t="str">
        <f t="shared" si="64"/>
        <v>.</v>
      </c>
      <c r="AS104" s="4" t="str">
        <f t="shared" si="65"/>
        <v>.</v>
      </c>
      <c r="AT104" s="4" t="str">
        <f t="shared" si="66"/>
        <v>.</v>
      </c>
      <c r="AU104" s="4" t="str">
        <f t="shared" si="67"/>
        <v>.</v>
      </c>
      <c r="AV104" s="4" t="str">
        <f t="shared" si="68"/>
        <v>.</v>
      </c>
      <c r="AX104" s="1">
        <f t="shared" si="69"/>
        <v>938031.96387160732</v>
      </c>
      <c r="AY104" s="4">
        <f t="shared" si="53"/>
        <v>4.191617481848998</v>
      </c>
    </row>
    <row r="105" spans="1:51" x14ac:dyDescent="0.3">
      <c r="A105" s="4">
        <v>1918</v>
      </c>
      <c r="B105" s="1">
        <v>211187.26726549806</v>
      </c>
      <c r="C105" s="1">
        <v>204336.36840214371</v>
      </c>
      <c r="D105" s="1">
        <v>29115.609348377242</v>
      </c>
      <c r="E105" s="1">
        <v>277297.55350147519</v>
      </c>
      <c r="F105" s="1">
        <v>111008.03844629331</v>
      </c>
      <c r="G105" s="1">
        <v>4048.9559319385589</v>
      </c>
      <c r="H105" s="1">
        <v>1437.1447019684249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108932.7783513816</v>
      </c>
      <c r="O105" s="1">
        <v>18142.820596579273</v>
      </c>
      <c r="P105" s="1">
        <v>2707.1904415749746</v>
      </c>
      <c r="Q105" s="1"/>
      <c r="R105" s="4">
        <f>'Direct mail readership'!B104</f>
        <v>4.2362205200695264</v>
      </c>
      <c r="S105" s="4">
        <v>-9999</v>
      </c>
      <c r="T105" s="4">
        <v>-9999</v>
      </c>
      <c r="U105" s="4">
        <f>'Print newspapers, readership'!B104</f>
        <v>85.704071896893765</v>
      </c>
      <c r="V105" s="4">
        <f>'Print periodical, readership'!B104</f>
        <v>24.916724120760957</v>
      </c>
      <c r="W105" s="4">
        <v>-9999</v>
      </c>
      <c r="X105" s="4">
        <f>'Movie theater viewership'!B105</f>
        <v>48.796168959074315</v>
      </c>
      <c r="AB105" s="4">
        <v>-9999</v>
      </c>
      <c r="AC105" s="4">
        <v>-9999</v>
      </c>
      <c r="AD105" s="4">
        <v>-9999</v>
      </c>
      <c r="AE105" s="4">
        <v>-9999</v>
      </c>
      <c r="AF105" s="4">
        <v>-9999</v>
      </c>
      <c r="AH105" s="4">
        <f t="shared" si="54"/>
        <v>72.817865348074989</v>
      </c>
      <c r="AI105" s="4" t="str">
        <f t="shared" si="55"/>
        <v>.</v>
      </c>
      <c r="AJ105" s="4" t="str">
        <f t="shared" si="56"/>
        <v>.</v>
      </c>
      <c r="AK105" s="4">
        <f t="shared" si="57"/>
        <v>1.8303330875947112</v>
      </c>
      <c r="AL105" s="4">
        <f t="shared" si="58"/>
        <v>3.4966938235945597</v>
      </c>
      <c r="AM105" s="4" t="str">
        <f t="shared" si="59"/>
        <v>.</v>
      </c>
      <c r="AN105" s="4">
        <f t="shared" si="60"/>
        <v>1.8068710823953655</v>
      </c>
      <c r="AO105" s="4" t="str">
        <f t="shared" si="61"/>
        <v>.</v>
      </c>
      <c r="AP105" s="4" t="str">
        <f t="shared" si="62"/>
        <v>.</v>
      </c>
      <c r="AQ105" s="4" t="str">
        <f t="shared" si="63"/>
        <v>.</v>
      </c>
      <c r="AR105" s="4" t="str">
        <f t="shared" si="64"/>
        <v>.</v>
      </c>
      <c r="AS105" s="4" t="str">
        <f t="shared" si="65"/>
        <v>.</v>
      </c>
      <c r="AT105" s="4" t="str">
        <f t="shared" si="66"/>
        <v>.</v>
      </c>
      <c r="AU105" s="4" t="str">
        <f t="shared" si="67"/>
        <v>.</v>
      </c>
      <c r="AV105" s="4" t="str">
        <f t="shared" si="68"/>
        <v>.</v>
      </c>
      <c r="AX105" s="1">
        <f t="shared" si="69"/>
        <v>600930.00391523493</v>
      </c>
      <c r="AY105" s="4">
        <f t="shared" si="53"/>
        <v>2.706236403254116</v>
      </c>
    </row>
    <row r="106" spans="1:51" x14ac:dyDescent="0.3">
      <c r="A106" s="4">
        <v>1917</v>
      </c>
      <c r="B106" s="1">
        <v>243060.46252035102</v>
      </c>
      <c r="C106" s="1">
        <v>235175.59963080173</v>
      </c>
      <c r="D106" s="1">
        <v>30694.489789071347</v>
      </c>
      <c r="E106" s="1">
        <v>310807.2318143078</v>
      </c>
      <c r="F106" s="1">
        <v>85915.723074602414</v>
      </c>
      <c r="G106" s="1">
        <v>3424.1737284072592</v>
      </c>
      <c r="H106" s="1">
        <v>1077.8585264763187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110931.37765075958</v>
      </c>
      <c r="O106" s="1">
        <v>18485.288282471527</v>
      </c>
      <c r="P106" s="1">
        <v>2758.2919360124283</v>
      </c>
      <c r="Q106" s="1"/>
      <c r="R106" s="4">
        <f>'Direct mail readership'!B105</f>
        <v>4.8681223246186525</v>
      </c>
      <c r="S106" s="4">
        <v>-9999</v>
      </c>
      <c r="T106" s="4">
        <v>-9999</v>
      </c>
      <c r="U106" s="4">
        <f>'Print newspapers, readership'!B105</f>
        <v>84.478761900119864</v>
      </c>
      <c r="V106" s="4">
        <f>'Print periodical, readership'!B105</f>
        <v>24.188227869149522</v>
      </c>
      <c r="W106" s="4">
        <v>-9999</v>
      </c>
      <c r="X106" s="4">
        <f>'Movie theater viewership'!B106</f>
        <v>43.768012290618259</v>
      </c>
      <c r="AB106" s="4">
        <v>-9999</v>
      </c>
      <c r="AC106" s="4">
        <v>-9999</v>
      </c>
      <c r="AD106" s="4">
        <v>-9999</v>
      </c>
      <c r="AE106" s="4">
        <v>-9999</v>
      </c>
      <c r="AF106" s="4">
        <v>-9999</v>
      </c>
      <c r="AH106" s="4">
        <f t="shared" si="54"/>
        <v>72.929226943141884</v>
      </c>
      <c r="AI106" s="4" t="str">
        <f t="shared" si="55"/>
        <v>.</v>
      </c>
      <c r="AJ106" s="4" t="str">
        <f t="shared" si="56"/>
        <v>.</v>
      </c>
      <c r="AK106" s="4">
        <f t="shared" si="57"/>
        <v>2.08127335334569</v>
      </c>
      <c r="AL106" s="4">
        <f t="shared" si="58"/>
        <v>2.7878070995517765</v>
      </c>
      <c r="AM106" s="4" t="str">
        <f t="shared" si="59"/>
        <v>.</v>
      </c>
      <c r="AN106" s="4">
        <f t="shared" si="60"/>
        <v>1.5108360308618949</v>
      </c>
      <c r="AO106" s="4" t="str">
        <f t="shared" si="61"/>
        <v>.</v>
      </c>
      <c r="AP106" s="4" t="str">
        <f t="shared" si="62"/>
        <v>.</v>
      </c>
      <c r="AQ106" s="4" t="str">
        <f t="shared" si="63"/>
        <v>.</v>
      </c>
      <c r="AR106" s="4" t="str">
        <f t="shared" si="64"/>
        <v>.</v>
      </c>
      <c r="AS106" s="4" t="str">
        <f t="shared" si="65"/>
        <v>.</v>
      </c>
      <c r="AT106" s="4" t="str">
        <f t="shared" si="66"/>
        <v>.</v>
      </c>
      <c r="AU106" s="4" t="str">
        <f t="shared" si="67"/>
        <v>.</v>
      </c>
      <c r="AV106" s="4" t="str">
        <f t="shared" si="68"/>
        <v>.</v>
      </c>
      <c r="AX106" s="1">
        <f t="shared" si="69"/>
        <v>640861.27593573753</v>
      </c>
      <c r="AY106" s="4">
        <f t="shared" si="53"/>
        <v>2.775068308514467</v>
      </c>
    </row>
    <row r="107" spans="1:51" x14ac:dyDescent="0.3">
      <c r="A107" s="4">
        <v>1916</v>
      </c>
      <c r="B107" s="1">
        <v>219367.34511899605</v>
      </c>
      <c r="C107" s="1">
        <v>212251.08515317418</v>
      </c>
      <c r="D107" s="1">
        <v>28100.398974020529</v>
      </c>
      <c r="E107" s="1">
        <v>281268.68984685076</v>
      </c>
      <c r="F107" s="1">
        <v>70025.949772904758</v>
      </c>
      <c r="G107" s="1">
        <v>2895.7997862675652</v>
      </c>
      <c r="H107" s="1">
        <v>808.39389485723905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98100.880854869116</v>
      </c>
      <c r="O107" s="1">
        <v>16355.551084249893</v>
      </c>
      <c r="P107" s="1">
        <v>2440.50208876126</v>
      </c>
      <c r="Q107" s="1"/>
      <c r="R107" s="4">
        <f>'Direct mail readership'!B106</f>
        <v>4.2683240796791972</v>
      </c>
      <c r="S107" s="4">
        <v>-9999</v>
      </c>
      <c r="T107" s="4">
        <v>-9999</v>
      </c>
      <c r="U107" s="4">
        <f>'Print newspapers, readership'!B106</f>
        <v>83.270970144369571</v>
      </c>
      <c r="V107" s="4">
        <f>'Print periodical, readership'!B106</f>
        <v>23.481030837533449</v>
      </c>
      <c r="W107" s="4">
        <v>-9999</v>
      </c>
      <c r="X107" s="4">
        <f>'Movie theater viewership'!B107</f>
        <v>40.578172294524329</v>
      </c>
      <c r="AB107" s="4">
        <v>-9999</v>
      </c>
      <c r="AC107" s="4">
        <v>-9999</v>
      </c>
      <c r="AD107" s="4">
        <v>-9999</v>
      </c>
      <c r="AE107" s="4">
        <v>-9999</v>
      </c>
      <c r="AF107" s="4">
        <v>-9999</v>
      </c>
      <c r="AH107" s="4">
        <f t="shared" si="54"/>
        <v>75.069472688300451</v>
      </c>
      <c r="AI107" s="4" t="str">
        <f t="shared" si="55"/>
        <v>.</v>
      </c>
      <c r="AJ107" s="4" t="str">
        <f t="shared" si="56"/>
        <v>.</v>
      </c>
      <c r="AK107" s="4">
        <f t="shared" si="57"/>
        <v>1.910791561950991</v>
      </c>
      <c r="AL107" s="4">
        <f t="shared" si="58"/>
        <v>2.3406472651545465</v>
      </c>
      <c r="AM107" s="4" t="str">
        <f t="shared" si="59"/>
        <v>.</v>
      </c>
      <c r="AN107" s="4">
        <f t="shared" si="60"/>
        <v>1.22220185561676</v>
      </c>
      <c r="AO107" s="4" t="str">
        <f t="shared" si="61"/>
        <v>.</v>
      </c>
      <c r="AP107" s="4" t="str">
        <f t="shared" si="62"/>
        <v>.</v>
      </c>
      <c r="AQ107" s="4" t="str">
        <f t="shared" si="63"/>
        <v>.</v>
      </c>
      <c r="AR107" s="4" t="str">
        <f t="shared" si="64"/>
        <v>.</v>
      </c>
      <c r="AS107" s="4" t="str">
        <f t="shared" si="65"/>
        <v>.</v>
      </c>
      <c r="AT107" s="4" t="str">
        <f t="shared" si="66"/>
        <v>.</v>
      </c>
      <c r="AU107" s="4" t="str">
        <f t="shared" si="67"/>
        <v>.</v>
      </c>
      <c r="AV107" s="4" t="str">
        <f t="shared" si="68"/>
        <v>.</v>
      </c>
      <c r="AX107" s="1">
        <f t="shared" si="69"/>
        <v>571470.37863360881</v>
      </c>
      <c r="AY107" s="4">
        <f t="shared" si="53"/>
        <v>2.6304434681550033</v>
      </c>
    </row>
    <row r="108" spans="1:51" x14ac:dyDescent="0.3">
      <c r="A108" s="4">
        <v>1915</v>
      </c>
      <c r="B108" s="1">
        <v>195993.2134902199</v>
      </c>
      <c r="C108" s="1">
        <v>189635.20857396105</v>
      </c>
      <c r="D108" s="1">
        <v>25209.236898877101</v>
      </c>
      <c r="E108" s="1">
        <v>251292.8121137378</v>
      </c>
      <c r="F108" s="1">
        <v>53446.55575043759</v>
      </c>
      <c r="G108" s="1">
        <v>2448.9576368684516</v>
      </c>
      <c r="H108" s="1">
        <v>606.29542114292929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85014.221280076614</v>
      </c>
      <c r="O108" s="1">
        <v>14180.752649638845</v>
      </c>
      <c r="P108" s="1">
        <v>2115.9884056109499</v>
      </c>
      <c r="Q108" s="1"/>
      <c r="R108" s="4">
        <f>'Direct mail readership'!B107</f>
        <v>4.0658627338062088</v>
      </c>
      <c r="S108" s="4">
        <v>-9999</v>
      </c>
      <c r="T108" s="4">
        <v>-9999</v>
      </c>
      <c r="U108" s="4">
        <f>'Print newspapers, readership'!B107</f>
        <v>82.080446171579709</v>
      </c>
      <c r="V108" s="4">
        <f>'Print periodical, readership'!B107</f>
        <v>22.794510295498679</v>
      </c>
      <c r="W108" s="4">
        <v>-9999</v>
      </c>
      <c r="X108" s="4">
        <f>'Movie theater viewership'!B108</f>
        <v>34.867468165859847</v>
      </c>
      <c r="AB108" s="4">
        <v>-9999</v>
      </c>
      <c r="AC108" s="4">
        <v>-9999</v>
      </c>
      <c r="AD108" s="4">
        <v>-9999</v>
      </c>
      <c r="AE108" s="4">
        <v>-9999</v>
      </c>
      <c r="AF108" s="4">
        <v>-9999</v>
      </c>
      <c r="AH108" s="4">
        <f t="shared" si="54"/>
        <v>70.410445743158022</v>
      </c>
      <c r="AI108" s="4" t="str">
        <f t="shared" si="55"/>
        <v>.</v>
      </c>
      <c r="AJ108" s="4" t="str">
        <f t="shared" si="56"/>
        <v>.</v>
      </c>
      <c r="AK108" s="4">
        <f t="shared" si="57"/>
        <v>1.7319123408185455</v>
      </c>
      <c r="AL108" s="4">
        <f t="shared" si="58"/>
        <v>1.840278610250869</v>
      </c>
      <c r="AM108" s="4" t="str">
        <f t="shared" si="59"/>
        <v>.</v>
      </c>
      <c r="AN108" s="4">
        <f t="shared" si="60"/>
        <v>1.0667834535616878</v>
      </c>
      <c r="AO108" s="4" t="str">
        <f t="shared" si="61"/>
        <v>.</v>
      </c>
      <c r="AP108" s="4" t="str">
        <f t="shared" si="62"/>
        <v>.</v>
      </c>
      <c r="AQ108" s="4" t="str">
        <f t="shared" si="63"/>
        <v>.</v>
      </c>
      <c r="AR108" s="4" t="str">
        <f t="shared" si="64"/>
        <v>.</v>
      </c>
      <c r="AS108" s="4" t="str">
        <f t="shared" si="65"/>
        <v>.</v>
      </c>
      <c r="AT108" s="4" t="str">
        <f t="shared" si="66"/>
        <v>.</v>
      </c>
      <c r="AU108" s="4" t="str">
        <f t="shared" si="67"/>
        <v>.</v>
      </c>
      <c r="AV108" s="4" t="str">
        <f t="shared" si="68"/>
        <v>.</v>
      </c>
      <c r="AX108" s="1">
        <f t="shared" si="69"/>
        <v>501338.87677553826</v>
      </c>
      <c r="AY108" s="4">
        <f t="shared" si="53"/>
        <v>2.3766491125622449</v>
      </c>
    </row>
    <row r="109" spans="1:51" x14ac:dyDescent="0.3">
      <c r="A109" s="4">
        <v>1914</v>
      </c>
      <c r="B109" s="1">
        <v>198315.1105528523</v>
      </c>
      <c r="C109" s="1">
        <v>191881.78347274716</v>
      </c>
      <c r="D109" s="1">
        <v>25118.630720312409</v>
      </c>
      <c r="E109" s="1">
        <v>253085.77891860879</v>
      </c>
      <c r="F109" s="1">
        <v>40792.510931282173</v>
      </c>
      <c r="G109" s="1">
        <v>2071.0663546620503</v>
      </c>
      <c r="H109" s="1">
        <v>454.72156585719699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81828.430061079052</v>
      </c>
      <c r="O109" s="1">
        <v>13655.966106922697</v>
      </c>
      <c r="P109" s="1">
        <v>2037.6821078252462</v>
      </c>
      <c r="Q109" s="1"/>
      <c r="R109" s="4">
        <f>'Direct mail readership'!B108</f>
        <v>4.3419474968438028</v>
      </c>
      <c r="S109" s="4">
        <v>-9999</v>
      </c>
      <c r="T109" s="4">
        <v>-9999</v>
      </c>
      <c r="U109" s="4">
        <f>'Print newspapers, readership'!B108</f>
        <v>80.906943104482806</v>
      </c>
      <c r="V109" s="4">
        <f>'Print periodical, readership'!B108</f>
        <v>22.128061719549926</v>
      </c>
      <c r="W109" s="4">
        <v>-9999</v>
      </c>
      <c r="X109" s="4">
        <f>'Movie theater viewership'!B109</f>
        <v>26.842275213137789</v>
      </c>
      <c r="AB109" s="4">
        <v>-9999</v>
      </c>
      <c r="AC109" s="4">
        <v>-9999</v>
      </c>
      <c r="AD109" s="4">
        <v>-9999</v>
      </c>
      <c r="AE109" s="4">
        <v>-9999</v>
      </c>
      <c r="AF109" s="4">
        <v>-9999</v>
      </c>
      <c r="AH109" s="4">
        <f t="shared" si="54"/>
        <v>66.714465559752696</v>
      </c>
      <c r="AI109" s="4" t="str">
        <f t="shared" si="55"/>
        <v>.</v>
      </c>
      <c r="AJ109" s="4" t="str">
        <f t="shared" si="56"/>
        <v>.</v>
      </c>
      <c r="AK109" s="4">
        <f t="shared" si="57"/>
        <v>1.7695689890324402</v>
      </c>
      <c r="AL109" s="4">
        <f t="shared" si="58"/>
        <v>1.4468755774370217</v>
      </c>
      <c r="AM109" s="4" t="str">
        <f t="shared" si="59"/>
        <v>.</v>
      </c>
      <c r="AN109" s="4">
        <f t="shared" si="60"/>
        <v>1.0392944844907224</v>
      </c>
      <c r="AO109" s="4" t="str">
        <f t="shared" si="61"/>
        <v>.</v>
      </c>
      <c r="AP109" s="4" t="str">
        <f t="shared" si="62"/>
        <v>.</v>
      </c>
      <c r="AQ109" s="4" t="str">
        <f t="shared" si="63"/>
        <v>.</v>
      </c>
      <c r="AR109" s="4" t="str">
        <f t="shared" si="64"/>
        <v>.</v>
      </c>
      <c r="AS109" s="4" t="str">
        <f t="shared" si="65"/>
        <v>.</v>
      </c>
      <c r="AT109" s="4" t="str">
        <f t="shared" si="66"/>
        <v>.</v>
      </c>
      <c r="AU109" s="4" t="str">
        <f t="shared" si="67"/>
        <v>.</v>
      </c>
      <c r="AV109" s="4" t="str">
        <f t="shared" si="68"/>
        <v>.</v>
      </c>
      <c r="AX109" s="1">
        <f t="shared" si="69"/>
        <v>492648.12196860043</v>
      </c>
      <c r="AY109" s="4">
        <f t="shared" si="53"/>
        <v>2.2987975011753816</v>
      </c>
    </row>
    <row r="110" spans="1:51" x14ac:dyDescent="0.3">
      <c r="A110" s="4">
        <v>1913</v>
      </c>
      <c r="B110" s="1">
        <v>193718.47140409471</v>
      </c>
      <c r="C110" s="1">
        <v>187434.25894783612</v>
      </c>
      <c r="D110" s="1">
        <v>21858.892395200539</v>
      </c>
      <c r="E110" s="1">
        <v>237304.00785893906</v>
      </c>
      <c r="F110" s="1">
        <v>38248.796024749994</v>
      </c>
      <c r="G110" s="1">
        <v>1751.4863388564036</v>
      </c>
      <c r="H110" s="1">
        <v>341.04117439289774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76613.396282886766</v>
      </c>
      <c r="O110" s="1">
        <v>12791.710774771311</v>
      </c>
      <c r="P110" s="1">
        <v>1908.7217975016367</v>
      </c>
      <c r="Q110" s="1"/>
      <c r="R110" s="4">
        <f>'Direct mail readership'!B109</f>
        <v>3.8851351329686108</v>
      </c>
      <c r="S110" s="4">
        <v>-9999</v>
      </c>
      <c r="T110" s="4">
        <v>-9999</v>
      </c>
      <c r="U110" s="4">
        <f>'Print newspapers, readership'!B109</f>
        <v>77.890870599550354</v>
      </c>
      <c r="V110" s="4">
        <f>'Print periodical, readership'!B109</f>
        <v>21.481098260790635</v>
      </c>
      <c r="W110" s="4">
        <v>-9999</v>
      </c>
      <c r="X110" s="4">
        <f>'Movie theater viewership'!B110</f>
        <v>19.78946740088583</v>
      </c>
      <c r="AB110" s="4">
        <v>-9999</v>
      </c>
      <c r="AC110" s="4">
        <v>-9999</v>
      </c>
      <c r="AD110" s="4">
        <v>-9999</v>
      </c>
      <c r="AE110" s="4">
        <v>-9999</v>
      </c>
      <c r="AF110" s="4">
        <v>-9999</v>
      </c>
      <c r="AH110" s="4">
        <f t="shared" si="54"/>
        <v>72.830564637072257</v>
      </c>
      <c r="AI110" s="4" t="str">
        <f t="shared" si="55"/>
        <v>.</v>
      </c>
      <c r="AJ110" s="4" t="str">
        <f t="shared" si="56"/>
        <v>.</v>
      </c>
      <c r="AK110" s="4">
        <f t="shared" si="57"/>
        <v>1.7234713329037434</v>
      </c>
      <c r="AL110" s="4">
        <f t="shared" si="58"/>
        <v>1.3975115601864081</v>
      </c>
      <c r="AM110" s="4" t="str">
        <f t="shared" si="59"/>
        <v>.</v>
      </c>
      <c r="AN110" s="4">
        <f t="shared" si="60"/>
        <v>1.0572680411909692</v>
      </c>
      <c r="AO110" s="4" t="str">
        <f t="shared" si="61"/>
        <v>.</v>
      </c>
      <c r="AP110" s="4" t="str">
        <f t="shared" si="62"/>
        <v>.</v>
      </c>
      <c r="AQ110" s="4" t="str">
        <f t="shared" si="63"/>
        <v>.</v>
      </c>
      <c r="AR110" s="4" t="str">
        <f t="shared" si="64"/>
        <v>.</v>
      </c>
      <c r="AS110" s="4" t="str">
        <f t="shared" si="65"/>
        <v>.</v>
      </c>
      <c r="AT110" s="4" t="str">
        <f t="shared" si="66"/>
        <v>.</v>
      </c>
      <c r="AU110" s="4" t="str">
        <f t="shared" si="67"/>
        <v>.</v>
      </c>
      <c r="AV110" s="4" t="str">
        <f t="shared" si="68"/>
        <v>.</v>
      </c>
      <c r="AX110" s="1">
        <f t="shared" si="69"/>
        <v>469612.31646217668</v>
      </c>
      <c r="AY110" s="4">
        <f t="shared" si="53"/>
        <v>2.3439384692835867</v>
      </c>
    </row>
    <row r="111" spans="1:51" x14ac:dyDescent="0.3">
      <c r="A111" s="4">
        <v>1912</v>
      </c>
      <c r="B111" s="1">
        <v>190708.15062720355</v>
      </c>
      <c r="C111" s="1">
        <v>184521.59274764257</v>
      </c>
      <c r="D111" s="1">
        <v>19182.711894678789</v>
      </c>
      <c r="E111" s="1">
        <v>224367.82765740674</v>
      </c>
      <c r="F111" s="1">
        <v>36163.735084009626</v>
      </c>
      <c r="G111" s="1">
        <v>1481.2197534352715</v>
      </c>
      <c r="H111" s="1">
        <v>255.78088079467329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72336.846226630223</v>
      </c>
      <c r="O111" s="1">
        <v>12083.270376405984</v>
      </c>
      <c r="P111" s="1">
        <v>1803.0114938214149</v>
      </c>
      <c r="Q111" s="1"/>
      <c r="R111" s="4">
        <f>'Direct mail readership'!B110</f>
        <v>3.8788197722426583</v>
      </c>
      <c r="S111" s="4">
        <v>-9999</v>
      </c>
      <c r="T111" s="4">
        <v>-9999</v>
      </c>
      <c r="U111" s="4">
        <f>'Print newspapers, readership'!B110</f>
        <v>74.987232120746683</v>
      </c>
      <c r="V111" s="4">
        <f>'Print periodical, readership'!B110</f>
        <v>20.853050228166474</v>
      </c>
      <c r="W111" s="4">
        <v>-9999</v>
      </c>
      <c r="X111" s="4">
        <f>'Movie theater viewership'!B111</f>
        <v>16.363947685407247</v>
      </c>
      <c r="AB111" s="4">
        <v>-9999</v>
      </c>
      <c r="AC111" s="4">
        <v>-9999</v>
      </c>
      <c r="AD111" s="4">
        <v>-9999</v>
      </c>
      <c r="AE111" s="4">
        <v>-9999</v>
      </c>
      <c r="AF111" s="4">
        <v>-9999</v>
      </c>
      <c r="AH111" s="4">
        <f t="shared" si="54"/>
        <v>71.815539344212468</v>
      </c>
      <c r="AI111" s="4" t="str">
        <f t="shared" si="55"/>
        <v>.</v>
      </c>
      <c r="AJ111" s="4" t="str">
        <f t="shared" si="56"/>
        <v>.</v>
      </c>
      <c r="AK111" s="4">
        <f t="shared" si="57"/>
        <v>1.6926174290719607</v>
      </c>
      <c r="AL111" s="4">
        <f t="shared" si="58"/>
        <v>1.3611243750392612</v>
      </c>
      <c r="AM111" s="4" t="str">
        <f t="shared" si="59"/>
        <v>.</v>
      </c>
      <c r="AN111" s="4">
        <f t="shared" si="60"/>
        <v>0.95894211336020885</v>
      </c>
      <c r="AO111" s="4" t="str">
        <f t="shared" si="61"/>
        <v>.</v>
      </c>
      <c r="AP111" s="4" t="str">
        <f t="shared" si="62"/>
        <v>.</v>
      </c>
      <c r="AQ111" s="4" t="str">
        <f t="shared" si="63"/>
        <v>.</v>
      </c>
      <c r="AR111" s="4" t="str">
        <f t="shared" si="64"/>
        <v>.</v>
      </c>
      <c r="AS111" s="4" t="str">
        <f t="shared" si="65"/>
        <v>.</v>
      </c>
      <c r="AT111" s="4" t="str">
        <f t="shared" si="66"/>
        <v>.</v>
      </c>
      <c r="AU111" s="4" t="str">
        <f t="shared" si="67"/>
        <v>.</v>
      </c>
      <c r="AV111" s="4" t="str">
        <f t="shared" si="68"/>
        <v>.</v>
      </c>
      <c r="AX111" s="1">
        <f t="shared" si="69"/>
        <v>451495.49424941459</v>
      </c>
      <c r="AY111" s="4">
        <f t="shared" si="53"/>
        <v>2.3041837487271435</v>
      </c>
    </row>
    <row r="112" spans="1:51" x14ac:dyDescent="0.3">
      <c r="A112" s="4">
        <v>1911</v>
      </c>
      <c r="B112" s="1">
        <v>189363.95790866864</v>
      </c>
      <c r="C112" s="1">
        <v>183221.00553850594</v>
      </c>
      <c r="D112" s="1">
        <v>16989.271548437577</v>
      </c>
      <c r="E112" s="1">
        <v>214076.44427966818</v>
      </c>
      <c r="F112" s="1">
        <v>34504.964011497395</v>
      </c>
      <c r="G112" s="1">
        <v>1252.6571913768855</v>
      </c>
      <c r="H112" s="1">
        <v>191.83566059600497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68928.990816674312</v>
      </c>
      <c r="O112" s="1">
        <v>11519.224895779606</v>
      </c>
      <c r="P112" s="1">
        <v>1718.8471531315665</v>
      </c>
      <c r="Q112" s="1"/>
      <c r="R112" s="4">
        <f>'Direct mail readership'!B111</f>
        <v>3.832421134414111</v>
      </c>
      <c r="S112" s="4">
        <v>-9999</v>
      </c>
      <c r="T112" s="4">
        <v>-9999</v>
      </c>
      <c r="U112" s="4">
        <f>'Print newspapers, readership'!B111</f>
        <v>72.19183631981646</v>
      </c>
      <c r="V112" s="4">
        <f>'Print periodical, readership'!B111</f>
        <v>20.243364586817393</v>
      </c>
      <c r="W112" s="4">
        <v>-9999</v>
      </c>
      <c r="X112" s="4">
        <f>'Movie theater viewership'!B112</f>
        <v>11.918174960383595</v>
      </c>
      <c r="AB112" s="4">
        <v>-9999</v>
      </c>
      <c r="AC112" s="4">
        <v>-9999</v>
      </c>
      <c r="AD112" s="4">
        <v>-9999</v>
      </c>
      <c r="AE112" s="4">
        <v>-9999</v>
      </c>
      <c r="AF112" s="4">
        <v>-9999</v>
      </c>
      <c r="AH112" s="4">
        <f t="shared" si="54"/>
        <v>72.172685978379405</v>
      </c>
      <c r="AI112" s="4" t="str">
        <f t="shared" si="55"/>
        <v>.</v>
      </c>
      <c r="AJ112" s="4" t="str">
        <f t="shared" si="56"/>
        <v>.</v>
      </c>
      <c r="AK112" s="4">
        <f t="shared" si="57"/>
        <v>1.6775147313707732</v>
      </c>
      <c r="AL112" s="4">
        <f t="shared" si="58"/>
        <v>1.3378055810445308</v>
      </c>
      <c r="AM112" s="4" t="str">
        <f t="shared" si="59"/>
        <v>.</v>
      </c>
      <c r="AN112" s="4">
        <f t="shared" si="60"/>
        <v>0.98748835047236527</v>
      </c>
      <c r="AO112" s="4" t="str">
        <f t="shared" si="61"/>
        <v>.</v>
      </c>
      <c r="AP112" s="4" t="str">
        <f t="shared" si="62"/>
        <v>.</v>
      </c>
      <c r="AQ112" s="4" t="str">
        <f t="shared" si="63"/>
        <v>.</v>
      </c>
      <c r="AR112" s="4" t="str">
        <f t="shared" si="64"/>
        <v>.</v>
      </c>
      <c r="AS112" s="4" t="str">
        <f t="shared" si="65"/>
        <v>.</v>
      </c>
      <c r="AT112" s="4" t="str">
        <f t="shared" si="66"/>
        <v>.</v>
      </c>
      <c r="AU112" s="4" t="str">
        <f t="shared" si="67"/>
        <v>.</v>
      </c>
      <c r="AV112" s="4" t="str">
        <f t="shared" si="68"/>
        <v>.</v>
      </c>
      <c r="AX112" s="1">
        <f t="shared" si="69"/>
        <v>438137.20186043018</v>
      </c>
      <c r="AY112" s="4">
        <f t="shared" si="53"/>
        <v>2.2957756448545448</v>
      </c>
    </row>
    <row r="113" spans="1:51" x14ac:dyDescent="0.3">
      <c r="A113" s="4">
        <v>1910</v>
      </c>
      <c r="B113" s="1">
        <v>189761.59023716609</v>
      </c>
      <c r="C113" s="1">
        <v>183605.73870455573</v>
      </c>
      <c r="D113" s="1">
        <v>15193.707333708613</v>
      </c>
      <c r="E113" s="1">
        <v>206239.41087130687</v>
      </c>
      <c r="F113" s="1">
        <v>33241.786474041932</v>
      </c>
      <c r="G113" s="1">
        <v>1059.3634303546289</v>
      </c>
      <c r="H113" s="1">
        <v>143.87674544700371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66324.350334367075</v>
      </c>
      <c r="O113" s="1">
        <v>11088.843803958962</v>
      </c>
      <c r="P113" s="1">
        <v>1654.6276139585273</v>
      </c>
      <c r="Q113" s="1"/>
      <c r="R113" s="4">
        <f>'Direct mail readership'!B112</f>
        <v>3.50869616238078</v>
      </c>
      <c r="S113" s="4">
        <v>-9999</v>
      </c>
      <c r="T113" s="4">
        <v>-9999</v>
      </c>
      <c r="U113" s="4">
        <f>'Print newspapers, readership'!B112</f>
        <v>69.500648094800979</v>
      </c>
      <c r="V113" s="4">
        <f>'Print periodical, readership'!B112</f>
        <v>19.651504471096459</v>
      </c>
      <c r="W113" s="4">
        <v>-9999</v>
      </c>
      <c r="X113" s="4">
        <f>'Movie theater viewership'!B113</f>
        <v>8.6694512562291912</v>
      </c>
      <c r="AB113" s="4">
        <v>-9999</v>
      </c>
      <c r="AC113" s="4">
        <v>-9999</v>
      </c>
      <c r="AD113" s="4">
        <v>-9999</v>
      </c>
      <c r="AE113" s="4">
        <v>-9999</v>
      </c>
      <c r="AF113" s="4">
        <v>-9999</v>
      </c>
      <c r="AH113" s="4">
        <f t="shared" si="54"/>
        <v>78.997131525158068</v>
      </c>
      <c r="AI113" s="4" t="str">
        <f t="shared" si="55"/>
        <v>.</v>
      </c>
      <c r="AJ113" s="4" t="str">
        <f t="shared" si="56"/>
        <v>.</v>
      </c>
      <c r="AK113" s="4">
        <f t="shared" si="57"/>
        <v>1.6786816920335283</v>
      </c>
      <c r="AL113" s="4">
        <f t="shared" si="58"/>
        <v>1.3276471653416693</v>
      </c>
      <c r="AM113" s="4" t="str">
        <f t="shared" si="59"/>
        <v>.</v>
      </c>
      <c r="AN113" s="4">
        <f t="shared" si="60"/>
        <v>1.0181491236669029</v>
      </c>
      <c r="AO113" s="4" t="str">
        <f t="shared" si="61"/>
        <v>.</v>
      </c>
      <c r="AP113" s="4" t="str">
        <f t="shared" si="62"/>
        <v>.</v>
      </c>
      <c r="AQ113" s="4" t="str">
        <f t="shared" si="63"/>
        <v>.</v>
      </c>
      <c r="AR113" s="4" t="str">
        <f t="shared" si="64"/>
        <v>.</v>
      </c>
      <c r="AS113" s="4" t="str">
        <f t="shared" si="65"/>
        <v>.</v>
      </c>
      <c r="AT113" s="4" t="str">
        <f t="shared" si="66"/>
        <v>.</v>
      </c>
      <c r="AU113" s="4" t="str">
        <f t="shared" si="67"/>
        <v>.</v>
      </c>
      <c r="AV113" s="4" t="str">
        <f t="shared" si="68"/>
        <v>.</v>
      </c>
      <c r="AX113" s="1">
        <f t="shared" si="69"/>
        <v>429386.66432796186</v>
      </c>
      <c r="AY113" s="4">
        <f t="shared" si="53"/>
        <v>2.3876485337952138</v>
      </c>
    </row>
    <row r="114" spans="1:51" x14ac:dyDescent="0.3">
      <c r="A114" s="4">
        <v>1909</v>
      </c>
      <c r="B114" s="1">
        <v>191972.81270272366</v>
      </c>
      <c r="C114" s="1">
        <v>185745.22928176576</v>
      </c>
      <c r="D114" s="1">
        <v>13724.740247447859</v>
      </c>
      <c r="E114" s="1">
        <v>200676.17288330127</v>
      </c>
      <c r="F114" s="1">
        <v>32345.100585926419</v>
      </c>
      <c r="G114" s="1">
        <v>895.89624783072554</v>
      </c>
      <c r="H114" s="1">
        <v>107.90755908525279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64461.418319373952</v>
      </c>
      <c r="O114" s="1">
        <v>10782.032917672705</v>
      </c>
      <c r="P114" s="1">
        <v>1608.8466674786889</v>
      </c>
      <c r="Q114" s="1"/>
      <c r="R114" s="4">
        <f>'Direct mail readership'!B113</f>
        <v>3.4005908230522306</v>
      </c>
      <c r="S114" s="4">
        <v>-9999</v>
      </c>
      <c r="T114" s="4">
        <v>-9999</v>
      </c>
      <c r="U114" s="4">
        <f>'Print newspapers, readership'!B113</f>
        <v>66.909782765443339</v>
      </c>
      <c r="V114" s="4">
        <f>'Print periodical, readership'!B113</f>
        <v>19.076948711826692</v>
      </c>
      <c r="W114" s="4">
        <v>-9999</v>
      </c>
      <c r="X114" s="4">
        <f>'Movie theater viewership'!B114</f>
        <v>6.8883511219048765</v>
      </c>
      <c r="AB114" s="4">
        <v>-9999</v>
      </c>
      <c r="AC114" s="4">
        <v>-9999</v>
      </c>
      <c r="AD114" s="4">
        <v>-9999</v>
      </c>
      <c r="AE114" s="4">
        <v>-9999</v>
      </c>
      <c r="AF114" s="4">
        <v>-9999</v>
      </c>
      <c r="AH114" s="4">
        <f t="shared" si="54"/>
        <v>82.458251613708711</v>
      </c>
      <c r="AI114" s="4" t="str">
        <f t="shared" si="55"/>
        <v>.</v>
      </c>
      <c r="AJ114" s="4" t="str">
        <f t="shared" si="56"/>
        <v>.</v>
      </c>
      <c r="AK114" s="4">
        <f t="shared" si="57"/>
        <v>1.6966479591356629</v>
      </c>
      <c r="AL114" s="4">
        <f t="shared" si="58"/>
        <v>1.3307415448260915</v>
      </c>
      <c r="AM114" s="4" t="str">
        <f t="shared" si="59"/>
        <v>.</v>
      </c>
      <c r="AN114" s="4">
        <f t="shared" si="60"/>
        <v>0.96105664944259073</v>
      </c>
      <c r="AO114" s="4" t="str">
        <f t="shared" si="61"/>
        <v>.</v>
      </c>
      <c r="AP114" s="4" t="str">
        <f t="shared" si="62"/>
        <v>.</v>
      </c>
      <c r="AQ114" s="4" t="str">
        <f t="shared" si="63"/>
        <v>.</v>
      </c>
      <c r="AR114" s="4" t="str">
        <f t="shared" si="64"/>
        <v>.</v>
      </c>
      <c r="AS114" s="4" t="str">
        <f t="shared" si="65"/>
        <v>.</v>
      </c>
      <c r="AT114" s="4" t="str">
        <f t="shared" si="66"/>
        <v>.</v>
      </c>
      <c r="AU114" s="4" t="str">
        <f t="shared" si="67"/>
        <v>.</v>
      </c>
      <c r="AV114" s="4" t="str">
        <f t="shared" si="68"/>
        <v>.</v>
      </c>
      <c r="AX114" s="1">
        <f t="shared" si="69"/>
        <v>425101.99373103661</v>
      </c>
      <c r="AY114" s="4">
        <f t="shared" si="53"/>
        <v>2.4465937906391644</v>
      </c>
    </row>
    <row r="115" spans="1:51" x14ac:dyDescent="0.3">
      <c r="A115" s="4">
        <v>1908</v>
      </c>
      <c r="B115" s="1">
        <v>177159.44562216755</v>
      </c>
      <c r="C115" s="1">
        <v>171412.40670092631</v>
      </c>
      <c r="D115" s="1">
        <v>12761.282450413446</v>
      </c>
      <c r="E115" s="1">
        <v>186670.5845876431</v>
      </c>
      <c r="F115" s="1">
        <v>30087.671835520778</v>
      </c>
      <c r="G115" s="1">
        <v>757.65319424749919</v>
      </c>
      <c r="H115" s="1">
        <v>80.930669313939589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59911.031895701875</v>
      </c>
      <c r="O115" s="1">
        <v>10025.149108207153</v>
      </c>
      <c r="P115" s="1">
        <v>1495.9078549351573</v>
      </c>
      <c r="Q115" s="1"/>
      <c r="R115" s="4">
        <f>'Direct mail readership'!B114</f>
        <v>2.9149493235871926</v>
      </c>
      <c r="S115" s="4">
        <v>-9999</v>
      </c>
      <c r="T115" s="4">
        <v>-9999</v>
      </c>
      <c r="U115" s="4">
        <f>'Print newspapers, readership'!B114</f>
        <v>64.981282745622678</v>
      </c>
      <c r="V115" s="4">
        <f>'Print periodical, readership'!B114</f>
        <v>18.519191377379592</v>
      </c>
      <c r="W115" s="4">
        <v>-9999</v>
      </c>
      <c r="X115" s="4">
        <f>'Movie theater viewership'!B115</f>
        <v>4.8314129396693932</v>
      </c>
      <c r="AB115" s="4">
        <v>-9999</v>
      </c>
      <c r="AC115" s="4">
        <v>-9999</v>
      </c>
      <c r="AD115" s="4">
        <v>-9999</v>
      </c>
      <c r="AE115" s="4">
        <v>-9999</v>
      </c>
      <c r="AF115" s="4">
        <v>-9999</v>
      </c>
      <c r="AH115" s="4">
        <f t="shared" si="54"/>
        <v>88.773241096493038</v>
      </c>
      <c r="AI115" s="4" t="str">
        <f t="shared" si="55"/>
        <v>.</v>
      </c>
      <c r="AJ115" s="4" t="str">
        <f t="shared" si="56"/>
        <v>.</v>
      </c>
      <c r="AK115" s="4">
        <f t="shared" si="57"/>
        <v>1.6250740536967456</v>
      </c>
      <c r="AL115" s="4">
        <f t="shared" si="58"/>
        <v>1.2751482682885971</v>
      </c>
      <c r="AM115" s="4" t="str">
        <f t="shared" si="59"/>
        <v>.</v>
      </c>
      <c r="AN115" s="4">
        <f t="shared" si="60"/>
        <v>1.0276645360376215</v>
      </c>
      <c r="AO115" s="4" t="str">
        <f t="shared" si="61"/>
        <v>.</v>
      </c>
      <c r="AP115" s="4" t="str">
        <f t="shared" si="62"/>
        <v>.</v>
      </c>
      <c r="AQ115" s="4" t="str">
        <f t="shared" si="63"/>
        <v>.</v>
      </c>
      <c r="AR115" s="4" t="str">
        <f t="shared" si="64"/>
        <v>.</v>
      </c>
      <c r="AS115" s="4" t="str">
        <f t="shared" si="65"/>
        <v>.</v>
      </c>
      <c r="AT115" s="4" t="str">
        <f t="shared" si="66"/>
        <v>.</v>
      </c>
      <c r="AU115" s="4" t="str">
        <f t="shared" si="67"/>
        <v>.</v>
      </c>
      <c r="AV115" s="4" t="str">
        <f t="shared" si="68"/>
        <v>.</v>
      </c>
      <c r="AX115" s="1">
        <f t="shared" si="69"/>
        <v>393998.63271464536</v>
      </c>
      <c r="AY115" s="4">
        <f t="shared" si="53"/>
        <v>2.4702828131224241</v>
      </c>
    </row>
    <row r="116" spans="1:51" x14ac:dyDescent="0.3">
      <c r="A116" s="4">
        <v>1907</v>
      </c>
      <c r="B116" s="1">
        <v>162411.29247859161</v>
      </c>
      <c r="C116" s="1">
        <v>157142.68252191896</v>
      </c>
      <c r="D116" s="1">
        <v>11788.298028226867</v>
      </c>
      <c r="E116" s="1">
        <v>172500.92385820378</v>
      </c>
      <c r="F116" s="1">
        <v>27803.797796181338</v>
      </c>
      <c r="G116" s="1">
        <v>640.742010186318</v>
      </c>
      <c r="H116" s="1">
        <v>60.698001985454695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55320.301130963002</v>
      </c>
      <c r="O116" s="1">
        <v>9260.7812674132838</v>
      </c>
      <c r="P116" s="1">
        <v>1381.8523087520782</v>
      </c>
      <c r="Q116" s="1"/>
      <c r="R116" s="4">
        <f>'Direct mail readership'!B115</f>
        <v>3.2160354880762485</v>
      </c>
      <c r="S116" s="4">
        <v>-9999</v>
      </c>
      <c r="T116" s="4">
        <v>-9999</v>
      </c>
      <c r="U116" s="4">
        <f>'Print newspapers, readership'!B115</f>
        <v>63.108366710276869</v>
      </c>
      <c r="V116" s="4">
        <f>'Print periodical, readership'!B115</f>
        <v>17.977741328171284</v>
      </c>
      <c r="W116" s="4">
        <v>-9999</v>
      </c>
      <c r="X116" s="4">
        <f>'Movie theater viewership'!B116</f>
        <v>3.5010934721858726</v>
      </c>
      <c r="AB116" s="4">
        <v>-9999</v>
      </c>
      <c r="AC116" s="4">
        <v>-9999</v>
      </c>
      <c r="AD116" s="4">
        <v>-9999</v>
      </c>
      <c r="AE116" s="4">
        <v>-9999</v>
      </c>
      <c r="AF116" s="4">
        <v>-9999</v>
      </c>
      <c r="AH116" s="4">
        <f t="shared" si="54"/>
        <v>73.763949633069515</v>
      </c>
      <c r="AI116" s="4" t="str">
        <f t="shared" si="55"/>
        <v>.</v>
      </c>
      <c r="AJ116" s="4" t="str">
        <f t="shared" si="56"/>
        <v>.</v>
      </c>
      <c r="AK116" s="4">
        <f t="shared" si="57"/>
        <v>1.5462867477348747</v>
      </c>
      <c r="AL116" s="4">
        <f t="shared" si="58"/>
        <v>1.2138446699589232</v>
      </c>
      <c r="AM116" s="4" t="str">
        <f t="shared" si="59"/>
        <v>.</v>
      </c>
      <c r="AN116" s="4">
        <f t="shared" si="60"/>
        <v>1.0636116494381145</v>
      </c>
      <c r="AO116" s="4" t="str">
        <f t="shared" si="61"/>
        <v>.</v>
      </c>
      <c r="AP116" s="4" t="str">
        <f t="shared" si="62"/>
        <v>.</v>
      </c>
      <c r="AQ116" s="4" t="str">
        <f t="shared" si="63"/>
        <v>.</v>
      </c>
      <c r="AR116" s="4" t="str">
        <f t="shared" si="64"/>
        <v>.</v>
      </c>
      <c r="AS116" s="4" t="str">
        <f t="shared" si="65"/>
        <v>.</v>
      </c>
      <c r="AT116" s="4" t="str">
        <f t="shared" si="66"/>
        <v>.</v>
      </c>
      <c r="AU116" s="4" t="str">
        <f t="shared" si="67"/>
        <v>.</v>
      </c>
      <c r="AV116" s="4" t="str">
        <f t="shared" si="68"/>
        <v>.</v>
      </c>
      <c r="AX116" s="1">
        <f t="shared" si="69"/>
        <v>362776.7121349622</v>
      </c>
      <c r="AY116" s="4">
        <f t="shared" si="53"/>
        <v>2.2119535302072215</v>
      </c>
    </row>
    <row r="117" spans="1:51" x14ac:dyDescent="0.3">
      <c r="A117" s="4">
        <v>1906</v>
      </c>
      <c r="B117" s="1">
        <v>152494.35989663855</v>
      </c>
      <c r="C117" s="1">
        <v>147547.45447752334</v>
      </c>
      <c r="D117" s="1">
        <v>11152.849501814275</v>
      </c>
      <c r="E117" s="1">
        <v>163267.90928943775</v>
      </c>
      <c r="F117" s="1">
        <v>26315.615215024918</v>
      </c>
      <c r="G117" s="1">
        <v>541.87103906472942</v>
      </c>
      <c r="H117" s="1">
        <v>45.523501489091018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52317.179197243961</v>
      </c>
      <c r="O117" s="1">
        <v>8761.5786008607265</v>
      </c>
      <c r="P117" s="1">
        <v>1307.3635223968502</v>
      </c>
      <c r="Q117" s="1"/>
      <c r="R117" s="4">
        <f>'Direct mail readership'!B116</f>
        <v>2.8646990502288956</v>
      </c>
      <c r="S117" s="4">
        <v>-9999</v>
      </c>
      <c r="T117" s="4">
        <v>-9999</v>
      </c>
      <c r="U117" s="4">
        <f>'Print newspapers, readership'!B116</f>
        <v>61.289432595989588</v>
      </c>
      <c r="V117" s="4">
        <f>'Print periodical, readership'!B116</f>
        <v>17.452121784183944</v>
      </c>
      <c r="W117" s="4">
        <v>-9999</v>
      </c>
      <c r="X117" s="4">
        <f>'Movie theater viewership'!B117</f>
        <v>2.7776814140528292</v>
      </c>
      <c r="AB117" s="4">
        <v>-9999</v>
      </c>
      <c r="AC117" s="4">
        <v>-9999</v>
      </c>
      <c r="AD117" s="4">
        <v>-9999</v>
      </c>
      <c r="AE117" s="4">
        <v>-9999</v>
      </c>
      <c r="AF117" s="4">
        <v>-9999</v>
      </c>
      <c r="AH117" s="4">
        <f t="shared" si="54"/>
        <v>77.754144935780232</v>
      </c>
      <c r="AI117" s="4" t="str">
        <f t="shared" si="55"/>
        <v>.</v>
      </c>
      <c r="AJ117" s="4" t="str">
        <f t="shared" si="56"/>
        <v>.</v>
      </c>
      <c r="AK117" s="4">
        <f t="shared" si="57"/>
        <v>1.506956720530946</v>
      </c>
      <c r="AL117" s="4">
        <f t="shared" si="58"/>
        <v>1.1834758882235761</v>
      </c>
      <c r="AM117" s="4" t="str">
        <f t="shared" si="59"/>
        <v>.</v>
      </c>
      <c r="AN117" s="4">
        <f t="shared" si="60"/>
        <v>1.0054619071726112</v>
      </c>
      <c r="AO117" s="4" t="str">
        <f t="shared" si="61"/>
        <v>.</v>
      </c>
      <c r="AP117" s="4" t="str">
        <f t="shared" si="62"/>
        <v>.</v>
      </c>
      <c r="AQ117" s="4" t="str">
        <f t="shared" si="63"/>
        <v>.</v>
      </c>
      <c r="AR117" s="4" t="str">
        <f t="shared" si="64"/>
        <v>.</v>
      </c>
      <c r="AS117" s="4" t="str">
        <f t="shared" si="65"/>
        <v>.</v>
      </c>
      <c r="AT117" s="4" t="str">
        <f t="shared" si="66"/>
        <v>.</v>
      </c>
      <c r="AU117" s="4" t="str">
        <f t="shared" si="67"/>
        <v>.</v>
      </c>
      <c r="AV117" s="4" t="str">
        <f t="shared" si="68"/>
        <v>.</v>
      </c>
      <c r="AX117" s="1">
        <f t="shared" si="69"/>
        <v>342123.40790259029</v>
      </c>
      <c r="AY117" s="4">
        <f t="shared" si="53"/>
        <v>2.2326402666228815</v>
      </c>
    </row>
    <row r="118" spans="1:51" x14ac:dyDescent="0.3">
      <c r="A118" s="4">
        <v>1905</v>
      </c>
      <c r="B118" s="1">
        <v>147374.95627095687</v>
      </c>
      <c r="C118" s="1">
        <v>142594.12391549911</v>
      </c>
      <c r="D118" s="1">
        <v>10860.471880742291</v>
      </c>
      <c r="E118" s="1">
        <v>159056.30594758713</v>
      </c>
      <c r="F118" s="1">
        <v>25636.786574021291</v>
      </c>
      <c r="G118" s="1">
        <v>458.25654992047117</v>
      </c>
      <c r="H118" s="1">
        <v>34.142626116818263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50925.608957362412</v>
      </c>
      <c r="O118" s="1">
        <v>8531.8893624523589</v>
      </c>
      <c r="P118" s="1">
        <v>1273.0903228443501</v>
      </c>
      <c r="Q118" s="1"/>
      <c r="R118" s="4">
        <f>'Direct mail readership'!B117</f>
        <v>2.4213654814726682</v>
      </c>
      <c r="S118" s="4">
        <v>-9999</v>
      </c>
      <c r="T118" s="4">
        <v>-9999</v>
      </c>
      <c r="U118" s="4">
        <f>'Print newspapers, readership'!B117</f>
        <v>59.522924514645069</v>
      </c>
      <c r="V118" s="4">
        <f>'Print periodical, readership'!B117</f>
        <v>16.941869905131714</v>
      </c>
      <c r="W118" s="4">
        <v>-9999</v>
      </c>
      <c r="X118" s="4">
        <f>'Movie theater viewership'!B118</f>
        <v>2.1867342920233783</v>
      </c>
      <c r="AB118" s="4">
        <v>-9999</v>
      </c>
      <c r="AC118" s="4">
        <v>-9999</v>
      </c>
      <c r="AD118" s="4">
        <v>-9999</v>
      </c>
      <c r="AE118" s="4">
        <v>-9999</v>
      </c>
      <c r="AF118" s="4">
        <v>-9999</v>
      </c>
      <c r="AH118" s="4">
        <f t="shared" si="54"/>
        <v>88.902119469258338</v>
      </c>
      <c r="AI118" s="4" t="str">
        <f t="shared" si="55"/>
        <v>.</v>
      </c>
      <c r="AJ118" s="4" t="str">
        <f t="shared" si="56"/>
        <v>.</v>
      </c>
      <c r="AK118" s="4">
        <f t="shared" si="57"/>
        <v>1.5116532416081883</v>
      </c>
      <c r="AL118" s="4">
        <f t="shared" si="58"/>
        <v>1.1876715872126631</v>
      </c>
      <c r="AM118" s="4" t="str">
        <f t="shared" si="59"/>
        <v>.</v>
      </c>
      <c r="AN118" s="4">
        <f t="shared" si="60"/>
        <v>0.95788484531901763</v>
      </c>
      <c r="AO118" s="4" t="str">
        <f t="shared" si="61"/>
        <v>.</v>
      </c>
      <c r="AP118" s="4" t="str">
        <f t="shared" si="62"/>
        <v>.</v>
      </c>
      <c r="AQ118" s="4" t="str">
        <f t="shared" si="63"/>
        <v>.</v>
      </c>
      <c r="AR118" s="4" t="str">
        <f t="shared" si="64"/>
        <v>.</v>
      </c>
      <c r="AS118" s="4" t="str">
        <f t="shared" si="65"/>
        <v>.</v>
      </c>
      <c r="AT118" s="4" t="str">
        <f t="shared" si="66"/>
        <v>.</v>
      </c>
      <c r="AU118" s="4" t="str">
        <f t="shared" si="67"/>
        <v>.</v>
      </c>
      <c r="AV118" s="4" t="str">
        <f t="shared" si="68"/>
        <v>.</v>
      </c>
      <c r="AX118" s="1">
        <f t="shared" si="69"/>
        <v>332102.19141868211</v>
      </c>
      <c r="AY118" s="4">
        <f t="shared" si="53"/>
        <v>2.3738909432096889</v>
      </c>
    </row>
    <row r="119" spans="1:51" x14ac:dyDescent="0.3">
      <c r="A119" s="4">
        <v>1904</v>
      </c>
      <c r="B119" s="1">
        <v>142276.45986230663</v>
      </c>
      <c r="C119" s="1">
        <v>137661.02234197842</v>
      </c>
      <c r="D119" s="1">
        <v>10565.435735194411</v>
      </c>
      <c r="E119" s="1">
        <v>154792.10191728256</v>
      </c>
      <c r="F119" s="1">
        <v>24949.479723898505</v>
      </c>
      <c r="G119" s="1">
        <v>387.5443609377466</v>
      </c>
      <c r="H119" s="1">
        <v>25.606969587613698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49523.11144161602</v>
      </c>
      <c r="O119" s="1">
        <v>8300.1116110452203</v>
      </c>
      <c r="P119" s="1">
        <v>1238.5054847350293</v>
      </c>
      <c r="Q119" s="1"/>
      <c r="R119" s="4">
        <f>'Direct mail readership'!B118</f>
        <v>2.3491207929659281</v>
      </c>
      <c r="S119" s="4">
        <v>-9999</v>
      </c>
      <c r="T119" s="4">
        <v>-9999</v>
      </c>
      <c r="U119" s="4">
        <f>'Print newspapers, readership'!B118</f>
        <v>57.807331422545538</v>
      </c>
      <c r="V119" s="4">
        <f>'Print periodical, readership'!B118</f>
        <v>16.446536382901417</v>
      </c>
      <c r="W119" s="4">
        <v>-9999</v>
      </c>
      <c r="X119" s="4">
        <f>'Movie theater viewership'!B119</f>
        <v>1.7000983425971228</v>
      </c>
      <c r="AB119" s="4">
        <v>-9999</v>
      </c>
      <c r="AC119" s="4">
        <v>-9999</v>
      </c>
      <c r="AD119" s="4">
        <v>-9999</v>
      </c>
      <c r="AE119" s="4">
        <v>-9999</v>
      </c>
      <c r="AF119" s="4">
        <v>-9999</v>
      </c>
      <c r="AH119" s="4">
        <f t="shared" si="54"/>
        <v>88.466016906699139</v>
      </c>
      <c r="AI119" s="4" t="str">
        <f t="shared" si="55"/>
        <v>.</v>
      </c>
      <c r="AJ119" s="4" t="str">
        <f t="shared" si="56"/>
        <v>.</v>
      </c>
      <c r="AK119" s="4">
        <f t="shared" si="57"/>
        <v>1.5147864970741665</v>
      </c>
      <c r="AL119" s="4">
        <f t="shared" si="58"/>
        <v>1.1906419089480853</v>
      </c>
      <c r="AM119" s="4" t="str">
        <f t="shared" si="59"/>
        <v>.</v>
      </c>
      <c r="AN119" s="4">
        <f t="shared" si="60"/>
        <v>0.92405226800090678</v>
      </c>
      <c r="AO119" s="4" t="str">
        <f t="shared" si="61"/>
        <v>.</v>
      </c>
      <c r="AP119" s="4" t="str">
        <f t="shared" si="62"/>
        <v>.</v>
      </c>
      <c r="AQ119" s="4" t="str">
        <f t="shared" si="63"/>
        <v>.</v>
      </c>
      <c r="AR119" s="4" t="str">
        <f t="shared" si="64"/>
        <v>.</v>
      </c>
      <c r="AS119" s="4" t="str">
        <f t="shared" si="65"/>
        <v>.</v>
      </c>
      <c r="AT119" s="4" t="str">
        <f t="shared" si="66"/>
        <v>.</v>
      </c>
      <c r="AU119" s="4" t="str">
        <f t="shared" si="67"/>
        <v>.</v>
      </c>
      <c r="AV119" s="4" t="str">
        <f t="shared" si="68"/>
        <v>.</v>
      </c>
      <c r="AX119" s="1">
        <f t="shared" si="69"/>
        <v>322043.64847307536</v>
      </c>
      <c r="AY119" s="4">
        <f t="shared" si="53"/>
        <v>2.3715321801300879</v>
      </c>
    </row>
    <row r="120" spans="1:51" x14ac:dyDescent="0.3">
      <c r="A120" s="4">
        <v>1903</v>
      </c>
      <c r="B120" s="1">
        <v>123006.04754622617</v>
      </c>
      <c r="C120" s="1">
        <v>119015.74073354919</v>
      </c>
      <c r="D120" s="1">
        <v>9207.4957559593677</v>
      </c>
      <c r="E120" s="1">
        <v>134908.47580056867</v>
      </c>
      <c r="F120" s="1">
        <v>21744.625467822647</v>
      </c>
      <c r="G120" s="1">
        <v>327.74355701126689</v>
      </c>
      <c r="H120" s="1">
        <v>19.205227190710271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43141.857595637019</v>
      </c>
      <c r="O120" s="1">
        <v>7233.326135155532</v>
      </c>
      <c r="P120" s="1">
        <v>1079.3245333407301</v>
      </c>
      <c r="Q120" s="1"/>
      <c r="R120" s="4">
        <f>'Direct mail readership'!B119</f>
        <v>2.1502811662382544</v>
      </c>
      <c r="S120" s="4">
        <v>-9999</v>
      </c>
      <c r="T120" s="4">
        <v>-9999</v>
      </c>
      <c r="U120" s="4">
        <f>'Print newspapers, readership'!B119</f>
        <v>54.999307201488946</v>
      </c>
      <c r="V120" s="4">
        <f>'Print periodical, readership'!B119</f>
        <v>15.965685045909176</v>
      </c>
      <c r="W120" s="4">
        <v>-9999</v>
      </c>
      <c r="X120" s="4">
        <f>'Movie theater viewership'!B120</f>
        <v>1.3266838852052549</v>
      </c>
      <c r="AB120" s="4">
        <v>-9999</v>
      </c>
      <c r="AC120" s="4">
        <v>-9999</v>
      </c>
      <c r="AD120" s="4">
        <v>-9999</v>
      </c>
      <c r="AE120" s="4">
        <v>-9999</v>
      </c>
      <c r="AF120" s="4">
        <v>-9999</v>
      </c>
      <c r="AH120" s="4">
        <f t="shared" si="54"/>
        <v>83.556451003370697</v>
      </c>
      <c r="AI120" s="4" t="str">
        <f t="shared" si="55"/>
        <v>.</v>
      </c>
      <c r="AJ120" s="4" t="str">
        <f t="shared" si="56"/>
        <v>.</v>
      </c>
      <c r="AK120" s="4">
        <f t="shared" si="57"/>
        <v>1.3876104622282048</v>
      </c>
      <c r="AL120" s="4">
        <f t="shared" si="58"/>
        <v>1.0689527171475177</v>
      </c>
      <c r="AM120" s="4" t="str">
        <f t="shared" si="59"/>
        <v>.</v>
      </c>
      <c r="AN120" s="4">
        <f t="shared" si="60"/>
        <v>0.88810515460041362</v>
      </c>
      <c r="AO120" s="4" t="str">
        <f t="shared" si="61"/>
        <v>.</v>
      </c>
      <c r="AP120" s="4" t="str">
        <f t="shared" si="62"/>
        <v>.</v>
      </c>
      <c r="AQ120" s="4" t="str">
        <f t="shared" si="63"/>
        <v>.</v>
      </c>
      <c r="AR120" s="4" t="str">
        <f t="shared" si="64"/>
        <v>.</v>
      </c>
      <c r="AS120" s="4" t="str">
        <f t="shared" si="65"/>
        <v>.</v>
      </c>
      <c r="AT120" s="4" t="str">
        <f t="shared" si="66"/>
        <v>.</v>
      </c>
      <c r="AU120" s="4" t="str">
        <f t="shared" si="67"/>
        <v>.</v>
      </c>
      <c r="AV120" s="4" t="str">
        <f t="shared" si="68"/>
        <v>.</v>
      </c>
      <c r="AX120" s="1">
        <f t="shared" si="69"/>
        <v>279678.35404180823</v>
      </c>
      <c r="AY120" s="4">
        <f t="shared" si="53"/>
        <v>2.198500706076207</v>
      </c>
    </row>
    <row r="121" spans="1:51" x14ac:dyDescent="0.3">
      <c r="A121" s="4">
        <v>1902</v>
      </c>
      <c r="B121" s="1">
        <v>108545.96961672214</v>
      </c>
      <c r="C121" s="1">
        <v>105024.74663061276</v>
      </c>
      <c r="D121" s="1">
        <v>8189.9505206004014</v>
      </c>
      <c r="E121" s="1">
        <v>120014.04359322935</v>
      </c>
      <c r="F121" s="1">
        <v>19343.93234618926</v>
      </c>
      <c r="G121" s="1">
        <v>277.17043515349292</v>
      </c>
      <c r="H121" s="1">
        <v>14.403920393032703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38360.047636424628</v>
      </c>
      <c r="O121" s="1">
        <v>6433.9517189510798</v>
      </c>
      <c r="P121" s="1">
        <v>960.04546274261759</v>
      </c>
      <c r="Q121" s="1"/>
      <c r="R121" s="4">
        <f>'Direct mail readership'!B120</f>
        <v>1.9864917464979124</v>
      </c>
      <c r="S121" s="4">
        <v>-9999</v>
      </c>
      <c r="T121" s="4">
        <v>-9999</v>
      </c>
      <c r="U121" s="4">
        <f>'Print newspapers, readership'!B120</f>
        <v>52.327684364685936</v>
      </c>
      <c r="V121" s="4">
        <f>'Print periodical, readership'!B120</f>
        <v>15.498892475024528</v>
      </c>
      <c r="W121" s="4">
        <v>-9999</v>
      </c>
      <c r="X121" s="4">
        <f>'Movie theater viewership'!B121</f>
        <v>0.99738764639535893</v>
      </c>
      <c r="AB121" s="4">
        <v>-9999</v>
      </c>
      <c r="AC121" s="4">
        <v>-9999</v>
      </c>
      <c r="AD121" s="4">
        <v>-9999</v>
      </c>
      <c r="AE121" s="4">
        <v>-9999</v>
      </c>
      <c r="AF121" s="4">
        <v>-9999</v>
      </c>
      <c r="AH121" s="4">
        <f t="shared" si="54"/>
        <v>79.813381280466388</v>
      </c>
      <c r="AI121" s="4" t="str">
        <f t="shared" si="55"/>
        <v>.</v>
      </c>
      <c r="AJ121" s="4" t="str">
        <f t="shared" si="56"/>
        <v>.</v>
      </c>
      <c r="AK121" s="4">
        <f t="shared" si="57"/>
        <v>1.2974364685030133</v>
      </c>
      <c r="AL121" s="4">
        <f t="shared" si="58"/>
        <v>0.97957619088648495</v>
      </c>
      <c r="AM121" s="4" t="str">
        <f t="shared" si="59"/>
        <v>.</v>
      </c>
      <c r="AN121" s="4">
        <f t="shared" si="60"/>
        <v>0.8859906185180314</v>
      </c>
      <c r="AO121" s="4" t="str">
        <f t="shared" si="61"/>
        <v>.</v>
      </c>
      <c r="AP121" s="4" t="str">
        <f t="shared" si="62"/>
        <v>.</v>
      </c>
      <c r="AQ121" s="4" t="str">
        <f t="shared" si="63"/>
        <v>.</v>
      </c>
      <c r="AR121" s="4" t="str">
        <f t="shared" si="64"/>
        <v>.</v>
      </c>
      <c r="AS121" s="4" t="str">
        <f t="shared" si="65"/>
        <v>.</v>
      </c>
      <c r="AT121" s="4" t="str">
        <f t="shared" si="66"/>
        <v>.</v>
      </c>
      <c r="AU121" s="4" t="str">
        <f t="shared" si="67"/>
        <v>.</v>
      </c>
      <c r="AV121" s="4" t="str">
        <f t="shared" si="68"/>
        <v>.</v>
      </c>
      <c r="AX121" s="1">
        <f t="shared" si="69"/>
        <v>247918.34947653377</v>
      </c>
      <c r="AY121" s="4">
        <f t="shared" si="53"/>
        <v>2.0717528732197881</v>
      </c>
    </row>
    <row r="122" spans="1:51" x14ac:dyDescent="0.3">
      <c r="A122" s="4">
        <v>1901</v>
      </c>
      <c r="B122" s="1">
        <v>94154.255198898623</v>
      </c>
      <c r="C122" s="1">
        <v>91099.898332245371</v>
      </c>
      <c r="D122" s="1">
        <v>7161.2205354895405</v>
      </c>
      <c r="E122" s="1">
        <v>104947.61490380904</v>
      </c>
      <c r="F122" s="1">
        <v>16915.516732974531</v>
      </c>
      <c r="G122" s="1">
        <v>234.40109951737554</v>
      </c>
      <c r="H122" s="1">
        <v>10.802940294774526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33529.657139797673</v>
      </c>
      <c r="O122" s="1">
        <v>5625.7906635952377</v>
      </c>
      <c r="P122" s="1">
        <v>839.4552891989855</v>
      </c>
      <c r="Q122" s="1"/>
      <c r="R122" s="4">
        <f>'Direct mail readership'!B121</f>
        <v>1.7409008662389642</v>
      </c>
      <c r="S122" s="4">
        <v>-9999</v>
      </c>
      <c r="T122" s="4">
        <v>-9999</v>
      </c>
      <c r="U122" s="4">
        <f>'Print newspapers, readership'!B121</f>
        <v>49.785837136800673</v>
      </c>
      <c r="V122" s="4">
        <f>'Print periodical, readership'!B121</f>
        <v>15.045747630723895</v>
      </c>
      <c r="W122" s="4">
        <v>-9999</v>
      </c>
      <c r="X122" s="4">
        <f>'Movie theater viewership'!B122</f>
        <v>0.74983030593239586</v>
      </c>
      <c r="AB122" s="4">
        <v>-9999</v>
      </c>
      <c r="AC122" s="4">
        <v>-9999</v>
      </c>
      <c r="AD122" s="4">
        <v>-9999</v>
      </c>
      <c r="AE122" s="4">
        <v>-9999</v>
      </c>
      <c r="AF122" s="4">
        <v>-9999</v>
      </c>
      <c r="AH122" s="4">
        <f t="shared" si="54"/>
        <v>78.997742989041527</v>
      </c>
      <c r="AI122" s="4" t="str">
        <f t="shared" si="55"/>
        <v>.</v>
      </c>
      <c r="AJ122" s="4" t="str">
        <f t="shared" si="56"/>
        <v>.</v>
      </c>
      <c r="AK122" s="4">
        <f t="shared" si="57"/>
        <v>1.1924833059265338</v>
      </c>
      <c r="AL122" s="4">
        <f t="shared" si="58"/>
        <v>0.88240024031907804</v>
      </c>
      <c r="AM122" s="4" t="str">
        <f t="shared" si="59"/>
        <v>.</v>
      </c>
      <c r="AN122" s="4">
        <f t="shared" si="60"/>
        <v>0.88387608243564963</v>
      </c>
      <c r="AO122" s="4" t="str">
        <f t="shared" si="61"/>
        <v>.</v>
      </c>
      <c r="AP122" s="4" t="str">
        <f t="shared" si="62"/>
        <v>.</v>
      </c>
      <c r="AQ122" s="4" t="str">
        <f t="shared" si="63"/>
        <v>.</v>
      </c>
      <c r="AR122" s="4" t="str">
        <f t="shared" si="64"/>
        <v>.</v>
      </c>
      <c r="AS122" s="4" t="str">
        <f t="shared" si="65"/>
        <v>.</v>
      </c>
      <c r="AT122" s="4" t="str">
        <f t="shared" si="66"/>
        <v>.</v>
      </c>
      <c r="AU122" s="4" t="str">
        <f t="shared" si="67"/>
        <v>.</v>
      </c>
      <c r="AV122" s="4" t="str">
        <f t="shared" si="68"/>
        <v>.</v>
      </c>
      <c r="AX122" s="1">
        <f t="shared" si="69"/>
        <v>216028.18977597696</v>
      </c>
      <c r="AY122" s="4">
        <f t="shared" si="53"/>
        <v>1.9637198658002908</v>
      </c>
    </row>
    <row r="123" spans="1:51" x14ac:dyDescent="0.3">
      <c r="A123" s="4">
        <v>1900</v>
      </c>
      <c r="B123" s="1">
        <v>84527.456227766845</v>
      </c>
      <c r="C123" s="1">
        <v>81785.391986436298</v>
      </c>
      <c r="D123" s="1">
        <v>6480.4717891231621</v>
      </c>
      <c r="E123" s="1">
        <v>94984.6501149908</v>
      </c>
      <c r="F123" s="1">
        <v>15309.680356895311</v>
      </c>
      <c r="G123" s="1">
        <v>198.23137133845998</v>
      </c>
      <c r="H123" s="1">
        <v>8.1022052210808955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30331.680196690108</v>
      </c>
      <c r="O123" s="1">
        <v>5091.0005502922504</v>
      </c>
      <c r="P123" s="1">
        <v>759.65630340867142</v>
      </c>
      <c r="Q123" s="1"/>
      <c r="R123" s="4">
        <f>'Direct mail readership'!B122</f>
        <v>1.6291340524349371</v>
      </c>
      <c r="S123" s="4">
        <v>-9999</v>
      </c>
      <c r="T123" s="4">
        <v>-9999</v>
      </c>
      <c r="U123" s="4">
        <f>'Print newspapers, readership'!B122</f>
        <v>47.36746159332781</v>
      </c>
      <c r="V123" s="4">
        <f>'Print periodical, readership'!B122</f>
        <v>14.605851491145042</v>
      </c>
      <c r="W123" s="4">
        <v>-9999</v>
      </c>
      <c r="X123" s="4">
        <f>'Movie theater viewership'!B123</f>
        <v>0.58841502105082877</v>
      </c>
      <c r="AB123" s="4">
        <v>-9999</v>
      </c>
      <c r="AC123" s="4">
        <v>-9999</v>
      </c>
      <c r="AD123" s="4">
        <v>-9999</v>
      </c>
      <c r="AE123" s="4">
        <v>-9999</v>
      </c>
      <c r="AF123" s="4">
        <v>-9999</v>
      </c>
      <c r="AH123" s="4">
        <f t="shared" si="54"/>
        <v>75.786133504042894</v>
      </c>
      <c r="AI123" s="4" t="str">
        <f t="shared" si="55"/>
        <v>.</v>
      </c>
      <c r="AJ123" s="4" t="str">
        <f t="shared" si="56"/>
        <v>.</v>
      </c>
      <c r="AK123" s="4">
        <f t="shared" si="57"/>
        <v>1.1343807930985634</v>
      </c>
      <c r="AL123" s="4">
        <f t="shared" si="58"/>
        <v>0.82268459366075497</v>
      </c>
      <c r="AM123" s="4" t="str">
        <f t="shared" si="59"/>
        <v>.</v>
      </c>
      <c r="AN123" s="4">
        <f t="shared" si="60"/>
        <v>0.84475716491158381</v>
      </c>
      <c r="AO123" s="4" t="str">
        <f t="shared" si="61"/>
        <v>.</v>
      </c>
      <c r="AP123" s="4" t="str">
        <f t="shared" si="62"/>
        <v>.</v>
      </c>
      <c r="AQ123" s="4" t="str">
        <f t="shared" si="63"/>
        <v>.</v>
      </c>
      <c r="AR123" s="4" t="str">
        <f t="shared" si="64"/>
        <v>.</v>
      </c>
      <c r="AS123" s="4" t="str">
        <f t="shared" si="65"/>
        <v>.</v>
      </c>
      <c r="AT123" s="4" t="str">
        <f t="shared" si="66"/>
        <v>.</v>
      </c>
      <c r="AU123" s="4" t="str">
        <f t="shared" si="67"/>
        <v>.</v>
      </c>
      <c r="AV123" s="4" t="str">
        <f t="shared" si="68"/>
        <v>.</v>
      </c>
      <c r="AX123" s="1">
        <f t="shared" si="69"/>
        <v>194829.88890487404</v>
      </c>
      <c r="AY123" s="4">
        <f t="shared" si="53"/>
        <v>1.8719584120693986</v>
      </c>
    </row>
  </sheetData>
  <mergeCells count="3">
    <mergeCell ref="B1:P1"/>
    <mergeCell ref="R1:AF1"/>
    <mergeCell ref="AH1:AV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D4C7-7902-479E-A9CD-88E23CFC16BF}">
  <dimension ref="A1:EY126"/>
  <sheetViews>
    <sheetView workbookViewId="0">
      <pane xSplit="1" ySplit="2" topLeftCell="CM3" activePane="bottomRight" state="frozen"/>
      <selection pane="topRight" activeCell="B1" sqref="B1"/>
      <selection pane="bottomLeft" activeCell="A3" sqref="A3"/>
      <selection pane="bottomRight" activeCell="DG3" sqref="DG3"/>
    </sheetView>
  </sheetViews>
  <sheetFormatPr defaultColWidth="9.109375" defaultRowHeight="14.4" x14ac:dyDescent="0.3"/>
  <cols>
    <col min="1" max="17" width="9.109375" style="4"/>
    <col min="18" max="18" width="10.88671875" style="4" bestFit="1" customWidth="1"/>
    <col min="19" max="19" width="10.88671875" style="4" customWidth="1"/>
    <col min="20" max="20" width="10.88671875" style="4" bestFit="1" customWidth="1"/>
    <col min="21" max="22" width="10.88671875" style="4" customWidth="1"/>
    <col min="23" max="23" width="10.88671875" style="4" bestFit="1" customWidth="1"/>
    <col min="24" max="24" width="10.88671875" style="4" customWidth="1"/>
    <col min="25" max="33" width="9.109375" style="4"/>
    <col min="34" max="34" width="9.109375" style="13"/>
    <col min="35" max="55" width="9.109375" style="4"/>
    <col min="56" max="57" width="12" style="4" customWidth="1"/>
    <col min="58" max="60" width="9.109375" style="4"/>
    <col min="61" max="61" width="12" style="4" bestFit="1" customWidth="1"/>
    <col min="62" max="63" width="9.109375" style="4"/>
    <col min="64" max="65" width="12" style="4" customWidth="1"/>
    <col min="66" max="114" width="9.109375" style="4"/>
    <col min="115" max="115" width="12" style="4" customWidth="1"/>
    <col min="116" max="142" width="9.109375" style="4"/>
    <col min="143" max="143" width="11.109375" style="4" customWidth="1"/>
    <col min="144" max="144" width="12.33203125" style="4" customWidth="1"/>
    <col min="145" max="148" width="9.109375" style="4"/>
    <col min="149" max="149" width="10.88671875" style="4" bestFit="1" customWidth="1"/>
    <col min="150" max="150" width="10.88671875" style="4" customWidth="1"/>
    <col min="151" max="151" width="9.109375" style="4"/>
    <col min="152" max="153" width="9.109375" style="13"/>
    <col min="154" max="16384" width="9.109375" style="4"/>
  </cols>
  <sheetData>
    <row r="1" spans="1:155" x14ac:dyDescent="0.3">
      <c r="B1" s="25" t="s">
        <v>100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7"/>
      <c r="R1" s="7"/>
      <c r="S1" s="7"/>
      <c r="Z1" s="25" t="s">
        <v>70</v>
      </c>
      <c r="AA1" s="25"/>
      <c r="AB1" s="25"/>
      <c r="AC1" s="25"/>
      <c r="AD1" s="25"/>
      <c r="AE1" s="25"/>
      <c r="AF1" s="25"/>
      <c r="AG1" s="25"/>
      <c r="AH1" s="25"/>
      <c r="AI1" s="11"/>
      <c r="AJ1" s="25" t="s">
        <v>249</v>
      </c>
      <c r="AK1" s="25"/>
      <c r="AL1" s="25"/>
      <c r="AM1" s="25"/>
      <c r="AN1" s="25"/>
      <c r="AO1" s="25"/>
      <c r="AP1" s="25"/>
      <c r="AQ1" s="25"/>
      <c r="AR1" s="25"/>
      <c r="AS1" s="25"/>
      <c r="AT1" s="25" t="s">
        <v>250</v>
      </c>
      <c r="AU1" s="25"/>
      <c r="AV1" s="25"/>
      <c r="AW1" s="25"/>
      <c r="AX1" s="25"/>
      <c r="AY1" s="25"/>
      <c r="AZ1" s="25"/>
      <c r="BA1" s="25"/>
      <c r="BB1" s="25"/>
      <c r="BC1" s="25"/>
      <c r="BD1" s="11"/>
      <c r="BE1" s="6"/>
      <c r="BF1" s="6"/>
      <c r="BG1" s="6"/>
      <c r="BH1" s="24"/>
      <c r="BI1" s="6"/>
      <c r="BL1" s="8"/>
      <c r="BM1" s="8"/>
      <c r="BO1" s="26" t="s">
        <v>257</v>
      </c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E1" s="25" t="s">
        <v>258</v>
      </c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U1" s="25" t="s">
        <v>259</v>
      </c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7"/>
      <c r="DK1" s="11"/>
      <c r="DM1" s="25" t="s">
        <v>261</v>
      </c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C1" s="25" t="s">
        <v>262</v>
      </c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7"/>
      <c r="ES1" s="7"/>
      <c r="ET1" s="7"/>
      <c r="EV1" s="15"/>
      <c r="EW1" s="15"/>
    </row>
    <row r="2" spans="1:155" x14ac:dyDescent="0.3">
      <c r="B2" s="4" t="s">
        <v>295</v>
      </c>
      <c r="C2" s="4" t="s">
        <v>296</v>
      </c>
      <c r="D2" s="4" t="s">
        <v>297</v>
      </c>
      <c r="E2" s="4" t="s">
        <v>190</v>
      </c>
      <c r="F2" s="4" t="s">
        <v>231</v>
      </c>
      <c r="G2" s="4" t="s">
        <v>191</v>
      </c>
      <c r="H2" s="4" t="s">
        <v>232</v>
      </c>
      <c r="I2" s="4" t="s">
        <v>233</v>
      </c>
      <c r="J2" s="4" t="s">
        <v>234</v>
      </c>
      <c r="K2" s="4" t="s">
        <v>235</v>
      </c>
      <c r="L2" s="7" t="s">
        <v>236</v>
      </c>
      <c r="M2" s="4" t="s">
        <v>237</v>
      </c>
      <c r="N2" s="4" t="s">
        <v>238</v>
      </c>
      <c r="O2" s="4" t="s">
        <v>239</v>
      </c>
      <c r="P2" s="4" t="s">
        <v>240</v>
      </c>
      <c r="R2" s="4" t="s">
        <v>80</v>
      </c>
      <c r="S2" s="4" t="s">
        <v>187</v>
      </c>
      <c r="T2" s="4" t="s">
        <v>117</v>
      </c>
      <c r="U2" s="4" t="s">
        <v>109</v>
      </c>
      <c r="V2" s="4" t="s">
        <v>104</v>
      </c>
      <c r="W2" s="4" t="s">
        <v>69</v>
      </c>
      <c r="X2" s="4" t="s">
        <v>101</v>
      </c>
      <c r="Z2" s="4" t="s">
        <v>81</v>
      </c>
      <c r="AA2" s="4" t="s">
        <v>188</v>
      </c>
      <c r="AB2" s="4" t="s">
        <v>118</v>
      </c>
      <c r="AD2" s="4" t="s">
        <v>105</v>
      </c>
      <c r="AE2" s="4" t="s">
        <v>71</v>
      </c>
      <c r="AF2" s="4" t="s">
        <v>102</v>
      </c>
      <c r="AH2" s="13" t="s">
        <v>103</v>
      </c>
      <c r="AJ2" s="4" t="s">
        <v>1</v>
      </c>
      <c r="AK2" s="4" t="s">
        <v>241</v>
      </c>
      <c r="AL2" s="4" t="s">
        <v>242</v>
      </c>
      <c r="AM2" s="4" t="s">
        <v>2</v>
      </c>
      <c r="AN2" s="4" t="s">
        <v>243</v>
      </c>
      <c r="AO2" s="4" t="s">
        <v>244</v>
      </c>
      <c r="AP2" s="4" t="s">
        <v>245</v>
      </c>
      <c r="AQ2" s="4" t="s">
        <v>246</v>
      </c>
      <c r="AR2" s="4" t="s">
        <v>247</v>
      </c>
      <c r="AS2" s="4" t="s">
        <v>248</v>
      </c>
      <c r="AT2" s="4" t="s">
        <v>1</v>
      </c>
      <c r="AU2" s="4" t="s">
        <v>241</v>
      </c>
      <c r="AV2" s="4" t="s">
        <v>242</v>
      </c>
      <c r="AW2" s="4" t="s">
        <v>2</v>
      </c>
      <c r="AX2" s="4" t="s">
        <v>243</v>
      </c>
      <c r="AY2" s="4" t="s">
        <v>244</v>
      </c>
      <c r="AZ2" s="4" t="s">
        <v>245</v>
      </c>
      <c r="BA2" s="4" t="s">
        <v>246</v>
      </c>
      <c r="BB2" s="4" t="s">
        <v>247</v>
      </c>
      <c r="BC2" s="4" t="s">
        <v>248</v>
      </c>
      <c r="BD2" s="4" t="s">
        <v>251</v>
      </c>
      <c r="BE2" s="4" t="s">
        <v>252</v>
      </c>
      <c r="BG2" s="4" t="s">
        <v>253</v>
      </c>
      <c r="BI2" s="4" t="s">
        <v>254</v>
      </c>
      <c r="BJ2" s="4" t="s">
        <v>255</v>
      </c>
      <c r="BL2" s="4" t="s">
        <v>256</v>
      </c>
      <c r="BM2" s="4" t="s">
        <v>106</v>
      </c>
      <c r="BO2" s="4" t="s">
        <v>295</v>
      </c>
      <c r="BP2" s="4" t="s">
        <v>296</v>
      </c>
      <c r="BQ2" s="4" t="s">
        <v>297</v>
      </c>
      <c r="BR2" s="4" t="s">
        <v>190</v>
      </c>
      <c r="BS2" s="4" t="s">
        <v>231</v>
      </c>
      <c r="BT2" s="4" t="s">
        <v>191</v>
      </c>
      <c r="BU2" s="4" t="s">
        <v>232</v>
      </c>
      <c r="BV2" s="4" t="s">
        <v>233</v>
      </c>
      <c r="BW2" s="4" t="s">
        <v>234</v>
      </c>
      <c r="BX2" s="4" t="s">
        <v>235</v>
      </c>
      <c r="BY2" s="7" t="s">
        <v>236</v>
      </c>
      <c r="BZ2" s="4" t="s">
        <v>237</v>
      </c>
      <c r="CA2" s="4" t="s">
        <v>238</v>
      </c>
      <c r="CB2" s="4" t="s">
        <v>239</v>
      </c>
      <c r="CC2" s="4" t="s">
        <v>240</v>
      </c>
      <c r="CE2" s="4" t="s">
        <v>295</v>
      </c>
      <c r="CF2" s="4" t="s">
        <v>296</v>
      </c>
      <c r="CG2" s="4" t="s">
        <v>297</v>
      </c>
      <c r="CH2" s="4" t="s">
        <v>190</v>
      </c>
      <c r="CI2" s="4" t="s">
        <v>231</v>
      </c>
      <c r="CJ2" s="4" t="s">
        <v>191</v>
      </c>
      <c r="CK2" s="4" t="s">
        <v>232</v>
      </c>
      <c r="CL2" s="4" t="s">
        <v>233</v>
      </c>
      <c r="CM2" s="4" t="s">
        <v>234</v>
      </c>
      <c r="CN2" s="4" t="s">
        <v>235</v>
      </c>
      <c r="CO2" s="7" t="s">
        <v>236</v>
      </c>
      <c r="CP2" s="4" t="s">
        <v>237</v>
      </c>
      <c r="CQ2" s="4" t="s">
        <v>238</v>
      </c>
      <c r="CR2" s="4" t="s">
        <v>239</v>
      </c>
      <c r="CS2" s="4" t="s">
        <v>240</v>
      </c>
      <c r="CU2" s="4" t="s">
        <v>295</v>
      </c>
      <c r="CV2" s="4" t="s">
        <v>296</v>
      </c>
      <c r="CW2" s="4" t="s">
        <v>297</v>
      </c>
      <c r="CX2" s="4" t="s">
        <v>190</v>
      </c>
      <c r="CY2" s="4" t="s">
        <v>231</v>
      </c>
      <c r="CZ2" s="4" t="s">
        <v>191</v>
      </c>
      <c r="DA2" s="4" t="s">
        <v>232</v>
      </c>
      <c r="DB2" s="4" t="s">
        <v>233</v>
      </c>
      <c r="DC2" s="4" t="s">
        <v>234</v>
      </c>
      <c r="DD2" s="4" t="s">
        <v>235</v>
      </c>
      <c r="DE2" s="7" t="s">
        <v>236</v>
      </c>
      <c r="DF2" s="4" t="s">
        <v>237</v>
      </c>
      <c r="DG2" s="4" t="s">
        <v>238</v>
      </c>
      <c r="DH2" s="4" t="s">
        <v>239</v>
      </c>
      <c r="DI2" s="4" t="s">
        <v>240</v>
      </c>
      <c r="DK2" s="4" t="s">
        <v>260</v>
      </c>
      <c r="DM2" s="4" t="s">
        <v>295</v>
      </c>
      <c r="DN2" s="4" t="s">
        <v>296</v>
      </c>
      <c r="DO2" s="4" t="s">
        <v>297</v>
      </c>
      <c r="DP2" s="4" t="s">
        <v>190</v>
      </c>
      <c r="DQ2" s="4" t="s">
        <v>231</v>
      </c>
      <c r="DR2" s="4" t="s">
        <v>191</v>
      </c>
      <c r="DS2" s="4" t="s">
        <v>232</v>
      </c>
      <c r="DT2" s="4" t="s">
        <v>233</v>
      </c>
      <c r="DU2" s="4" t="s">
        <v>234</v>
      </c>
      <c r="DV2" s="4" t="s">
        <v>235</v>
      </c>
      <c r="DW2" s="7" t="s">
        <v>236</v>
      </c>
      <c r="DX2" s="4" t="s">
        <v>237</v>
      </c>
      <c r="DY2" s="4" t="s">
        <v>238</v>
      </c>
      <c r="DZ2" s="4" t="s">
        <v>239</v>
      </c>
      <c r="EA2" s="4" t="s">
        <v>240</v>
      </c>
      <c r="EC2" s="4" t="s">
        <v>295</v>
      </c>
      <c r="ED2" s="4" t="s">
        <v>296</v>
      </c>
      <c r="EE2" s="4" t="s">
        <v>297</v>
      </c>
      <c r="EF2" s="4" t="s">
        <v>190</v>
      </c>
      <c r="EG2" s="4" t="s">
        <v>231</v>
      </c>
      <c r="EH2" s="4" t="s">
        <v>191</v>
      </c>
      <c r="EI2" s="4" t="s">
        <v>232</v>
      </c>
      <c r="EJ2" s="4" t="s">
        <v>233</v>
      </c>
      <c r="EK2" s="4" t="s">
        <v>234</v>
      </c>
      <c r="EL2" s="4" t="s">
        <v>235</v>
      </c>
      <c r="EM2" s="7" t="s">
        <v>236</v>
      </c>
      <c r="EN2" s="4" t="s">
        <v>237</v>
      </c>
      <c r="EO2" s="4" t="s">
        <v>238</v>
      </c>
      <c r="EP2" s="4" t="s">
        <v>239</v>
      </c>
      <c r="EQ2" s="4" t="s">
        <v>240</v>
      </c>
      <c r="ES2" s="4" t="s">
        <v>263</v>
      </c>
      <c r="ET2" s="4" t="s">
        <v>264</v>
      </c>
      <c r="EV2" s="13" t="s">
        <v>127</v>
      </c>
      <c r="EW2" s="13" t="s">
        <v>265</v>
      </c>
    </row>
    <row r="3" spans="1:155" x14ac:dyDescent="0.3">
      <c r="A3" s="4">
        <v>2020</v>
      </c>
      <c r="B3" s="10">
        <f>'Summary, PPI''s'!R3</f>
        <v>103.8783675646839</v>
      </c>
      <c r="C3" s="10">
        <f>'Summary, PPI''s'!S3</f>
        <v>103.8783675646839</v>
      </c>
      <c r="D3" s="10">
        <f>'Summary, PPI''s'!T3</f>
        <v>112.7699199677858</v>
      </c>
      <c r="E3" s="10">
        <f>'Summary, PPI''s'!U3</f>
        <v>93.863434445995651</v>
      </c>
      <c r="F3" s="10">
        <f>'Summary, PPI''s'!V3</f>
        <v>109.21166440133446</v>
      </c>
      <c r="G3" s="10">
        <f>'Summary, PPI''s'!W3</f>
        <v>94.173533120253339</v>
      </c>
      <c r="H3" s="10">
        <f>'Summary, PPI''s'!X3</f>
        <v>117.876</v>
      </c>
      <c r="I3" s="10">
        <f>'Summary, PPI''s'!Y3</f>
        <v>93.790849673202644</v>
      </c>
      <c r="J3" s="10">
        <f>'Summary, PPI''s'!Z3</f>
        <v>90.160809018567619</v>
      </c>
      <c r="K3" s="10">
        <f>'Summary, PPI''s'!AA3</f>
        <v>98.681471200555151</v>
      </c>
      <c r="L3" s="10">
        <f>'Summary, PPI''s'!AB3</f>
        <v>91.411308652526117</v>
      </c>
      <c r="M3" s="10">
        <f>'Summary, PPI''s'!AC3</f>
        <v>42.573208661952684</v>
      </c>
      <c r="N3" s="10">
        <f>'Summary, PPI''s'!AD3</f>
        <v>106.21320706424369</v>
      </c>
      <c r="O3" s="10">
        <f>'Summary, PPI''s'!AE3</f>
        <v>124.071</v>
      </c>
      <c r="P3" s="10">
        <f>'Summary, PPI''s'!AF3</f>
        <v>122.172</v>
      </c>
      <c r="R3" s="1">
        <f>IF(E$26=".", 0, 'Summary, PPI''s'!E3)+IF(F$26=".", 0, 'Summary, PPI''s'!F3)+IF(G$26=".", 0, 'Summary, PPI''s'!G3)+IF(H$26=".", 0, 'Summary, PPI''s'!H3)+IF(I$26=".", 0, 'Summary, PPI''s'!I3)+IF(J$26=".", 0, 'Summary, PPI''s'!J3)+IF(K$26=".", 0, 'Summary, PPI''s'!K3)+IF(L$26=".", 0, 'Summary, PPI''s'!L3)+IF(M$26=".", 0, 'Summary, PPI''s'!M3)+IF(B$26=".", 0, 'Summary, PPI''s'!B3)+IF(C$26=".", 0, 'Summary, PPI''s'!C3)+IF(D$26=".", 0, 'Summary, PPI''s'!D3)+IF(N$26=".", 0, 'Summary, PPI''s'!N3)+IF(O$26=".", 0, 'Summary, PPI''s'!O3)+IF(P$26=".", 0, 'Summary, PPI''s'!P3)</f>
        <v>497962852.368828</v>
      </c>
      <c r="S3" s="1">
        <f>IF(E$36=".", 0, 'Summary, PPI''s'!E3)+IF(F$36=".", 0, 'Summary, PPI''s'!F3)+IF(G$36=".", 0, 'Summary, PPI''s'!G3)+IF(H$36=".", 0, 'Summary, PPI''s'!H3)+IF(I$36=".", 0, 'Summary, PPI''s'!I3)+IF(J$36=".", 0, 'Summary, PPI''s'!J3)+IF(K$36=".", 0, 'Summary, PPI''s'!K3)+IF(L$36=".", 0, 'Summary, PPI''s'!L3)+IF(M$36=".", 0, 'Summary, PPI''s'!M3)+IF(B$36=".", 0, 'Summary, PPI''s'!B3)+IF(C$36=".", 0, 'Summary, PPI''s'!C3)+IF(D$36=".", 0, 'Summary, PPI''s'!D3)+IF(N$36=".", 0, 'Summary, PPI''s'!N3)+IF(O$36=".", 0, 'Summary, PPI''s'!O3)+IF(P$36=".", 0, 'Summary, PPI''s'!P3)</f>
        <v>331946658.54298091</v>
      </c>
      <c r="T3" s="1">
        <f>IF(E$46=".", 0, 'Summary, PPI''s'!E3)+IF(F$46=".", 0, 'Summary, PPI''s'!F3)+IF(G$46=".", 0, 'Summary, PPI''s'!G3)+IF(H$46=".", 0, 'Summary, PPI''s'!H3)+IF(I$46=".", 0, 'Summary, PPI''s'!I3)+IF(J$46=".", 0, 'Summary, PPI''s'!J3)+IF(K$46=".", 0, 'Summary, PPI''s'!K3)+IF(L$46=".", 0, 'Summary, PPI''s'!L3)+IF(M$46=".", 0, 'Summary, PPI''s'!M3)+IF(B$46=".", 0, 'Summary, PPI''s'!B3)+IF(C$46=".", 0, 'Summary, PPI''s'!C3)+IF(D$46=".", 0, 'Summary, PPI''s'!D3)+IF(N$46=".", 0, 'Summary, PPI''s'!N3)+IF(O$46=".", 0, 'Summary, PPI''s'!O3)+IF(P$46=".", 0, 'Summary, PPI''s'!P3)</f>
        <v>156255572.29823172</v>
      </c>
      <c r="U3" s="1">
        <f>IF(E$60=".", 0, 'Summary, PPI''s'!E3)+IF(F$60=".", 0, 'Summary, PPI''s'!F3)+IF(G$60=".", 0, 'Summary, PPI''s'!G3)+IF(H$60=".", 0, 'Summary, PPI''s'!H3)+IF(I$60=".", 0, 'Summary, PPI''s'!I3)+IF(J$60=".", 0, 'Summary, PPI''s'!J3)+IF(K$60=".", 0, 'Summary, PPI''s'!K3)+IF(L$60=".", 0, 'Summary, PPI''s'!L3)+IF(M$60=".", 0, 'Summary, PPI''s'!M3)+IF(B$60=".", 0, 'Summary, PPI''s'!B3)+IF(C$60=".", 0, 'Summary, PPI''s'!C3)+IF(D$60=".", 0, 'Summary, PPI''s'!D3)+IF(N$60=".", 0, 'Summary, PPI''s'!N3)+IF(O$60=".", 0, 'Summary, PPI''s'!O3)+IF(P$60=".", 0, 'Summary, PPI''s'!P3)</f>
        <v>89871775.478529111</v>
      </c>
      <c r="V3" s="1">
        <f>IF(E$73=".", 0, 'Summary, PPI''s'!E3)+IF(F$73=".", 0, 'Summary, PPI''s'!F3)+IF(G$73=".", 0, 'Summary, PPI''s'!G3)+IF(H$73=".", 0, 'Summary, PPI''s'!H3)+IF(I$73=".", 0, 'Summary, PPI''s'!I3)+IF(J$73=".", 0, 'Summary, PPI''s'!J3)+IF(K$73=".", 0, 'Summary, PPI''s'!K3)+IF(L$73=".", 0, 'Summary, PPI''s'!L3)+IF(M$73=".", 0, 'Summary, PPI''s'!M3)+IF(B$73=".", 0, 'Summary, PPI''s'!B3)+IF(C$73=".", 0, 'Summary, PPI''s'!C3)+IF(D$73=".", 0, 'Summary, PPI''s'!D3)+IF(N$73=".", 0, 'Summary, PPI''s'!N3)+IF(O$73=".", 0, 'Summary, PPI''s'!O3)+IF(P$73=".", 0, 'Summary, PPI''s'!P3)</f>
        <v>79593152.790068895</v>
      </c>
      <c r="W3" s="1">
        <f>IF(E$94=".",0,'Summary, PPI''s'!E3)+IF(F$94=".",0,'Summary, PPI''s'!F3)+IF(G$94=".",0,'Summary, PPI''s'!G3)+IF(H$94=".",0,'Summary, PPI''s'!H3)+IF(I$94=".",0,'Summary, PPI''s'!I3)+IF(J$94=".",0,'Summary, PPI''s'!J3)+IF(K$94=".",0,'Summary, PPI''s'!K3)+IF(L$94=".",0,'Summary, PPI''s'!L3)+IF(M$94=".",0,'Summary, PPI''s'!M3)+IF(B$94=".",0,'Summary, PPI''s'!B3)+IF(C$94=".",0,'Summary, PPI''s'!C3)+IF(D$94=".",0,'Summary, PPI''s'!D3)+IF(N$94=".",0,'Summary, PPI''s'!N3)+IF(O$94=".",0,'Summary, PPI''s'!O3)+IF(P$94=".",0,'Summary, PPI''s'!P3)</f>
        <v>35265752.399589621</v>
      </c>
      <c r="X3" s="1">
        <f>IF(E$123=".", 0, 'Summary, PPI''s'!E3)+IF(F$123=".", 0, 'Summary, PPI''s'!F3)+IF(G$123=".", 0, 'Summary, PPI''s'!G3)+IF(H$123=".", 0, 'Summary, PPI''s'!H3)+IF(I$123=".", 0, 'Summary, PPI''s'!I3)+IF(J$123=".", 0, 'Summary, PPI''s'!J3)+IF(K$123=".", 0, 'Summary, PPI''s'!K3)+IF(L$123=".", 0, 'Summary, PPI''s'!L3)+IF(M$123=".", 0, 'Summary, PPI''s'!M3)+IF(B$123=".", 0, 'Summary, PPI''s'!B3)+IF(C$123=".", 0, 'Summary, PPI''s'!C3)+IF(D$123=".", 0, 'Summary, PPI''s'!D3)+IF(N$123=".", 0, 'Summary, PPI''s'!N3)+IF(O$123=".", 0, 'Summary, PPI''s'!O3)+IF(P$123=".", 0, 'Summary, PPI''s'!P3)</f>
        <v>22714254.237885144</v>
      </c>
      <c r="Z3" s="4">
        <v>100</v>
      </c>
      <c r="AA3" s="4">
        <v>100</v>
      </c>
      <c r="AB3" s="4">
        <v>100</v>
      </c>
      <c r="AC3" s="4">
        <v>100</v>
      </c>
      <c r="AD3" s="4">
        <v>100</v>
      </c>
      <c r="AE3" s="4">
        <v>100</v>
      </c>
      <c r="AF3" s="4">
        <v>100</v>
      </c>
      <c r="AH3" s="13">
        <v>100</v>
      </c>
      <c r="AJ3" s="4">
        <v>14047.6</v>
      </c>
      <c r="AK3" s="4">
        <v>-0.50800000000000001</v>
      </c>
      <c r="AL3" s="4">
        <v>-1731.7439999999999</v>
      </c>
      <c r="AM3" s="4">
        <v>-23.004999999999999</v>
      </c>
      <c r="AN3" s="4">
        <v>14130.7</v>
      </c>
      <c r="AO3" s="4">
        <v>3644.9</v>
      </c>
      <c r="AP3" s="4">
        <f>1782.424+0.004+0.425+22.561-1869.487</f>
        <v>-64.07300000000032</v>
      </c>
      <c r="AQ3" s="4">
        <f>(1533.748+24.967+20.792+59.774-2324.179)</f>
        <v>-684.89800000000014</v>
      </c>
      <c r="AR3" s="4">
        <v>-75.387</v>
      </c>
      <c r="AS3" s="4">
        <v>-87.447999999999993</v>
      </c>
      <c r="AT3" s="4">
        <v>111.22499999999999</v>
      </c>
      <c r="AU3" s="4">
        <v>89.21</v>
      </c>
      <c r="AV3" s="4">
        <v>126.435</v>
      </c>
      <c r="AW3" s="4">
        <v>119.839</v>
      </c>
      <c r="AX3" s="4">
        <v>106.548</v>
      </c>
      <c r="AY3" s="4">
        <v>111.05200000000001</v>
      </c>
      <c r="AZ3" s="4">
        <v>120.852</v>
      </c>
      <c r="BA3" s="4">
        <v>117.191</v>
      </c>
      <c r="BB3" s="4">
        <v>97.292000000000002</v>
      </c>
      <c r="BC3" s="4">
        <v>109.83499999999999</v>
      </c>
      <c r="BG3" s="4">
        <f>BG4*((AJ3/AT3)/(AJ4/AT4))^((AJ3+AJ4)/SUM(AJ3:AS4))*((AK3/AU3)/(AK4/AU4))^((AK3+AK4)/SUM(AJ3:AS4))*((AL3/AV3)/(AL4/AV4))^((AL3+AL4)/SUM(AJ3:AS4))*((AM3/AW3)/(AM4/AW4))^((AM3+AM4)/SUM(AJ3:AS4))*((AN3/AX3)/(AN4/AX4))^((AN3+AN4)/SUM(AJ3:AS4))*((AO3/AY3)/(AO4/AY4))^((AO3+AO4)/SUM(AJ3:AS4))*((AP3/AZ3)/(AP4/AZ4))^((AP3+AP4)/SUM(AJ3:AS4))*((AQ3/BA3)/(AQ4/BA4))^((AQ3+AQ4)/SUM(AJ3:AS4))*((AR3/BB3)/(AR4/BB4))^((AR3+AR4)/SUM(AJ3:AS4))*((AS3/BC3)/(AS4/BC4))^((AS3+AS4)/SUM(AJ3:AS4))</f>
        <v>115.52793157591542</v>
      </c>
      <c r="BI3" s="4">
        <v>331002651</v>
      </c>
      <c r="BJ3" s="4">
        <f>'[2]Ordinary Experience'!$E$423</f>
        <v>18.402334630350193</v>
      </c>
      <c r="BL3" s="4">
        <f t="shared" ref="BL3:BL34" si="0">(BG3/(BI3*(100-BJ3))*100/(BG$11/(BI$11*(100-BJ$11))))</f>
        <v>107.92287866872881</v>
      </c>
      <c r="BM3" s="4">
        <f>BL3/BL4-1</f>
        <v>-5.069309857057136E-2</v>
      </c>
      <c r="BO3" s="4">
        <f>IF(OR('Summary, hourly ad costs'!R3=-9999,'Summary, PPI''s'!R3="."),".",(('Summary, hourly ad costs'!B3/'Summary, hourly ad costs'!R3)*100/('Summary, hourly ad costs'!B$11/'Summary, hourly ad costs'!R$11))/('Summary, PPI''s'!R3))</f>
        <v>1.1599826833182292</v>
      </c>
      <c r="BP3" s="4" t="str">
        <f>IF(OR('Summary, hourly ad costs'!S3=-9999,'Summary, PPI''s'!S3="."),".",(('Summary, hourly ad costs'!C3/'Summary, hourly ad costs'!S3)*100/('Summary, hourly ad costs'!C$11/'Summary, hourly ad costs'!S$11))/('Summary, PPI''s'!S3))</f>
        <v>.</v>
      </c>
      <c r="BQ3" s="4" t="str">
        <f>IF(OR('Summary, hourly ad costs'!T3=-9999,'Summary, PPI''s'!T3="."),".",(('Summary, hourly ad costs'!D3/'Summary, hourly ad costs'!T3)*100/('Summary, hourly ad costs'!D$11/'Summary, hourly ad costs'!T$11))/('Summary, PPI''s'!T3))</f>
        <v>.</v>
      </c>
      <c r="BR3" s="4">
        <f>IF(OR('Summary, hourly ad costs'!U3=-9999,'Summary, PPI''s'!U3="."),".",(('Summary, hourly ad costs'!E3/'Summary, hourly ad costs'!U3)*100/('Summary, hourly ad costs'!E$11/'Summary, hourly ad costs'!U$11))/('Summary, PPI''s'!U3))</f>
        <v>0.81253300479275314</v>
      </c>
      <c r="BS3" s="4">
        <f>IF(OR('Summary, hourly ad costs'!V3=-9999,'Summary, PPI''s'!V3="."),".",(('Summary, hourly ad costs'!F3/'Summary, hourly ad costs'!V3)*100/('Summary, hourly ad costs'!F$11/'Summary, hourly ad costs'!V$11))/('Summary, PPI''s'!V3))</f>
        <v>0.40111700888086876</v>
      </c>
      <c r="BT3" s="4" t="str">
        <f>IF(OR('Summary, hourly ad costs'!W3=-9999,'Summary, PPI''s'!W3="."),".",(('Summary, hourly ad costs'!G3/'Summary, hourly ad costs'!W3)*100/('Summary, hourly ad costs'!G$11/'Summary, hourly ad costs'!W$11))/('Summary, PPI''s'!W3))</f>
        <v>.</v>
      </c>
      <c r="BU3" s="4">
        <f>IF(OR('Summary, hourly ad costs'!X3=-9999,'Summary, PPI''s'!X3="."),".",(('Summary, hourly ad costs'!H3/'Summary, hourly ad costs'!X3)*100/('Summary, hourly ad costs'!H$11/'Summary, hourly ad costs'!X$11))/('Summary, PPI''s'!X3))</f>
        <v>1.5377031455603076</v>
      </c>
      <c r="BV3" s="4">
        <f>IF(OR('Summary, hourly ad costs'!Y3=-9999,'Summary, PPI''s'!Y3="."),".",(('Summary, hourly ad costs'!I3/'Summary, hourly ad costs'!Y3)*100/('Summary, hourly ad costs'!I$11/'Summary, hourly ad costs'!Y$11))/('Summary, PPI''s'!Y3))</f>
        <v>1.0316907810060674</v>
      </c>
      <c r="BW3" s="4">
        <f>IF(OR('Summary, hourly ad costs'!Z3=-9999,'Summary, PPI''s'!Z3="."),".",(('Summary, hourly ad costs'!J3/'Summary, hourly ad costs'!Z3)*100/('Summary, hourly ad costs'!J$11/'Summary, hourly ad costs'!Z$11))/('Summary, PPI''s'!Z3))</f>
        <v>2.553094449285064</v>
      </c>
      <c r="BX3" s="4">
        <f>IF(OR('Summary, hourly ad costs'!AA3=-9999,'Summary, PPI''s'!AA3="."),".",(('Summary, hourly ad costs'!K3/'Summary, hourly ad costs'!AA3)*100/('Summary, hourly ad costs'!K$11/'Summary, hourly ad costs'!AA$11))/('Summary, PPI''s'!AA3))</f>
        <v>1.0474929655006582</v>
      </c>
      <c r="BY3" s="4">
        <f>IF(OR('Summary, hourly ad costs'!AB3=-9999,'Summary, PPI''s'!AB3="."),".",(('Summary, hourly ad costs'!L3/'Summary, hourly ad costs'!AB3)*100/('Summary, hourly ad costs'!L$11/'Summary, hourly ad costs'!AB$11))/('Summary, PPI''s'!AB3))</f>
        <v>1.7115338015635904</v>
      </c>
      <c r="BZ3" s="4">
        <f>IF(OR('Summary, hourly ad costs'!AC3=-9999,'Summary, PPI''s'!AC3="."),".",(('Summary, hourly ad costs'!M3/'Summary, hourly ad costs'!AC3)*100/('Summary, hourly ad costs'!M$11/'Summary, hourly ad costs'!AC$11))/('Summary, PPI''s'!AC3))</f>
        <v>1.9797681925747557</v>
      </c>
      <c r="CA3" s="4" t="str">
        <f>IF(OR('Summary, hourly ad costs'!AD3=-9999,'Summary, PPI''s'!AD3="."),".",(('Summary, hourly ad costs'!N3/'Summary, hourly ad costs'!AD3)*100/('Summary, hourly ad costs'!N$11/'Summary, hourly ad costs'!AD$11))/('Summary, PPI''s'!AD3))</f>
        <v>.</v>
      </c>
      <c r="CB3" s="4" t="str">
        <f>IF(OR('Summary, hourly ad costs'!AE3=-9999,'Summary, PPI''s'!AE3="."),".",(('Summary, hourly ad costs'!O3/'Summary, hourly ad costs'!AE3)*100/('Summary, hourly ad costs'!O$11/'Summary, hourly ad costs'!AE$11))/('Summary, PPI''s'!AE3))</f>
        <v>.</v>
      </c>
      <c r="CC3" s="4" t="str">
        <f>IF(OR('Summary, hourly ad costs'!AF3=-9999,'Summary, PPI''s'!AF3="."),".",(('Summary, hourly ad costs'!P3/'Summary, hourly ad costs'!AF3)*100/('Summary, hourly ad costs'!P$11/'Summary, hourly ad costs'!AF$11))/('Summary, PPI''s'!AF3))</f>
        <v>.</v>
      </c>
      <c r="CE3" s="4">
        <f t="shared" ref="CE3:CE12" si="1">IF(OR(BO3=".",BO4="."), ".", BO3/BO4-1)</f>
        <v>9.9555833857894349E-2</v>
      </c>
      <c r="CF3" s="4" t="str">
        <f t="shared" ref="CF3:CF12" si="2">IF(OR(BP3=".",BP4="."), ".", BP3/BP4-1)</f>
        <v>.</v>
      </c>
      <c r="CG3" s="4" t="str">
        <f t="shared" ref="CG3:CG12" si="3">IF(OR(BQ3=".",BQ4="."), ".", BQ3/BQ4-1)</f>
        <v>.</v>
      </c>
      <c r="CH3" s="4">
        <f t="shared" ref="CH3:CH12" si="4">IF(OR(BR3=".",BR4="."), ".", BR3/BR4-1)</f>
        <v>-6.9573361766672392E-2</v>
      </c>
      <c r="CI3" s="4">
        <f t="shared" ref="CI3:CI12" si="5">IF(OR(BS3=".",BS4="."), ".", BS3/BS4-1)</f>
        <v>-0.12822985545793253</v>
      </c>
      <c r="CJ3" s="4" t="str">
        <f t="shared" ref="CJ3:CJ12" si="6">IF(OR(BT3=".",BT4="."), ".", BT3/BT4-1)</f>
        <v>.</v>
      </c>
      <c r="CK3" s="4">
        <f t="shared" ref="CK3:CK12" si="7">IF(OR(BU3=".",BU4="."), ".", BU3/BU4-1)</f>
        <v>0.2944493873500782</v>
      </c>
      <c r="CL3" s="4">
        <f t="shared" ref="CL3:CL12" si="8">IF(OR(BV3=".",BV4="."), ".", BV3/BV4-1)</f>
        <v>0.13133757973693383</v>
      </c>
      <c r="CM3" s="4">
        <f t="shared" ref="CM3:CM12" si="9">IF(OR(BW3=".",BW4="."), ".", BW3/BW4-1)</f>
        <v>0.15484925021071416</v>
      </c>
      <c r="CN3" s="4">
        <f t="shared" ref="CN3:CN12" si="10">IF(OR(BX3=".",BX4="."), ".", BX3/BX4-1)</f>
        <v>-0.10092917692183723</v>
      </c>
      <c r="CO3" s="4">
        <f t="shared" ref="CO3:CO12" si="11">IF(OR(BY3=".",BY4="."), ".", BY3/BY4-1)</f>
        <v>-6.6482401531682611E-2</v>
      </c>
      <c r="CP3" s="4">
        <f t="shared" ref="CP3:CP12" si="12">IF(OR(BZ3=".",BZ4="."), ".", BZ3/BZ4-1)</f>
        <v>-7.8746355609427221E-2</v>
      </c>
      <c r="CQ3" s="4" t="str">
        <f t="shared" ref="CQ3:CQ12" si="13">IF(OR(CA3=".",CA4="."), ".", CA3/CA4-1)</f>
        <v>.</v>
      </c>
      <c r="CR3" s="4" t="str">
        <f t="shared" ref="CR3:CR12" si="14">IF(OR(CB3=".",CB4="."), ".", CB3/CB4-1)</f>
        <v>.</v>
      </c>
      <c r="CS3" s="4" t="str">
        <f t="shared" ref="CS3:CS12" si="15">IF(OR(CC3=".",CC4="."), ".", CC3/CC4-1)</f>
        <v>.</v>
      </c>
      <c r="CU3" s="1">
        <f>'Summary, PPI''s'!R3</f>
        <v>103.8783675646839</v>
      </c>
      <c r="CV3" s="1">
        <f>'Summary, PPI''s'!S3</f>
        <v>103.8783675646839</v>
      </c>
      <c r="CW3" s="1">
        <f>'Summary, PPI''s'!T3</f>
        <v>112.7699199677858</v>
      </c>
      <c r="CX3" s="1">
        <f>'Summary, PPI''s'!U3</f>
        <v>93.863434445995651</v>
      </c>
      <c r="CY3" s="1">
        <f>'Summary, PPI''s'!V3</f>
        <v>109.21166440133446</v>
      </c>
      <c r="CZ3" s="1">
        <f>'Summary, PPI''s'!W3</f>
        <v>94.173533120253339</v>
      </c>
      <c r="DA3" s="1">
        <f>'Summary, PPI''s'!X3</f>
        <v>117.876</v>
      </c>
      <c r="DB3" s="1">
        <f>'Summary, PPI''s'!Y3</f>
        <v>93.790849673202644</v>
      </c>
      <c r="DC3" s="1">
        <f>'Summary, PPI''s'!Z3</f>
        <v>90.160809018567619</v>
      </c>
      <c r="DD3" s="1">
        <f>'Summary, PPI''s'!AA3</f>
        <v>98.681471200555151</v>
      </c>
      <c r="DE3" s="1">
        <f>'Summary, PPI''s'!AB3</f>
        <v>91.411308652526117</v>
      </c>
      <c r="DF3" s="1">
        <f>'Summary, PPI''s'!AC3</f>
        <v>42.573208661952684</v>
      </c>
      <c r="DG3" s="1">
        <f>'Summary, PPI''s'!AD3</f>
        <v>106.21320706424369</v>
      </c>
      <c r="DH3" s="1">
        <f>'Summary, PPI''s'!AE3</f>
        <v>124.071</v>
      </c>
      <c r="DI3" s="1">
        <f>'Summary, PPI''s'!AF3</f>
        <v>122.172</v>
      </c>
      <c r="DK3" s="4">
        <v>122.693</v>
      </c>
      <c r="DM3" s="5">
        <f t="shared" ref="DM3:DM25" si="16">IF(OR(CU3=".", CU4="."), ".",(CU3/$DK3)/(CU4/$DK4)-1)</f>
        <v>4.7134718191257363E-3</v>
      </c>
      <c r="DN3" s="5">
        <f t="shared" ref="DN3:DN25" si="17">IF(OR(CV3=".", CV4="."), ".",(CV3/$DK3)/(CV4/$DK4)-1)</f>
        <v>4.7134718191257363E-3</v>
      </c>
      <c r="DO3" s="5">
        <f t="shared" ref="DO3:DO25" si="18">IF(OR(CW3=".", CW4="."), ".",(CW3/$DK3)/(CW4/$DK4)-1)</f>
        <v>1.8652701118324622E-3</v>
      </c>
      <c r="DP3" s="5">
        <f t="shared" ref="DP3:DP25" si="19">IF(OR(CX3=".", CX4="."), ".",(CX3/$DK3)/(CX4/$DK4)-1)</f>
        <v>-3.5116049337714061E-2</v>
      </c>
      <c r="DQ3" s="5">
        <f t="shared" ref="DQ3:DQ25" si="20">IF(OR(CY3=".", CY4="."), ".",(CY3/$DK3)/(CY4/$DK4)-1)</f>
        <v>-2.5650610640462146E-2</v>
      </c>
      <c r="DR3" s="5">
        <f t="shared" ref="DR3:DR25" si="21">IF(OR(CZ3=".", CZ4="."), ".",(CZ3/$DK3)/(CZ4/$DK4)-1)</f>
        <v>-1.4784991685674709E-2</v>
      </c>
      <c r="DS3" s="5">
        <f t="shared" ref="DS3:DS25" si="22">IF(OR(DA3=".", DA4="."), ".",(DA3/$DK3)/(DA4/$DK4)-1)</f>
        <v>-1.9541750606704156E-3</v>
      </c>
      <c r="DT3" s="5">
        <f t="shared" ref="DT3:DT25" si="23">IF(OR(DB3=".", DB4="."), ".",(DB3/$DK3)/(DB4/$DK4)-1)</f>
        <v>-0.11337186208658934</v>
      </c>
      <c r="DU3" s="5">
        <f t="shared" ref="DU3:DU25" si="24">IF(OR(DC3=".", DC4="."), ".",(DC3/$DK3)/(DC4/$DK4)-1)</f>
        <v>-4.4642651381696541E-2</v>
      </c>
      <c r="DV3" s="5">
        <f t="shared" ref="DV3:DV25" si="25">IF(OR(DD3=".", DD4="."), ".",(DD3/$DK3)/(DD4/$DK4)-1)</f>
        <v>1.0396740880550315E-2</v>
      </c>
      <c r="DW3" s="5">
        <f t="shared" ref="DW3:DW25" si="26">IF(OR(DE3=".", DE4="."), ".",(DE3/$DK3)/(DE4/$DK4)-1)</f>
        <v>3.281459668411113E-2</v>
      </c>
      <c r="DX3" s="5">
        <f t="shared" ref="DX3:DX25" si="27">IF(OR(DF3=".", DF4="."), ".",(DF3/$DK3)/(DF4/$DK4)-1)</f>
        <v>-0.12332401021990946</v>
      </c>
      <c r="DY3" s="5">
        <f t="shared" ref="DY3:DY25" si="28">IF(OR(DG3=".", DG4="."), ".",(DG3/$DK3)/(DG4/$DK4)-1)</f>
        <v>-3.3130584961587606E-2</v>
      </c>
      <c r="DZ3" s="5">
        <f t="shared" ref="DZ3:DZ25" si="29">IF(OR(DH3=".", DH4="."), ".",(DH3/$DK3)/(DH4/$DK4)-1)</f>
        <v>2.4210352164104609E-2</v>
      </c>
      <c r="EA3" s="5">
        <f t="shared" ref="EA3:EA25" si="30">IF(OR(DI3=".", DI4="."), ".",(DI3/$DK3)/(DI4/$DK4)-1)</f>
        <v>2.2593372248328247E-2</v>
      </c>
      <c r="EC3" s="1">
        <f t="shared" ref="EC3:EQ3" si="31">CU3</f>
        <v>103.8783675646839</v>
      </c>
      <c r="ED3" s="1">
        <f t="shared" si="31"/>
        <v>103.8783675646839</v>
      </c>
      <c r="EE3" s="1">
        <f t="shared" si="31"/>
        <v>112.7699199677858</v>
      </c>
      <c r="EF3" s="1">
        <f t="shared" si="31"/>
        <v>93.863434445995651</v>
      </c>
      <c r="EG3" s="1">
        <f t="shared" si="31"/>
        <v>109.21166440133446</v>
      </c>
      <c r="EH3" s="1">
        <f t="shared" si="31"/>
        <v>94.173533120253339</v>
      </c>
      <c r="EI3" s="1">
        <f t="shared" si="31"/>
        <v>117.876</v>
      </c>
      <c r="EJ3" s="1">
        <f t="shared" si="31"/>
        <v>93.790849673202644</v>
      </c>
      <c r="EK3" s="1">
        <f t="shared" si="31"/>
        <v>90.160809018567619</v>
      </c>
      <c r="EL3" s="1">
        <f t="shared" si="31"/>
        <v>98.681471200555151</v>
      </c>
      <c r="EM3" s="1">
        <f t="shared" si="31"/>
        <v>91.411308652526117</v>
      </c>
      <c r="EN3" s="1">
        <f t="shared" si="31"/>
        <v>42.573208661952684</v>
      </c>
      <c r="EO3" s="1">
        <f t="shared" si="31"/>
        <v>106.21320706424369</v>
      </c>
      <c r="EP3" s="1">
        <f t="shared" si="31"/>
        <v>124.071</v>
      </c>
      <c r="EQ3" s="1">
        <f t="shared" si="31"/>
        <v>122.172</v>
      </c>
      <c r="ES3" s="1">
        <f>IF(EF$26=".", 0, 'Summary, PPI''s'!E3)+IF(EG$26=".", 0, 'Summary, PPI''s'!F3)+IF(EH$26=".", 0, 'Summary, PPI''s'!G3)+IF(EI$26=".", 0, 'Summary, PPI''s'!H3)+IF(EJ$26=".", 0, 'Summary, PPI''s'!I3)+IF(EK$26=".", 0, 'Summary, PPI''s'!J3)+IF(EL$26=".", 0, 'Summary, PPI''s'!K3)+IF(EM$26=".", 0, 'Summary, PPI''s'!L3)+IF(EN$26=".", 0, 'Summary, PPI''s'!M3)+IF(EC$26=".", 0, 'Summary, PPI''s'!B3)+IF(ED$26=".", 0, 'Summary, PPI''s'!C3)+IF(EE$26=".", 0, 'Summary, PPI''s'!D3)+IF(EO$26=".", 0, 'Summary, PPI''s'!N3)+IF(EP$26=".", 0, 'Summary, PPI''s'!O3)+IF(EQ$26=".", 0, 'Summary, PPI''s'!P3)</f>
        <v>497962852.368828</v>
      </c>
      <c r="ET3" s="1">
        <f>'Summary, hourly ad costs'!E3+'Summary, hourly ad costs'!F3+'Summary, hourly ad costs'!H3+'Summary, hourly ad costs'!I3+'Summary, hourly ad costs'!J3+'Summary, hourly ad costs'!K3+'Summary, hourly ad costs'!L3+'Summary, hourly ad costs'!M3+'Summary, hourly ad costs'!B3</f>
        <v>287675051.64311033</v>
      </c>
      <c r="EV3" s="13">
        <v>100</v>
      </c>
      <c r="EW3" s="13">
        <v>100</v>
      </c>
      <c r="EY3" s="2"/>
    </row>
    <row r="4" spans="1:155" x14ac:dyDescent="0.3">
      <c r="A4" s="4">
        <v>2019</v>
      </c>
      <c r="B4" s="10">
        <f>IF(B3=".", ".", IF('Summary, PPI''s'!R4=".",IF(OR('Summary, hourly ad costs'!R4=-9999,'Summary, hourly ad costs'!R4=0), ".", 'Predicted PPIs'!B3*('Summary, hourly ad costs'!B4/'Summary, hourly ad costs'!R4)/('Summary, hourly ad costs'!B3/'Summary, hourly ad costs'!R3)), 'Summary, PPI''s'!R4))</f>
        <v>101.80848226193652</v>
      </c>
      <c r="C4" s="10">
        <f>IF(C3=".", ".", IF('Summary, PPI''s'!S4=".",IF(OR('Summary, hourly ad costs'!S4=-9999,'Summary, hourly ad costs'!S4=0), ".", 'Predicted PPIs'!C3*('Summary, hourly ad costs'!C4/'Summary, hourly ad costs'!S4)/('Summary, hourly ad costs'!C3/'Summary, hourly ad costs'!S3)), 'Summary, PPI''s'!S4))</f>
        <v>101.80848226193652</v>
      </c>
      <c r="D4" s="10">
        <f>IF(D3=".", ".", IF('Summary, PPI''s'!T4=".",IF(OR('Summary, hourly ad costs'!T4=-9999,'Summary, hourly ad costs'!T4=0), ".", 'Predicted PPIs'!D3*('Summary, hourly ad costs'!D4/'Summary, hourly ad costs'!T4)/('Summary, hourly ad costs'!D3/'Summary, hourly ad costs'!T3)), 'Summary, PPI''s'!T4))</f>
        <v>110.83706649217297</v>
      </c>
      <c r="E4" s="10">
        <f>IF(E3=".", ".", IF('Summary, PPI''s'!U4=".",IF(OR('Summary, hourly ad costs'!U4=-9999,'Summary, hourly ad costs'!U4=0), ".", 'Predicted PPIs'!E3*('Summary, hourly ad costs'!E4/'Summary, hourly ad costs'!U4)/('Summary, hourly ad costs'!E3/'Summary, hourly ad costs'!U3)), 'Summary, PPI''s'!U4))</f>
        <v>95.79049794813217</v>
      </c>
      <c r="F4" s="10">
        <f>IF(F3=".", ".", IF('Summary, PPI''s'!V4=".",IF(OR('Summary, hourly ad costs'!V4=-9999,'Summary, hourly ad costs'!V4=0), ".", 'Predicted PPIs'!F3*('Summary, hourly ad costs'!F4/'Summary, hourly ad costs'!V4)/('Summary, hourly ad costs'!F3/'Summary, hourly ad costs'!V3)), 'Summary, PPI''s'!V4))</f>
        <v>110.3711025989538</v>
      </c>
      <c r="G4" s="10">
        <f>IF(G3=".", ".", IF('Summary, PPI''s'!W4=".",IF(OR('Summary, hourly ad costs'!W4=-9999,'Summary, hourly ad costs'!W4=0), ".", 'Predicted PPIs'!G3*('Summary, hourly ad costs'!G4/'Summary, hourly ad costs'!W4)/('Summary, hourly ad costs'!G3/'Summary, hourly ad costs'!W3)), 'Summary, PPI''s'!W4))</f>
        <v>94.123684133360683</v>
      </c>
      <c r="H4" s="10">
        <f>IF(H3=".", ".", IF('Summary, PPI''s'!X4=".",IF(OR('Summary, hourly ad costs'!X4=-9999,'Summary, hourly ad costs'!X4=0), ".", 'Predicted PPIs'!H3*('Summary, hourly ad costs'!H4/'Summary, hourly ad costs'!X4)/('Summary, hourly ad costs'!H3/'Summary, hourly ad costs'!X3)), 'Summary, PPI''s'!X4))</f>
        <v>116.29900000000001</v>
      </c>
      <c r="I4" s="10">
        <f>IF(I3=".", ".", IF('Summary, PPI''s'!Y4=".",IF(OR('Summary, hourly ad costs'!Y4=-9999,'Summary, hourly ad costs'!Y4=0), ".", 'Predicted PPIs'!I3*('Summary, hourly ad costs'!I4/'Summary, hourly ad costs'!Y4)/('Summary, hourly ad costs'!I3/'Summary, hourly ad costs'!Y3)), 'Summary, PPI''s'!Y4))</f>
        <v>104.16457181163064</v>
      </c>
      <c r="J4" s="10">
        <f>IF(J3=".", ".", IF('Summary, PPI''s'!Z4=".",IF(OR('Summary, hourly ad costs'!Z4=-9999,'Summary, hourly ad costs'!Z4=0), ".", 'Predicted PPIs'!J3*('Summary, hourly ad costs'!J4/'Summary, hourly ad costs'!Z4)/('Summary, hourly ad costs'!J3/'Summary, hourly ad costs'!Z3)), 'Summary, PPI''s'!Z4))</f>
        <v>92.929376657824918</v>
      </c>
      <c r="K4" s="10">
        <f>IF(K3=".", ".", IF('Summary, PPI''s'!AA4=".",IF(OR('Summary, hourly ad costs'!AA4=-9999,'Summary, hourly ad costs'!AA4=0), ".", 'Predicted PPIs'!K3*('Summary, hourly ad costs'!K4/'Summary, hourly ad costs'!AA4)/('Summary, hourly ad costs'!K3/'Summary, hourly ad costs'!AA3)), 'Summary, PPI''s'!AA4))</f>
        <v>96.17113719337415</v>
      </c>
      <c r="L4" s="10">
        <f>IF(L3=".", ".", IF('Summary, PPI''s'!AB4=".",IF(OR('Summary, hourly ad costs'!AB4=-9999,'Summary, hourly ad costs'!AB4=0), ".", 'Predicted PPIs'!L3*('Summary, hourly ad costs'!L4/'Summary, hourly ad costs'!AB4)/('Summary, hourly ad costs'!L3/'Summary, hourly ad costs'!AB3)), 'Summary, PPI''s'!AB4))</f>
        <v>87.152255639097746</v>
      </c>
      <c r="M4" s="10">
        <f>IF(M3=".", ".", IF('Summary, PPI''s'!AC4=".",IF(OR('Summary, hourly ad costs'!AC4=-9999,'Summary, hourly ad costs'!AC4=0), ".", 'Predicted PPIs'!M3*('Summary, hourly ad costs'!M4/'Summary, hourly ad costs'!AC4)/('Summary, hourly ad costs'!M3/'Summary, hourly ad costs'!AC3)), 'Summary, PPI''s'!AC4))</f>
        <v>47.818763685362981</v>
      </c>
      <c r="N4" s="10">
        <f>IF(N3=".", ".", IF('Summary, PPI''s'!AD4=".",IF(OR('Summary, hourly ad costs'!AD4=-9999,'Summary, hourly ad costs'!AD4=0), ".", 'Predicted PPIs'!N3*('Summary, hourly ad costs'!N4/'Summary, hourly ad costs'!AD4)/('Summary, hourly ad costs'!N3/'Summary, hourly ad costs'!AD3)), 'Summary, PPI''s'!AD4))</f>
        <v>108.17123112362425</v>
      </c>
      <c r="O4" s="10">
        <f>IF(O3=".", ".", IF('Summary, PPI''s'!AE4=".",IF(OR('Summary, hourly ad costs'!AE4=-9999,'Summary, hourly ad costs'!AE4=0), ".", 'Predicted PPIs'!O3*('Summary, hourly ad costs'!O4/'Summary, hourly ad costs'!AE4)/('Summary, hourly ad costs'!O3/'Summary, hourly ad costs'!AE3)), 'Summary, PPI''s'!AE4))</f>
        <v>119.28400000000001</v>
      </c>
      <c r="P4" s="10">
        <f>IF(P3=".", ".", IF('Summary, PPI''s'!AF4=".",IF(OR('Summary, hourly ad costs'!AF4=-9999,'Summary, hourly ad costs'!AF4=0), ".", 'Predicted PPIs'!P3*('Summary, hourly ad costs'!P4/'Summary, hourly ad costs'!AF4)/('Summary, hourly ad costs'!P3/'Summary, hourly ad costs'!AF3)), 'Summary, PPI''s'!AF4))</f>
        <v>117.64400000000001</v>
      </c>
      <c r="R4" s="1">
        <f>IF(E$26=".", 0, 'Summary, PPI''s'!E4)+IF(F$26=".", 0, 'Summary, PPI''s'!F4)+IF(G$26=".", 0, 'Summary, PPI''s'!G4)+IF(H$26=".", 0, 'Summary, PPI''s'!H4)+IF(I$26=".", 0, 'Summary, PPI''s'!I4)+IF(J$26=".", 0, 'Summary, PPI''s'!J4)+IF(K$26=".", 0, 'Summary, PPI''s'!K4)+IF(L$26=".", 0, 'Summary, PPI''s'!L4)+IF(M$26=".", 0, 'Summary, PPI''s'!M4)+IF(B$26=".", 0, 'Summary, PPI''s'!B4)+IF(C$26=".", 0, 'Summary, PPI''s'!C4)+IF(D$26=".", 0, 'Summary, PPI''s'!D4)+IF(N$26=".", 0, 'Summary, PPI''s'!N4)+IF(O$26=".", 0, 'Summary, PPI''s'!O4)+IF(P$26=".", 0, 'Summary, PPI''s'!P4)</f>
        <v>482514230.43538994</v>
      </c>
      <c r="S4" s="1">
        <f>IF(E$36=".", 0, 'Summary, PPI''s'!E4)+IF(F$36=".", 0, 'Summary, PPI''s'!F4)+IF(G$36=".", 0, 'Summary, PPI''s'!G4)+IF(H$36=".", 0, 'Summary, PPI''s'!H4)+IF(I$36=".", 0, 'Summary, PPI''s'!I4)+IF(J$36=".", 0, 'Summary, PPI''s'!J4)+IF(K$36=".", 0, 'Summary, PPI''s'!K4)+IF(L$36=".", 0, 'Summary, PPI''s'!L4)+IF(M$36=".", 0, 'Summary, PPI''s'!M4)+IF(B$36=".", 0, 'Summary, PPI''s'!B4)+IF(C$36=".", 0, 'Summary, PPI''s'!C4)+IF(D$36=".", 0, 'Summary, PPI''s'!D4)+IF(N$36=".", 0, 'Summary, PPI''s'!N4)+IF(O$36=".", 0, 'Summary, PPI''s'!O4)+IF(P$36=".", 0, 'Summary, PPI''s'!P4)</f>
        <v>332634604.051669</v>
      </c>
      <c r="T4" s="1">
        <f>IF(E$46=".", 0, 'Summary, PPI''s'!E4)+IF(F$46=".", 0, 'Summary, PPI''s'!F4)+IF(G$46=".", 0, 'Summary, PPI''s'!G4)+IF(H$46=".", 0, 'Summary, PPI''s'!H4)+IF(I$46=".", 0, 'Summary, PPI''s'!I4)+IF(J$46=".", 0, 'Summary, PPI''s'!J4)+IF(K$46=".", 0, 'Summary, PPI''s'!K4)+IF(L$46=".", 0, 'Summary, PPI''s'!L4)+IF(M$46=".", 0, 'Summary, PPI''s'!M4)+IF(B$46=".", 0, 'Summary, PPI''s'!B4)+IF(C$46=".", 0, 'Summary, PPI''s'!C4)+IF(D$46=".", 0, 'Summary, PPI''s'!D4)+IF(N$46=".", 0, 'Summary, PPI''s'!N4)+IF(O$46=".", 0, 'Summary, PPI''s'!O4)+IF(P$46=".", 0, 'Summary, PPI''s'!P4)</f>
        <v>166826290.9719505</v>
      </c>
      <c r="U4" s="1">
        <f>IF(E$60=".", 0, 'Summary, PPI''s'!E4)+IF(F$60=".", 0, 'Summary, PPI''s'!F4)+IF(G$60=".", 0, 'Summary, PPI''s'!G4)+IF(H$60=".", 0, 'Summary, PPI''s'!H4)+IF(I$60=".", 0, 'Summary, PPI''s'!I4)+IF(J$60=".", 0, 'Summary, PPI''s'!J4)+IF(K$60=".", 0, 'Summary, PPI''s'!K4)+IF(L$60=".", 0, 'Summary, PPI''s'!L4)+IF(M$60=".", 0, 'Summary, PPI''s'!M4)+IF(B$60=".", 0, 'Summary, PPI''s'!B4)+IF(C$60=".", 0, 'Summary, PPI''s'!C4)+IF(D$60=".", 0, 'Summary, PPI''s'!D4)+IF(N$60=".", 0, 'Summary, PPI''s'!N4)+IF(O$60=".", 0, 'Summary, PPI''s'!O4)+IF(P$60=".", 0, 'Summary, PPI''s'!P4)</f>
        <v>92305480.264592141</v>
      </c>
      <c r="V4" s="1">
        <f>IF(E$73=".", 0, 'Summary, PPI''s'!E4)+IF(F$73=".", 0, 'Summary, PPI''s'!F4)+IF(G$73=".", 0, 'Summary, PPI''s'!G4)+IF(H$73=".", 0, 'Summary, PPI''s'!H4)+IF(I$73=".", 0, 'Summary, PPI''s'!I4)+IF(J$73=".", 0, 'Summary, PPI''s'!J4)+IF(K$73=".", 0, 'Summary, PPI''s'!K4)+IF(L$73=".", 0, 'Summary, PPI''s'!L4)+IF(M$73=".", 0, 'Summary, PPI''s'!M4)+IF(B$73=".", 0, 'Summary, PPI''s'!B4)+IF(C$73=".", 0, 'Summary, PPI''s'!C4)+IF(D$73=".", 0, 'Summary, PPI''s'!D4)+IF(N$73=".", 0, 'Summary, PPI''s'!N4)+IF(O$73=".", 0, 'Summary, PPI''s'!O4)+IF(P$73=".", 0, 'Summary, PPI''s'!P4)</f>
        <v>81754054.972771674</v>
      </c>
      <c r="W4" s="1">
        <f>IF(E$94=".",0,'Summary, PPI''s'!E4)+IF(F$94=".",0,'Summary, PPI''s'!F4)+IF(G$94=".",0,'Summary, PPI''s'!G4)+IF(H$94=".",0,'Summary, PPI''s'!H4)+IF(I$94=".",0,'Summary, PPI''s'!I4)+IF(J$94=".",0,'Summary, PPI''s'!J4)+IF(K$94=".",0,'Summary, PPI''s'!K4)+IF(L$94=".",0,'Summary, PPI''s'!L4)+IF(M$94=".",0,'Summary, PPI''s'!M4)+IF(B$94=".",0,'Summary, PPI''s'!B4)+IF(C$94=".",0,'Summary, PPI''s'!C4)+IF(D$94=".",0,'Summary, PPI''s'!D4)+IF(N$94=".",0,'Summary, PPI''s'!N4)+IF(O$94=".",0,'Summary, PPI''s'!O4)+IF(P$94=".",0,'Summary, PPI''s'!P4)</f>
        <v>38303111.676283255</v>
      </c>
      <c r="X4" s="1">
        <f>IF(E$123=".", 0, 'Summary, PPI''s'!E4)+IF(F$123=".", 0, 'Summary, PPI''s'!F4)+IF(G$123=".", 0, 'Summary, PPI''s'!G4)+IF(H$123=".", 0, 'Summary, PPI''s'!H4)+IF(I$123=".", 0, 'Summary, PPI''s'!I4)+IF(J$123=".", 0, 'Summary, PPI''s'!J4)+IF(K$123=".", 0, 'Summary, PPI''s'!K4)+IF(L$123=".", 0, 'Summary, PPI''s'!L4)+IF(M$123=".", 0, 'Summary, PPI''s'!M4)+IF(B$123=".", 0, 'Summary, PPI''s'!B4)+IF(C$123=".", 0, 'Summary, PPI''s'!C4)+IF(D$123=".", 0, 'Summary, PPI''s'!D4)+IF(N$123=".", 0, 'Summary, PPI''s'!N4)+IF(O$123=".", 0, 'Summary, PPI''s'!O4)+IF(P$123=".", 0, 'Summary, PPI''s'!P4)</f>
        <v>25229038.113500476</v>
      </c>
      <c r="Z4" s="4">
        <f>Z3*IF(E$26=".", 1, (E4/E3)^(('Summary, PPI''s'!$E4+'Summary, PPI''s'!$E3)/('Predicted PPIs'!R4+'Predicted PPIs'!R3)))*IF(F$26=".", 1, (F4/F3)^(('Summary, PPI''s'!$F4+'Summary, PPI''s'!$F3)/('Predicted PPIs'!R4+'Predicted PPIs'!R3)))*IF(G$26=".", 1, (G4/G3)^(('Summary, PPI''s'!$G4+'Summary, PPI''s'!$G3)/('Predicted PPIs'!R4+'Predicted PPIs'!R3)))*IF(H$26=".", 1, (H4/H3)^(('Summary, PPI''s'!$H4+'Summary, PPI''s'!$H3)/('Predicted PPIs'!R4+'Predicted PPIs'!R3)))*IF(I$26=".", 1, (I4/I3)^(('Summary, PPI''s'!$I4+'Summary, PPI''s'!$I3)/('Predicted PPIs'!R4+'Predicted PPIs'!R3)))*IF(J$26=".", 1, (J4/J3)^(('Summary, PPI''s'!$J4+'Summary, PPI''s'!$J3)/('Predicted PPIs'!R4+'Predicted PPIs'!R3)))*IF(K$26=".", 1, (K4/K3)^(('Summary, PPI''s'!$K4+'Summary, PPI''s'!$K3)/('Predicted PPIs'!R4+'Predicted PPIs'!R3)))*IF(L$26=".", 1, (L4/L3)^(('Summary, PPI''s'!$L4+'Summary, PPI''s'!$L3)/('Predicted PPIs'!R4+'Predicted PPIs'!R3)))*IF(M$26=".", 1, (M4/M3)^(('Summary, PPI''s'!$M4+'Summary, PPI''s'!$M3)/('Predicted PPIs'!R4+'Predicted PPIs'!R3)))*IF(B$26=".", 1, (B4/B3)^(('Summary, PPI''s'!$B4+'Summary, PPI''s'!$B3)/('Predicted PPIs'!R4+'Predicted PPIs'!R3)))*IF(C$26=".", 1, (C4/C3)^(('Summary, PPI''s'!$C4+'Summary, PPI''s'!$C3)/('Predicted PPIs'!R4+'Predicted PPIs'!R3)))*IF(D$26=".", 1, (D4/D3)^(('Summary, PPI''s'!$D4+'Summary, PPI''s'!$D3)/('Predicted PPIs'!R4+'Predicted PPIs'!R3)))*IF(N$26=".", 1, (N4/N3)^(('Summary, PPI''s'!$N4+'Summary, PPI''s'!$N3)/('Predicted PPIs'!R4+'Predicted PPIs'!R3)))*IF(O$26=".", 1, (O4/O3)^(('Summary, PPI''s'!$O4+'Summary, PPI''s'!$O3)/('Predicted PPIs'!R4+'Predicted PPIs'!R3)))*IF(P$26=".", 1, (P4/P3)^(('Summary, PPI''s'!$P4+'Summary, PPI''s'!$P3)/('Predicted PPIs'!R4+'Predicted PPIs'!R3)))</f>
        <v>101.50521540047444</v>
      </c>
      <c r="AA4" s="4">
        <f>AA3*IF(E$36=".", 1, (E4/E3)^(('Summary, PPI''s'!$E4+'Summary, PPI''s'!$E3)/('Predicted PPIs'!S4+'Predicted PPIs'!S3)))*IF(F$36=".", 1, (F4/F3)^(('Summary, PPI''s'!$F4+'Summary, PPI''s'!$F3)/('Predicted PPIs'!S4+'Predicted PPIs'!S3)))*IF(G$36=".", 1, (G4/G3)^(('Summary, PPI''s'!$G4+'Summary, PPI''s'!$G3)/('Predicted PPIs'!S4+'Predicted PPIs'!S3)))*IF(H$36=".", 1, (H4/H3)^(('Summary, PPI''s'!$H4+'Summary, PPI''s'!$H3)/('Predicted PPIs'!S4+'Predicted PPIs'!S3)))*IF(I$36=".", 1, (I4/I3)^(('Summary, PPI''s'!$I4+'Summary, PPI''s'!$I3)/('Predicted PPIs'!S4+'Predicted PPIs'!S3)))*IF(J$36=".", 1, (J4/J3)^(('Summary, PPI''s'!$J4+'Summary, PPI''s'!$J3)/('Predicted PPIs'!S4+'Predicted PPIs'!S3)))*IF(K$36=".", 1, (K4/K3)^(('Summary, PPI''s'!$K4+'Summary, PPI''s'!$K3)/('Predicted PPIs'!S4+'Predicted PPIs'!S3)))*IF(L$36=".", 1, (L4/L3)^(('Summary, PPI''s'!$L4+'Summary, PPI''s'!$L3)/('Predicted PPIs'!S4+'Predicted PPIs'!S3)))*IF(M$36=".", 1, (M4/M3)^(('Summary, PPI''s'!$M4+'Summary, PPI''s'!$M3)/('Predicted PPIs'!S4+'Predicted PPIs'!S3)))*IF(B$36=".", 1, (B4/B3)^(('Summary, PPI''s'!$B4+'Summary, PPI''s'!$B3)/('Predicted PPIs'!S4+'Predicted PPIs'!S3)))*IF(C$36=".", 1, (C4/C3)^(('Summary, PPI''s'!$C4+'Summary, PPI''s'!$C3)/('Predicted PPIs'!S4+'Predicted PPIs'!S3)))*IF(D$36=".", 1, (D4/D3)^(('Summary, PPI''s'!$D4+'Summary, PPI''s'!$D3)/('Predicted PPIs'!S4+'Predicted PPIs'!S3)))*IF(N$36=".", 1, (N4/N3)^(('Summary, PPI''s'!$N4+'Summary, PPI''s'!$N3)/('Predicted PPIs'!S4+'Predicted PPIs'!S3)))*IF(O$36=".", 1, (O4/O3)^(('Summary, PPI''s'!$O4+'Summary, PPI''s'!$O3)/('Predicted PPIs'!S4+'Predicted PPIs'!S3)))*IF(P$36=".", 1, (P4/P3)^(('Summary, PPI''s'!$P4+'Summary, PPI''s'!$P3)/('Predicted PPIs'!S4+'Predicted PPIs'!S3)))</f>
        <v>101.12761725729064</v>
      </c>
      <c r="AB4" s="4">
        <f>AB3*IF(E$46=".", 1, (E4/E3)^(('Summary, PPI''s'!$E4+'Summary, PPI''s'!$E3)/('Predicted PPIs'!T4+'Predicted PPIs'!T3)))*IF(F$46=".", 1, (F4/F3)^(('Summary, PPI''s'!$F4+'Summary, PPI''s'!$F3)/('Predicted PPIs'!T4+'Predicted PPIs'!T3)))*IF(G$46=".", 1, (G4/G3)^(('Summary, PPI''s'!$G4+'Summary, PPI''s'!$G3)/('Predicted PPIs'!T4+'Predicted PPIs'!T3)))*IF(H$46=".", 1, (H4/H3)^(('Summary, PPI''s'!$H4+'Summary, PPI''s'!$H3)/('Predicted PPIs'!T4+'Predicted PPIs'!T3)))*IF(I$46=".", 1, (I4/I3)^(('Summary, PPI''s'!$I4+'Summary, PPI''s'!$I3)/('Predicted PPIs'!T4+'Predicted PPIs'!T3)))*IF(J$46=".", 1, (J4/J3)^(('Summary, PPI''s'!$J4+'Summary, PPI''s'!$J3)/('Predicted PPIs'!T4+'Predicted PPIs'!T3)))*IF(K$46=".", 1, (K4/K3)^(('Summary, PPI''s'!$K4+'Summary, PPI''s'!$K3)/('Predicted PPIs'!T4+'Predicted PPIs'!T3)))*IF(L$46=".", 1, (L4/L3)^(('Summary, PPI''s'!$L4+'Summary, PPI''s'!$L3)/('Predicted PPIs'!T4+'Predicted PPIs'!T3)))*IF(M$46=".", 1, (M4/M3)^(('Summary, PPI''s'!$M4+'Summary, PPI''s'!$M3)/('Predicted PPIs'!T4+'Predicted PPIs'!T3)))*IF(B$46=".", 1, (B4/B3)^(('Summary, PPI''s'!$B4+'Summary, PPI''s'!$B3)/('Predicted PPIs'!T4+'Predicted PPIs'!T3)))*IF(C$46=".", 1, (C4/C3)^(('Summary, PPI''s'!$C4+'Summary, PPI''s'!$C3)/('Predicted PPIs'!T4+'Predicted PPIs'!T3)))*IF(D$46=".", 1, (D4/D3)^(('Summary, PPI''s'!$D4+'Summary, PPI''s'!$D3)/('Predicted PPIs'!T4+'Predicted PPIs'!T3)))*IF(N$46=".", 1, (N4/N3)^(('Summary, PPI''s'!$N4+'Summary, PPI''s'!$N3)/('Predicted PPIs'!T4+'Predicted PPIs'!T3)))*IF(O$46=".", 1, (O4/O3)^(('Summary, PPI''s'!$O4+'Summary, PPI''s'!$O3)/('Predicted PPIs'!T4+'Predicted PPIs'!T3)))*IF(P$46=".", 1, (P4/P3)^(('Summary, PPI''s'!$P4+'Summary, PPI''s'!$P3)/('Predicted PPIs'!T4+'Predicted PPIs'!T3)))</f>
        <v>100.46218780798394</v>
      </c>
      <c r="AC4" s="4">
        <f>AC3*IF(E$60=".",1,(E4/E3)^(('Summary, PPI''s'!$E4+'Summary, PPI''s'!$E3)/('Predicted PPIs'!U4+'Predicted PPIs'!U3)))*IF(F$60=".",1,(F4/F3)^(('Summary, PPI''s'!$F4+'Summary, PPI''s'!$F3)/('Predicted PPIs'!U4+'Predicted PPIs'!U3)))*IF(G$60=".",1,(G4/G3)^(('Summary, PPI''s'!$G4+'Summary, PPI''s'!$G3)/('Predicted PPIs'!U4+'Predicted PPIs'!U3)))*IF(H$60=".",1,(H4/H3)^(('Summary, PPI''s'!$H4+'Summary, PPI''s'!$H3)/('Predicted PPIs'!U4+'Predicted PPIs'!U3)))*IF(I$60=".",1,(I4/I3)^(('Summary, PPI''s'!$I4+'Summary, PPI''s'!$I3)/('Predicted PPIs'!U4+'Predicted PPIs'!U3)))*IF(J$60=".",1,(J4/J3)^(('Summary, PPI''s'!$J4+'Summary, PPI''s'!$J3)/('Predicted PPIs'!U4+'Predicted PPIs'!U3)))*IF(K$60=".",1,(K4/K3)^(('Summary, PPI''s'!$K4+'Summary, PPI''s'!$K3)/('Predicted PPIs'!U4+'Predicted PPIs'!U3)))*IF(L$60=".",1,(L4/L3)^(('Summary, PPI''s'!$L4+'Summary, PPI''s'!$L3)/('Predicted PPIs'!U4+'Predicted PPIs'!U3)))*IF(M$60=".",1,(M4/M3)^(('Summary, PPI''s'!$M4+'Summary, PPI''s'!$M3)/('Predicted PPIs'!U4+'Predicted PPIs'!U3)))*IF(B$60=".",1,(B4/B3)^(('Summary, PPI''s'!$B4+'Summary, PPI''s'!$B3)/('Predicted PPIs'!U4+'Predicted PPIs'!U3)))*IF(C$60=".",1,(C4/C3)^(('Summary, PPI''s'!$C4+'Summary, PPI''s'!$C3)/('Predicted PPIs'!U4+'Predicted PPIs'!U3)))*IF(D$60=".",1,(D4/D3)^(('Summary, PPI''s'!$D4+'Summary, PPI''s'!$D3)/('Predicted PPIs'!U4+'Predicted PPIs'!U3)))*IF(N$60=".",1,(N4/N3)^(('Summary, PPI''s'!$N4+'Summary, PPI''s'!$N3)/('Predicted PPIs'!U4+'Predicted PPIs'!U3)))*IF(O$60=".",1,(O4/O3)^(('Summary, PPI''s'!$O4+'Summary, PPI''s'!$O3)/('Predicted PPIs'!U4+'Predicted PPIs'!U3)))*IF(P$60=".",1,(P4/P3)^(('Summary, PPI''s'!$P4+'Summary, PPI''s'!$P3)/('Predicted PPIs'!U4+'Predicted PPIs'!U3)))</f>
        <v>102.99290034502749</v>
      </c>
      <c r="AD4" s="4">
        <f>AD3*IF(E$73=".", 1, (E4/E3)^(('Summary, PPI''s'!$E4+'Summary, PPI''s'!$E3)/('Predicted PPIs'!V4+'Predicted PPIs'!V3)))*IF(F$73=".", 1, (F4/F3)^(('Summary, PPI''s'!$F4+'Summary, PPI''s'!$F3)/('Predicted PPIs'!V4+'Predicted PPIs'!V3)))*IF(G$73=".", 1, (G4/G3)^(('Summary, PPI''s'!$G4+'Summary, PPI''s'!$G3)/('Predicted PPIs'!V4+'Predicted PPIs'!V3)))*IF(H$73=".", 1, (H4/H3)^(('Summary, PPI''s'!$H4+'Summary, PPI''s'!$H3)/('Predicted PPIs'!V4+'Predicted PPIs'!V3)))*IF(I$73=".", 1, (I4/I3)^(('Summary, PPI''s'!$I4+'Summary, PPI''s'!$I3)/('Predicted PPIs'!V4+'Predicted PPIs'!V3)))*IF(J$73=".", 1, (J4/J3)^(('Summary, PPI''s'!$J4+'Summary, PPI''s'!$J3)/('Predicted PPIs'!V4+'Predicted PPIs'!V3)))*IF(K$73=".", 1, (K4/K3)^(('Summary, PPI''s'!$K4+'Summary, PPI''s'!$K3)/('Predicted PPIs'!V4+'Predicted PPIs'!V3)))*IF(L$73=".", 1, (L4/L3)^(('Summary, PPI''s'!$L4+'Summary, PPI''s'!$L3)/('Predicted PPIs'!V4+'Predicted PPIs'!V3)))*IF(M$73=".", 1, (M4/M3)^(('Summary, PPI''s'!$M4+'Summary, PPI''s'!$M3)/('Predicted PPIs'!V4+'Predicted PPIs'!V3)))*IF(B$73=".", 1, (B4/B3)^(('Summary, PPI''s'!$B4+'Summary, PPI''s'!$B3)/('Predicted PPIs'!V4+'Predicted PPIs'!V3)))*IF(C$73=".", 1, (C4/C3)^(('Summary, PPI''s'!$C4+'Summary, PPI''s'!$C3)/('Predicted PPIs'!V4+'Predicted PPIs'!V3)))*IF(D$73=".", 1, (D4/D3)^(('Summary, PPI''s'!$D4+'Summary, PPI''s'!$D3)/('Predicted PPIs'!V4+'Predicted PPIs'!V3)))*IF(N$73=".", 1, (N4/N3)^(('Summary, PPI''s'!$N4+'Summary, PPI''s'!$N3)/('Predicted PPIs'!V4+'Predicted PPIs'!V3)))*IF(O$73=".", 1, (O4/O3)^(('Summary, PPI''s'!$O4+'Summary, PPI''s'!$O3)/('Predicted PPIs'!V4+'Predicted PPIs'!V3)))*IF(P$73=".", 1, (P4/P3)^(('Summary, PPI''s'!$P4+'Summary, PPI''s'!$P3)/('Predicted PPIs'!V4+'Predicted PPIs'!V3)))</f>
        <v>103.58513034059257</v>
      </c>
      <c r="AE4" s="4">
        <f>AE3*IF(E$94=".", 1, (E4/E3)^(('Summary, PPI''s'!$E4+'Summary, PPI''s'!$E3)/('Predicted PPIs'!W4+'Predicted PPIs'!W3)))*IF(F$94=".", 1, (F4/F3)^(('Summary, PPI''s'!$F4+'Summary, PPI''s'!$F3)/('Predicted PPIs'!W4+'Predicted PPIs'!W3)))*IF(G$94=".", 1, (G4/G3)^(('Summary, PPI''s'!$G4+'Summary, PPI''s'!$G3)/('Predicted PPIs'!W4+'Predicted PPIs'!W3)))*IF(H$94=".", 1, (H4/H3)^(('Summary, PPI''s'!$H4+'Summary, PPI''s'!$H3)/('Predicted PPIs'!W4+'Predicted PPIs'!W3)))*IF(I$94=".", 1, (I4/I3)^(('Summary, PPI''s'!$I4+'Summary, PPI''s'!$I3)/('Predicted PPIs'!W4+'Predicted PPIs'!W3)))*IF(J$94=".", 1, (J4/J3)^(('Summary, PPI''s'!$J4+'Summary, PPI''s'!$J3)/('Predicted PPIs'!W4+'Predicted PPIs'!W3)))*IF(K$94=".", 1, (K4/K3)^(('Summary, PPI''s'!$K4+'Summary, PPI''s'!$K3)/('Predicted PPIs'!W4+'Predicted PPIs'!W3)))*IF(L$94=".", 1, (L4/L3)^(('Summary, PPI''s'!$L4+'Summary, PPI''s'!$L3)/('Predicted PPIs'!W4+'Predicted PPIs'!W3)))*IF(M$94=".", 1, (M4/M3)^(('Summary, PPI''s'!$M4+'Summary, PPI''s'!$M3)/('Predicted PPIs'!W4+'Predicted PPIs'!W3)))*IF(B$94=".", 1, (B4/B3)^(('Summary, PPI''s'!$B4+'Summary, PPI''s'!$B3)/('Predicted PPIs'!W4+'Predicted PPIs'!W3)))*IF(C$94=".", 1, (C4/C3)^(('Summary, PPI''s'!$C4+'Summary, PPI''s'!$C3)/('Predicted PPIs'!W4+'Predicted PPIs'!W3)))*IF(D$94=".", 1, (D4/D3)^(('Summary, PPI''s'!$D4+'Summary, PPI''s'!$D3)/('Predicted PPIs'!W4+'Predicted PPIs'!W3)))*IF(N$94=".", 1, (N4/N3)^(('Summary, PPI''s'!$N4+'Summary, PPI''s'!$N3)/('Predicted PPIs'!W4+'Predicted PPIs'!W3)))*IF(O$94=".", 1, (O4/O3)^(('Summary, PPI''s'!$O4+'Summary, PPI''s'!$O3)/('Predicted PPIs'!W4+'Predicted PPIs'!W3)))*IF(P$94=".", 1, (P4/P3)^(('Summary, PPI''s'!$P4+'Summary, PPI''s'!$P3)/('Predicted PPIs'!W4+'Predicted PPIs'!W3)))</f>
        <v>104.20228128856543</v>
      </c>
      <c r="AF4" s="4">
        <f>AF3*IF(E$123=".", 1, (E4/E3)^(('Summary, PPI''s'!$E4+'Summary, PPI''s'!$E3)/('Predicted PPIs'!X4+'Predicted PPIs'!X3)))*IF(F$123=".", 1, (F4/F3)^(('Summary, PPI''s'!$F4+'Summary, PPI''s'!$F3)/('Predicted PPIs'!X4+'Predicted PPIs'!X3)))*IF(G$123=".", 1, (G4/G3)^(('Summary, PPI''s'!$G4+'Summary, PPI''s'!$G3)/('Predicted PPIs'!X4+'Predicted PPIs'!X3)))*IF(H$123=".", 1, (H4/H3)^(('Summary, PPI''s'!$H4+'Summary, PPI''s'!$H3)/('Predicted PPIs'!X4+'Predicted PPIs'!X3)))*IF(I$123=".", 1, (I4/I3)^(('Summary, PPI''s'!$I4+'Summary, PPI''s'!$I3)/('Predicted PPIs'!X4+'Predicted PPIs'!X3)))*IF(J$123=".", 1, (J4/J3)^(('Summary, PPI''s'!$J4+'Summary, PPI''s'!$J3)/('Predicted PPIs'!X4+'Predicted PPIs'!X3)))*IF(K$123=".", 1, (K4/K3)^(('Summary, PPI''s'!$K4+'Summary, PPI''s'!$K3)/('Predicted PPIs'!X4+'Predicted PPIs'!X3)))*IF(L$123=".", 1, (L4/L3)^(('Summary, PPI''s'!$L4+'Summary, PPI''s'!$L3)/('Predicted PPIs'!X4+'Predicted PPIs'!X3)))*IF(M$123=".", 1, (M4/M3)^(('Summary, PPI''s'!$M4+'Summary, PPI''s'!$M3)/('Predicted PPIs'!X4+'Predicted PPIs'!X3)))*IF(B$123=".", 1, (B4/B3)^(('Summary, PPI''s'!$B4+'Summary, PPI''s'!$B3)/('Predicted PPIs'!X4+'Predicted PPIs'!X3)))*IF(C$123=".", 1, (C4/C3)^(('Summary, PPI''s'!$C4+'Summary, PPI''s'!$C3)/('Predicted PPIs'!X4+'Predicted PPIs'!X3)))*IF(D$123=".", 1, (D4/D3)^(('Summary, PPI''s'!$D4+'Summary, PPI''s'!$D3)/('Predicted PPIs'!X4+'Predicted PPIs'!X3)))*IF(N$123=".", 1, (N4/N3)^(('Summary, PPI''s'!$N4+'Summary, PPI''s'!$N3)/('Predicted PPIs'!X4+'Predicted PPIs'!X3)))*IF(O$123=".", 1, (O4/O3)^(('Summary, PPI''s'!$O4+'Summary, PPI''s'!$O3)/('Predicted PPIs'!X4+'Predicted PPIs'!X3)))*IF(P$123=".", 1, (P4/P3)^(('Summary, PPI''s'!$P4+'Summary, PPI''s'!$P3)/('Predicted PPIs'!X4+'Predicted PPIs'!X3)))</f>
        <v>100.71196897912148</v>
      </c>
      <c r="AH4" s="13">
        <f t="shared" ref="AH4:AH35" si="32">IF(A4&gt;(A$26-0.01),AH3*Z4/Z3,IF(A4&gt;(A$36-0.01),AH3*AA4/AA3,IF(A4&gt;(A$46-0.01),AH3*AB4/AB3,IF(A4&gt;(A$60-0.01), AH3*AC4/AC3,IF(A4&gt;(A$73-0.01),AH3*AD4/AD3,IF(A4&gt;(A$94-0.01),AH3*AE4/AE3,AH3*AF4/AF3))))))</f>
        <v>101.50521540047444</v>
      </c>
      <c r="AJ4" s="4">
        <v>14428.7</v>
      </c>
      <c r="AK4" s="4">
        <v>-0.48699999999999999</v>
      </c>
      <c r="AL4" s="4">
        <v>-1660.942</v>
      </c>
      <c r="AM4" s="4">
        <v>-22.138000000000002</v>
      </c>
      <c r="AN4" s="4">
        <v>14789.6</v>
      </c>
      <c r="AO4" s="4">
        <v>3710.2</v>
      </c>
      <c r="AP4" s="4">
        <f>1716.972+0.004+0.365+21.852-1805.748</f>
        <v>-66.555000000000064</v>
      </c>
      <c r="AQ4" s="4">
        <f>(1583.578+23.407+19.641+58.072-2336.841)</f>
        <v>-652.14300000000003</v>
      </c>
      <c r="AR4" s="4">
        <v>-72.075000000000003</v>
      </c>
      <c r="AS4" s="4">
        <v>-92.661000000000001</v>
      </c>
      <c r="AT4" s="4">
        <v>109.922</v>
      </c>
      <c r="AU4" s="4">
        <v>89.989000000000004</v>
      </c>
      <c r="AV4" s="4">
        <v>122.986</v>
      </c>
      <c r="AW4" s="4">
        <v>115.306</v>
      </c>
      <c r="AX4" s="4">
        <v>106.755</v>
      </c>
      <c r="AY4" s="4">
        <v>109.684</v>
      </c>
      <c r="AZ4" s="4">
        <v>119.05800000000001</v>
      </c>
      <c r="BA4" s="4">
        <v>113.09699999999999</v>
      </c>
      <c r="BB4" s="4">
        <v>98.201999999999998</v>
      </c>
      <c r="BC4" s="4">
        <v>108.401</v>
      </c>
      <c r="BG4" s="4">
        <f t="shared" ref="BG4:BG9" si="33">BG5*((AJ4/AT4)/(AJ5/AT5))^((AJ4+AJ5)/SUM(AJ4:AS5))*((AK4/AU4)/(AK5/AU5))^((AK4+AK5)/SUM(AJ4:AS5))*((AL4/AV4)/(AL5/AV5))^((AL4+AL5)/SUM(AJ4:AS5))*((AM4/AW4)/(AM5/AW5))^((AM4+AM5)/SUM(AJ4:AS5))*((AN4/AX4)/(AN5/AX5))^((AN4+AN5)/SUM(AJ4:AS5))*((AO4/AY4)/(AO5/AY5))^((AO4+AO5)/SUM(AJ4:AS5))*((AP4/AZ4)/(AP5/AZ5))^((AP4+AP5)/SUM(AJ4:AS5))*((AQ4/BA4)/(AQ5/BA5))^((AQ4+AQ5)/SUM(AJ4:AS5))*((AR4/BB4)/(AR5/BB5))^((AR4+AR5)/SUM(AJ4:AS5))*((AS4/BC4)/(AS5/BC5))^((AS4+AS5)/SUM(AJ4:AS5))</f>
        <v>120.75873730052689</v>
      </c>
      <c r="BI4" s="4">
        <v>329064917</v>
      </c>
      <c r="BJ4" s="4">
        <f>'[2]Ordinary Experience'!$E$422</f>
        <v>18.554737751424618</v>
      </c>
      <c r="BL4" s="4">
        <f t="shared" si="0"/>
        <v>113.68597289898854</v>
      </c>
      <c r="BM4" s="4">
        <f t="shared" ref="BM4:BM67" si="34">BL4/BL5-1</f>
        <v>7.8926615006884582E-3</v>
      </c>
      <c r="BO4" s="4">
        <f>IF(OR('Summary, hourly ad costs'!R4=-9999,'Summary, PPI''s'!R4="."),".",(('Summary, hourly ad costs'!B4/'Summary, hourly ad costs'!R4)*100/('Summary, hourly ad costs'!B$11/'Summary, hourly ad costs'!R$11))/('Summary, PPI''s'!R4))</f>
        <v>1.0549556899246504</v>
      </c>
      <c r="BP4" s="4" t="str">
        <f>IF(OR('Summary, hourly ad costs'!S4=-9999,'Summary, PPI''s'!S4="."),".",(('Summary, hourly ad costs'!C4/'Summary, hourly ad costs'!S4)*100/('Summary, hourly ad costs'!C$11/'Summary, hourly ad costs'!S$11))/('Summary, PPI''s'!S4))</f>
        <v>.</v>
      </c>
      <c r="BQ4" s="4" t="str">
        <f>IF(OR('Summary, hourly ad costs'!T4=-9999,'Summary, PPI''s'!T4="."),".",(('Summary, hourly ad costs'!D4/'Summary, hourly ad costs'!T4)*100/('Summary, hourly ad costs'!D$11/'Summary, hourly ad costs'!T$11))/('Summary, PPI''s'!T4))</f>
        <v>.</v>
      </c>
      <c r="BR4" s="4">
        <f>IF(OR('Summary, hourly ad costs'!U4=-9999,'Summary, PPI''s'!U4="."),".",(('Summary, hourly ad costs'!E4/'Summary, hourly ad costs'!U4)*100/('Summary, hourly ad costs'!E$11/'Summary, hourly ad costs'!U$11))/('Summary, PPI''s'!U4))</f>
        <v>0.8732907801689469</v>
      </c>
      <c r="BS4" s="4">
        <f>IF(OR('Summary, hourly ad costs'!V4=-9999,'Summary, PPI''s'!V4="."),".",(('Summary, hourly ad costs'!F4/'Summary, hourly ad costs'!V4)*100/('Summary, hourly ad costs'!F$11/'Summary, hourly ad costs'!V$11))/('Summary, PPI''s'!V4))</f>
        <v>0.46011785490953205</v>
      </c>
      <c r="BT4" s="4" t="str">
        <f>IF(OR('Summary, hourly ad costs'!W4=-9999,'Summary, PPI''s'!W4="."),".",(('Summary, hourly ad costs'!G4/'Summary, hourly ad costs'!W4)*100/('Summary, hourly ad costs'!G$11/'Summary, hourly ad costs'!W$11))/('Summary, PPI''s'!W4))</f>
        <v>.</v>
      </c>
      <c r="BU4" s="4">
        <f>IF(OR('Summary, hourly ad costs'!X4=-9999,'Summary, PPI''s'!X4="."),".",(('Summary, hourly ad costs'!H4/'Summary, hourly ad costs'!X4)*100/('Summary, hourly ad costs'!H$11/'Summary, hourly ad costs'!X$11))/('Summary, PPI''s'!X4))</f>
        <v>1.1879206406889375</v>
      </c>
      <c r="BV4" s="4">
        <f>IF(OR('Summary, hourly ad costs'!Y4=-9999,'Summary, PPI''s'!Y4="."),".",(('Summary, hourly ad costs'!I4/'Summary, hourly ad costs'!Y4)*100/('Summary, hourly ad costs'!I$11/'Summary, hourly ad costs'!Y$11))/('Summary, PPI''s'!Y4))</f>
        <v>0.91192125099032151</v>
      </c>
      <c r="BW4" s="4">
        <f>IF(OR('Summary, hourly ad costs'!Z4=-9999,'Summary, PPI''s'!Z4="."),".",(('Summary, hourly ad costs'!J4/'Summary, hourly ad costs'!Z4)*100/('Summary, hourly ad costs'!J$11/'Summary, hourly ad costs'!Z$11))/('Summary, PPI''s'!Z4))</f>
        <v>2.2107599314968822</v>
      </c>
      <c r="BX4" s="4">
        <f>IF(OR('Summary, hourly ad costs'!AA4=-9999,'Summary, PPI''s'!AA4="."),".",(('Summary, hourly ad costs'!K4/'Summary, hourly ad costs'!AA4)*100/('Summary, hourly ad costs'!K$11/'Summary, hourly ad costs'!AA$11))/('Summary, PPI''s'!AA4))</f>
        <v>1.1650839273310418</v>
      </c>
      <c r="BY4" s="4">
        <f>IF(OR('Summary, hourly ad costs'!AB4=-9999,'Summary, PPI''s'!AB4="."),".",(('Summary, hourly ad costs'!L4/'Summary, hourly ad costs'!AB4)*100/('Summary, hourly ad costs'!L$11/'Summary, hourly ad costs'!AB$11))/('Summary, PPI''s'!AB4))</f>
        <v>1.8334242486395698</v>
      </c>
      <c r="BZ4" s="4">
        <f>IF(OR('Summary, hourly ad costs'!AC4=-9999,'Summary, PPI''s'!AC4="."),".",(('Summary, hourly ad costs'!M4/'Summary, hourly ad costs'!AC4)*100/('Summary, hourly ad costs'!M$11/'Summary, hourly ad costs'!AC$11))/('Summary, PPI''s'!AC4))</f>
        <v>2.1489936073842193</v>
      </c>
      <c r="CA4" s="4" t="str">
        <f>IF(OR('Summary, hourly ad costs'!AD4=-9999,'Summary, PPI''s'!AD4="."),".",(('Summary, hourly ad costs'!N4/'Summary, hourly ad costs'!AD4)*100/('Summary, hourly ad costs'!N$11/'Summary, hourly ad costs'!AD$11))/('Summary, PPI''s'!AD4))</f>
        <v>.</v>
      </c>
      <c r="CB4" s="4" t="str">
        <f>IF(OR('Summary, hourly ad costs'!AE4=-9999,'Summary, PPI''s'!AE4="."),".",(('Summary, hourly ad costs'!O4/'Summary, hourly ad costs'!AE4)*100/('Summary, hourly ad costs'!O$11/'Summary, hourly ad costs'!AE$11))/('Summary, PPI''s'!AE4))</f>
        <v>.</v>
      </c>
      <c r="CC4" s="4" t="str">
        <f>IF(OR('Summary, hourly ad costs'!AF4=-9999,'Summary, PPI''s'!AF4="."),".",(('Summary, hourly ad costs'!P4/'Summary, hourly ad costs'!AF4)*100/('Summary, hourly ad costs'!P$11/'Summary, hourly ad costs'!AF$11))/('Summary, PPI''s'!AF4))</f>
        <v>.</v>
      </c>
      <c r="CE4" s="4">
        <f t="shared" si="1"/>
        <v>9.6487404973723656E-2</v>
      </c>
      <c r="CF4" s="4" t="str">
        <f t="shared" si="2"/>
        <v>.</v>
      </c>
      <c r="CG4" s="4" t="str">
        <f t="shared" si="3"/>
        <v>.</v>
      </c>
      <c r="CH4" s="4">
        <f t="shared" si="4"/>
        <v>3.6952172492794588E-2</v>
      </c>
      <c r="CI4" s="4">
        <f t="shared" si="5"/>
        <v>-9.4066119132571346E-2</v>
      </c>
      <c r="CJ4" s="4" t="str">
        <f t="shared" si="6"/>
        <v>.</v>
      </c>
      <c r="CK4" s="4">
        <f t="shared" si="7"/>
        <v>3.0126436256038724E-2</v>
      </c>
      <c r="CL4" s="4">
        <f t="shared" si="8"/>
        <v>-4.4264637360836634E-2</v>
      </c>
      <c r="CM4" s="4">
        <f t="shared" si="9"/>
        <v>0.23565168149423688</v>
      </c>
      <c r="CN4" s="4">
        <f t="shared" si="10"/>
        <v>2.1621409698596272E-2</v>
      </c>
      <c r="CO4" s="4">
        <f t="shared" si="11"/>
        <v>2.166364206330762E-2</v>
      </c>
      <c r="CP4" s="4">
        <f t="shared" si="12"/>
        <v>0.17749131795654316</v>
      </c>
      <c r="CQ4" s="4" t="str">
        <f t="shared" si="13"/>
        <v>.</v>
      </c>
      <c r="CR4" s="4" t="str">
        <f t="shared" si="14"/>
        <v>.</v>
      </c>
      <c r="CS4" s="4" t="str">
        <f t="shared" si="15"/>
        <v>.</v>
      </c>
      <c r="CU4" s="5">
        <f>IF(CU3=".", ".", IF('Summary, PPI''s'!R4=".",IF(OR('Summary, hourly ad costs'!R4=-9999,'Summary, hourly ad costs'!R4=0), ".", 'Predicted PPIs'!CU3*('Summary, hourly ad costs'!B4/'Summary, hourly ad costs'!R4)/('Summary, hourly ad costs'!B3/'Summary, hourly ad costs'!R3)/(1-CE3)), 'Summary, PPI''s'!R4))</f>
        <v>101.80848226193652</v>
      </c>
      <c r="CV4" s="5">
        <f>IF(CV3=".", ".", IF('Summary, PPI''s'!S4=".",IF(OR('Summary, hourly ad costs'!S4=-9999,'Summary, hourly ad costs'!S4=0), ".", 'Predicted PPIs'!CV3*('Summary, hourly ad costs'!C4/'Summary, hourly ad costs'!S4)/('Summary, hourly ad costs'!C3/'Summary, hourly ad costs'!S3)/(1-CF3)), 'Summary, PPI''s'!S4))</f>
        <v>101.80848226193652</v>
      </c>
      <c r="CW4" s="5">
        <f>IF(CW3=".", ".", IF('Summary, PPI''s'!T4=".",IF(OR('Summary, hourly ad costs'!T4=-9999,'Summary, hourly ad costs'!T4=0), ".", 'Predicted PPIs'!CW3*('Summary, hourly ad costs'!D4/'Summary, hourly ad costs'!T4)/('Summary, hourly ad costs'!D3/'Summary, hourly ad costs'!T3)/(1-CG3)), 'Summary, PPI''s'!T4))</f>
        <v>110.83706649217297</v>
      </c>
      <c r="CX4" s="5">
        <f>IF(CX3=".", ".", IF('Summary, PPI''s'!U4=".",IF(OR('Summary, hourly ad costs'!U4=-9999,'Summary, hourly ad costs'!U4=0), ".", 'Predicted PPIs'!CX3*('Summary, hourly ad costs'!E4/'Summary, hourly ad costs'!U4)/('Summary, hourly ad costs'!E3/'Summary, hourly ad costs'!U3)/(1-CH3)), 'Summary, PPI''s'!U4))</f>
        <v>95.79049794813217</v>
      </c>
      <c r="CY4" s="5">
        <f>IF(CY3=".", ".", IF('Summary, PPI''s'!V4=".",IF(OR('Summary, hourly ad costs'!V4=-9999,'Summary, hourly ad costs'!V4=0), ".", 'Predicted PPIs'!CY3*('Summary, hourly ad costs'!F4/'Summary, hourly ad costs'!V4)/('Summary, hourly ad costs'!F3/'Summary, hourly ad costs'!V3)/(1-CI3)), 'Summary, PPI''s'!V4))</f>
        <v>110.3711025989538</v>
      </c>
      <c r="CZ4" s="5">
        <f>IF(CZ3=".", ".", IF('Summary, PPI''s'!W4=".",IF(OR('Summary, hourly ad costs'!W4=-9999,'Summary, hourly ad costs'!W4=0), ".", 'Predicted PPIs'!CZ3*('Summary, hourly ad costs'!G4/'Summary, hourly ad costs'!W4)/('Summary, hourly ad costs'!G3/'Summary, hourly ad costs'!W3)/(1-CJ3)), 'Summary, PPI''s'!W4))</f>
        <v>94.123684133360683</v>
      </c>
      <c r="DA4" s="5">
        <f>IF(DA3=".", ".", IF('Summary, PPI''s'!X4=".",IF(OR('Summary, hourly ad costs'!X4=-9999,'Summary, hourly ad costs'!X4=0), ".", 'Predicted PPIs'!DA3*('Summary, hourly ad costs'!H4/'Summary, hourly ad costs'!X4)/('Summary, hourly ad costs'!H3/'Summary, hourly ad costs'!X3)/(1-CK3)), 'Summary, PPI''s'!X4))</f>
        <v>116.29900000000001</v>
      </c>
      <c r="DB4" s="5">
        <f>IF(DB3=".", ".", IF('Summary, PPI''s'!Y4=".",IF(OR('Summary, hourly ad costs'!Y4=-9999,'Summary, hourly ad costs'!Y4=0), ".", 'Predicted PPIs'!DB3*('Summary, hourly ad costs'!I4/'Summary, hourly ad costs'!Y4)/('Summary, hourly ad costs'!I3/'Summary, hourly ad costs'!Y3)/(1-CL3)), 'Summary, PPI''s'!Y4))</f>
        <v>104.16457181163064</v>
      </c>
      <c r="DC4" s="5">
        <f>IF(DC3=".", ".", IF('Summary, PPI''s'!Z4=".",IF(OR('Summary, hourly ad costs'!Z4=-9999,'Summary, hourly ad costs'!Z4=0), ".", 'Predicted PPIs'!DC3*('Summary, hourly ad costs'!J4/'Summary, hourly ad costs'!Z4)/('Summary, hourly ad costs'!J3/'Summary, hourly ad costs'!Z3)/(1-CM3)), 'Summary, PPI''s'!Z4))</f>
        <v>92.929376657824918</v>
      </c>
      <c r="DD4" s="5">
        <f>IF(DD3=".", ".", IF('Summary, PPI''s'!AA4=".",IF(OR('Summary, hourly ad costs'!AA4=-9999,'Summary, hourly ad costs'!AA4=0), ".", 'Predicted PPIs'!DD3*('Summary, hourly ad costs'!K4/'Summary, hourly ad costs'!AA4)/('Summary, hourly ad costs'!K3/'Summary, hourly ad costs'!AA3)/(1-CN3)), 'Summary, PPI''s'!AA4))</f>
        <v>96.17113719337415</v>
      </c>
      <c r="DE4" s="5">
        <f>IF(DE3=".", ".", IF('Summary, PPI''s'!AB4=".",IF(OR('Summary, hourly ad costs'!AB4=-9999,'Summary, hourly ad costs'!AB4=0), ".", 'Predicted PPIs'!DE3*('Summary, hourly ad costs'!L4/'Summary, hourly ad costs'!AB4)/('Summary, hourly ad costs'!L3/'Summary, hourly ad costs'!AB3)/(1-CO3)), 'Summary, PPI''s'!AB4))</f>
        <v>87.152255639097746</v>
      </c>
      <c r="DF4" s="5">
        <f>IF(DF3=".", ".", IF('Summary, PPI''s'!AC4=".",IF(OR('Summary, hourly ad costs'!AC4=-9999,'Summary, hourly ad costs'!AC4=0), ".", 'Predicted PPIs'!DF3*('Summary, hourly ad costs'!M4/'Summary, hourly ad costs'!AC4)/('Summary, hourly ad costs'!M3/'Summary, hourly ad costs'!AC3)/(1-CP3)), 'Summary, PPI''s'!AC4))</f>
        <v>47.818763685362981</v>
      </c>
      <c r="DG4" s="5">
        <f>IF(DG3=".", ".", IF('Summary, PPI''s'!AD4=".",IF(OR('Summary, hourly ad costs'!AD4=-9999,'Summary, hourly ad costs'!AD4=0), ".", 'Predicted PPIs'!DG3*('Summary, hourly ad costs'!N4/'Summary, hourly ad costs'!AD4)/('Summary, hourly ad costs'!N3/'Summary, hourly ad costs'!AD3)/(1-CQ3)), 'Summary, PPI''s'!AD4))</f>
        <v>108.17123112362425</v>
      </c>
      <c r="DH4" s="5">
        <f>IF(DH3=".", ".", IF('Summary, PPI''s'!AE4=".",IF(OR('Summary, hourly ad costs'!AE4=-9999,'Summary, hourly ad costs'!AE4=0), ".", 'Predicted PPIs'!DH3*('Summary, hourly ad costs'!O4/'Summary, hourly ad costs'!AE4)/('Summary, hourly ad costs'!O3/'Summary, hourly ad costs'!AE3)/(1-CR3)), 'Summary, PPI''s'!AE4))</f>
        <v>119.28400000000001</v>
      </c>
      <c r="DI4" s="5">
        <f>IF(DI3=".", ".", IF('Summary, PPI''s'!AF4=".",IF(OR('Summary, hourly ad costs'!AF4=-9999,'Summary, hourly ad costs'!AF4=0), ".", 'Predicted PPIs'!DI3*('Summary, hourly ad costs'!P4/'Summary, hourly ad costs'!AF4)/('Summary, hourly ad costs'!P3/'Summary, hourly ad costs'!AF3)/(1-CS3)), 'Summary, PPI''s'!AF4))</f>
        <v>117.64400000000001</v>
      </c>
      <c r="DK4" s="4">
        <v>120.815</v>
      </c>
      <c r="DM4" s="5">
        <f t="shared" si="16"/>
        <v>9.5188596244757395E-3</v>
      </c>
      <c r="DN4" s="5">
        <f t="shared" si="17"/>
        <v>9.5188596244757395E-3</v>
      </c>
      <c r="DO4" s="5">
        <f t="shared" si="18"/>
        <v>2.6352876006137116E-3</v>
      </c>
      <c r="DP4" s="5">
        <f t="shared" si="19"/>
        <v>-3.5773403734499665E-2</v>
      </c>
      <c r="DQ4" s="5">
        <f t="shared" si="20"/>
        <v>-2.4477596488965414E-2</v>
      </c>
      <c r="DR4" s="5">
        <f t="shared" si="21"/>
        <v>-1.2187098702606369E-2</v>
      </c>
      <c r="DS4" s="5">
        <f t="shared" si="22"/>
        <v>4.7753444465366002E-3</v>
      </c>
      <c r="DT4" s="5">
        <f t="shared" si="23"/>
        <v>4.4114467620351094E-2</v>
      </c>
      <c r="DU4" s="5">
        <f t="shared" si="24"/>
        <v>-4.8060689267997003E-2</v>
      </c>
      <c r="DV4" s="5">
        <f t="shared" si="25"/>
        <v>-2.6643451541354835E-2</v>
      </c>
      <c r="DW4" s="5">
        <f t="shared" si="26"/>
        <v>1.4712359547996989E-3</v>
      </c>
      <c r="DX4" s="5">
        <f t="shared" si="27"/>
        <v>-9.284137441214324E-2</v>
      </c>
      <c r="DY4" s="5">
        <f t="shared" si="28"/>
        <v>-5.6393400854860554E-3</v>
      </c>
      <c r="DZ4" s="5">
        <f t="shared" si="29"/>
        <v>6.8990243554041264E-3</v>
      </c>
      <c r="EA4" s="5">
        <f t="shared" si="30"/>
        <v>1.6636046538948568E-2</v>
      </c>
      <c r="EC4" s="1">
        <f t="shared" ref="EC4:EC35" si="35">IF(CU4=".", EC3*$DK4/$DK3/(1-DM3), CU4)</f>
        <v>101.80848226193652</v>
      </c>
      <c r="ED4" s="1">
        <f t="shared" ref="ED4:ED35" si="36">IF(CV4=".", ED3*$DK4/$DK3/(1-DN3), CV4)</f>
        <v>101.80848226193652</v>
      </c>
      <c r="EE4" s="1">
        <f t="shared" ref="EE4:EE35" si="37">IF(CW4=".", EE3*$DK4/$DK3/(1-DO3), CW4)</f>
        <v>110.83706649217297</v>
      </c>
      <c r="EF4" s="1">
        <f t="shared" ref="EF4:EF35" si="38">IF(CX4=".", EF3*$DK4/$DK3/(1-DP3), CX4)</f>
        <v>95.79049794813217</v>
      </c>
      <c r="EG4" s="1">
        <f t="shared" ref="EG4:EG35" si="39">IF(CY4=".", EG3*$DK4/$DK3/(1-DQ3), CY4)</f>
        <v>110.3711025989538</v>
      </c>
      <c r="EH4" s="1">
        <f t="shared" ref="EH4:EH35" si="40">IF(CZ4=".", EH3*$DK4/$DK3/(1-DR3), CZ4)</f>
        <v>94.123684133360683</v>
      </c>
      <c r="EI4" s="1">
        <f t="shared" ref="EI4:EI35" si="41">IF(DA4=".", EI3*$DK4/$DK3/(1-DS3), DA4)</f>
        <v>116.29900000000001</v>
      </c>
      <c r="EJ4" s="1">
        <f t="shared" ref="EJ4:EJ35" si="42">IF(DB4=".", EJ3*$DK4/$DK3/(1-DT3), DB4)</f>
        <v>104.16457181163064</v>
      </c>
      <c r="EK4" s="1">
        <f t="shared" ref="EK4:EK35" si="43">IF(DC4=".", EK3*$DK4/$DK3/(1-DU3), DC4)</f>
        <v>92.929376657824918</v>
      </c>
      <c r="EL4" s="1">
        <f t="shared" ref="EL4:EL35" si="44">IF(DD4=".", EL3*$DK4/$DK3/(1-DV3), DD4)</f>
        <v>96.17113719337415</v>
      </c>
      <c r="EM4" s="1">
        <f t="shared" ref="EM4:EM35" si="45">IF(DE4=".", EM3*$DK4/$DK3/(1-DW3), DE4)</f>
        <v>87.152255639097746</v>
      </c>
      <c r="EN4" s="1">
        <f t="shared" ref="EN4:EN35" si="46">IF(DF4=".", EN3*$DK4/$DK3/(1-DX3), DF4)</f>
        <v>47.818763685362981</v>
      </c>
      <c r="EO4" s="1">
        <f t="shared" ref="EO4:EO35" si="47">IF(DG4=".", EO3*$DK4/$DK3/(1-DY3), DG4)</f>
        <v>108.17123112362425</v>
      </c>
      <c r="EP4" s="1">
        <f t="shared" ref="EP4:EP35" si="48">IF(DH4=".", EP3*$DK4/$DK3/(1-DZ3), DH4)</f>
        <v>119.28400000000001</v>
      </c>
      <c r="EQ4" s="1">
        <f t="shared" ref="EQ4:EQ35" si="49">IF(DI4=".", EQ3*$DK4/$DK3/(1-EA3), DI4)</f>
        <v>117.64400000000001</v>
      </c>
      <c r="ES4" s="1">
        <f>IF(EF$26=".", 0, 'Summary, PPI''s'!E4)+IF(EG$26=".", 0, 'Summary, PPI''s'!F4)+IF(EH$26=".", 0, 'Summary, PPI''s'!G4)+IF(EI$26=".", 0, 'Summary, PPI''s'!H4)+IF(EJ$26=".", 0, 'Summary, PPI''s'!I4)+IF(EK$26=".", 0, 'Summary, PPI''s'!J4)+IF(EL$26=".", 0, 'Summary, PPI''s'!K4)+IF(EM$26=".", 0, 'Summary, PPI''s'!L4)+IF(EN$26=".", 0, 'Summary, PPI''s'!M4)+IF(EC$26=".", 0, 'Summary, PPI''s'!B4)+IF(ED$26=".", 0, 'Summary, PPI''s'!C4)+IF(EE$26=".", 0, 'Summary, PPI''s'!D4)+IF(EO$26=".", 0, 'Summary, PPI''s'!N4)+IF(EP$26=".", 0, 'Summary, PPI''s'!O4)+IF(EQ$26=".", 0, 'Summary, PPI''s'!P4)</f>
        <v>482514230.43538994</v>
      </c>
      <c r="ET4" s="1">
        <f>'Summary, hourly ad costs'!E4+'Summary, hourly ad costs'!F4+'Summary, hourly ad costs'!H4+'Summary, hourly ad costs'!I4+'Summary, hourly ad costs'!J4+'Summary, hourly ad costs'!K4+'Summary, hourly ad costs'!L4+'Summary, hourly ad costs'!M4+'Summary, hourly ad costs'!B4</f>
        <v>279628336.7910496</v>
      </c>
      <c r="EV4" s="13">
        <f>EV3*IF(EF$26=".", 1, (EF4/EF3)^(('Summary, PPI''s'!$E4+'Summary, PPI''s'!$E3)/('Predicted PPIs'!ES4+'Predicted PPIs'!ES3)))*IF(EG$26=".", 1, (EG4/EG3)^(('Summary, PPI''s'!$F4+'Summary, PPI''s'!$F3)/('Predicted PPIs'!ES4+'Predicted PPIs'!ES3)))*IF(EH$26=".", 1, (EH4/EH3)^(('Summary, PPI''s'!$G4+'Summary, PPI''s'!$G3)/('Predicted PPIs'!ES4+'Predicted PPIs'!ES3)))*IF(EI$26=".", 1, (EI4/EI3)^(('Summary, PPI''s'!$H4+'Summary, PPI''s'!$H3)/('Predicted PPIs'!ES4+'Predicted PPIs'!ES3)))*IF(EJ$26=".", 1, (EJ4/EJ3)^(('Summary, PPI''s'!$I4+'Summary, PPI''s'!$I3)/('Predicted PPIs'!ES4+'Predicted PPIs'!ES3)))*IF(EK$26=".", 1, (EK4/EK3)^(('Summary, PPI''s'!$J4+'Summary, PPI''s'!$J3)/('Predicted PPIs'!ES4+'Predicted PPIs'!ES3)))*IF(EL$26=".", 1, (EL4/EL3)^(('Summary, PPI''s'!$K4+'Summary, PPI''s'!$K3)/('Predicted PPIs'!ES4+'Predicted PPIs'!ES3)))*IF(EM$26=".", 1, (EM4/EM3)^(('Summary, PPI''s'!$L4+'Summary, PPI''s'!$L3)/('Predicted PPIs'!ES4+'Predicted PPIs'!ES3)))*IF(EN$26=".", 1, (EN4/EN3)^(('Summary, PPI''s'!$M4+'Summary, PPI''s'!$M3)/('Predicted PPIs'!ES4+'Predicted PPIs'!ES3)))*IF(EC$26=".", 1, (EC4/EC3)^(('Summary, PPI''s'!$B4+'Summary, PPI''s'!$B3)/('Predicted PPIs'!ES4+'Predicted PPIs'!ES3)))*IF(ED$26=".", 1, (ED4/ED3)^(('Summary, PPI''s'!$C4+'Summary, PPI''s'!$C3)/('Predicted PPIs'!ES4+'Predicted PPIs'!ES3)))*IF(EE$26=".", 1, (EE4/EE3)^(('Summary, PPI''s'!$D4+'Summary, PPI''s'!$D3)/('Predicted PPIs'!ES4+'Predicted PPIs'!ES3)))*IF(EO$26=".", 1, (EO4/EO3)^(('Summary, PPI''s'!$N4+'Summary, PPI''s'!$N3)/('Predicted PPIs'!ES4+'Predicted PPIs'!ES3)))*IF(EP$26=".", 1, (EP4/EP3)^(('Summary, PPI''s'!$O4+'Summary, PPI''s'!$O3)/('Predicted PPIs'!ES4+'Predicted PPIs'!ES3)))*IF(EQ$26=".", 1, (EQ4/EQ3)^(('Summary, PPI''s'!$P4+'Summary, PPI''s'!$P3)/('Predicted PPIs'!ES4+'Predicted PPIs'!ES3)))</f>
        <v>101.50521540047444</v>
      </c>
      <c r="EW4" s="13">
        <f>EW3*IF(EF$26=".", 1, (EF4/EF3)^(('Summary, PPI''s'!$E4+'Summary, PPI''s'!$E3)/('Predicted PPIs'!ET4+'Predicted PPIs'!ET3)))*IF(EG$26=".", 1, (EG4/EG3)^(('Summary, PPI''s'!$F4+'Summary, PPI''s'!$F3)/('Predicted PPIs'!ET4+'Predicted PPIs'!ET3)))*IF(EH$26=".", 1, (EH4/EH3)^(('Summary, PPI''s'!$G4+'Summary, PPI''s'!$G3)/('Predicted PPIs'!ET4+'Predicted PPIs'!ET3)))*IF(EK$26=".", 1, (EK4/EK3)^(('Summary, PPI''s'!$J4+'Summary, PPI''s'!$J3)/('Predicted PPIs'!ET4+'Predicted PPIs'!ET3)))*IF(EL$26=".", 1, (EL4/EL3)^(('Summary, PPI''s'!$K4+'Summary, PPI''s'!$K3)/('Predicted PPIs'!ET4+'Predicted PPIs'!ET3)))*IF(EM$26=".", 1, (EM4/EM3)^(('Summary, PPI''s'!$L4+'Summary, PPI''s'!$L3)/('Predicted PPIs'!ET4+'Predicted PPIs'!ET3)))*IF(EN$26=".", 1, (EN4/EN3)^(('Summary, PPI''s'!$M4+'Summary, PPI''s'!$M3)/('Predicted PPIs'!ET4+'Predicted PPIs'!ET3)))*IF(EC$26=".", 1, (EC4/EC3)^(('Summary, PPI''s'!$B4+'Summary, PPI''s'!$B3)/('Predicted PPIs'!ET4+'Predicted PPIs'!ET3)))</f>
        <v>101.42172428852393</v>
      </c>
      <c r="EY4" s="2"/>
    </row>
    <row r="5" spans="1:155" x14ac:dyDescent="0.3">
      <c r="A5" s="4">
        <v>2018</v>
      </c>
      <c r="B5" s="10">
        <f>IF(B4=".", ".", IF('Summary, PPI''s'!R5=".",IF(OR('Summary, hourly ad costs'!R5=-9999,'Summary, hourly ad costs'!R5=0), ".", 'Predicted PPIs'!B4*('Summary, hourly ad costs'!B5/'Summary, hourly ad costs'!R5)/('Summary, hourly ad costs'!B4/'Summary, hourly ad costs'!R4)), 'Summary, PPI''s'!R5))</f>
        <v>99.461189650573459</v>
      </c>
      <c r="C5" s="10">
        <f>IF(C4=".", ".", IF('Summary, PPI''s'!S5=".",IF(OR('Summary, hourly ad costs'!S5=-9999,'Summary, hourly ad costs'!S5=0), ".", 'Predicted PPIs'!C4*('Summary, hourly ad costs'!C5/'Summary, hourly ad costs'!S5)/('Summary, hourly ad costs'!C4/'Summary, hourly ad costs'!S4)), 'Summary, PPI''s'!S5))</f>
        <v>99.461189650573459</v>
      </c>
      <c r="D5" s="10">
        <f>IF(D4=".", ".", IF('Summary, PPI''s'!T5=".",IF(OR('Summary, hourly ad costs'!T5=-9999,'Summary, hourly ad costs'!T5=0), ".", 'Predicted PPIs'!D4*('Summary, hourly ad costs'!D5/'Summary, hourly ad costs'!T5)/('Summary, hourly ad costs'!D4/'Summary, hourly ad costs'!T4)), 'Summary, PPI''s'!T5))</f>
        <v>109.02501635878595</v>
      </c>
      <c r="E5" s="10">
        <f>IF(E4=".", ".", IF('Summary, PPI''s'!U5=".",IF(OR('Summary, hourly ad costs'!U5=-9999,'Summary, hourly ad costs'!U5=0), ".", 'Predicted PPIs'!E4*('Summary, hourly ad costs'!E5/'Summary, hourly ad costs'!U5)/('Summary, hourly ad costs'!E4/'Summary, hourly ad costs'!U4)), 'Summary, PPI''s'!U5))</f>
        <v>97.977746752972024</v>
      </c>
      <c r="F5" s="10">
        <f>IF(F4=".", ".", IF('Summary, PPI''s'!V5=".",IF(OR('Summary, hourly ad costs'!V5=-9999,'Summary, hourly ad costs'!V5=0), ".", 'Predicted PPIs'!F4*('Summary, hourly ad costs'!F5/'Summary, hourly ad costs'!V5)/('Summary, hourly ad costs'!F4/'Summary, hourly ad costs'!V4)), 'Summary, PPI''s'!V5))</f>
        <v>111.58408501173855</v>
      </c>
      <c r="G5" s="10">
        <f>IF(G4=".", ".", IF('Summary, PPI''s'!W5=".",IF(OR('Summary, hourly ad costs'!W5=-9999,'Summary, hourly ad costs'!W5=0), ".", 'Predicted PPIs'!G4*('Summary, hourly ad costs'!G5/'Summary, hourly ad costs'!W5)/('Summary, hourly ad costs'!G4/'Summary, hourly ad costs'!W4)), 'Summary, PPI''s'!W5))</f>
        <v>93.974137172682759</v>
      </c>
      <c r="H5" s="10">
        <f>IF(H4=".", ".", IF('Summary, PPI''s'!X5=".",IF(OR('Summary, hourly ad costs'!X5=-9999,'Summary, hourly ad costs'!X5=0), ".", 'Predicted PPIs'!H4*('Summary, hourly ad costs'!H5/'Summary, hourly ad costs'!X5)/('Summary, hourly ad costs'!H4/'Summary, hourly ad costs'!X4)), 'Summary, PPI''s'!X5))</f>
        <v>114.154</v>
      </c>
      <c r="I5" s="10">
        <f>IF(I4=".", ".", IF('Summary, PPI''s'!Y5=".",IF(OR('Summary, hourly ad costs'!Y5=-9999,'Summary, hourly ad costs'!Y5=0), ".", 'Predicted PPIs'!I4*('Summary, hourly ad costs'!I5/'Summary, hourly ad costs'!Y5)/('Summary, hourly ad costs'!I4/'Summary, hourly ad costs'!Y4)), 'Summary, PPI''s'!Y5))</f>
        <v>98.391151332327809</v>
      </c>
      <c r="J5" s="10">
        <f>IF(J4=".", ".", IF('Summary, PPI''s'!Z5=".",IF(OR('Summary, hourly ad costs'!Z5=-9999,'Summary, hourly ad costs'!Z5=0), ".", 'Predicted PPIs'!J4*('Summary, hourly ad costs'!J5/'Summary, hourly ad costs'!Z5)/('Summary, hourly ad costs'!J4/'Summary, hourly ad costs'!Z4)), 'Summary, PPI''s'!Z5))</f>
        <v>96.278183023872685</v>
      </c>
      <c r="K5" s="10">
        <f>IF(K4=".", ".", IF('Summary, PPI''s'!AA5=".",IF(OR('Summary, hourly ad costs'!AA5=-9999,'Summary, hourly ad costs'!AA5=0), ".", 'Predicted PPIs'!K4*('Summary, hourly ad costs'!K5/'Summary, hourly ad costs'!AA5)/('Summary, hourly ad costs'!K4/'Summary, hourly ad costs'!AA4)), 'Summary, PPI''s'!AA5))</f>
        <v>97.444407567208756</v>
      </c>
      <c r="L5" s="10">
        <f>IF(L4=".", ".", IF('Summary, PPI''s'!AB5=".",IF(OR('Summary, hourly ad costs'!AB5=-9999,'Summary, hourly ad costs'!AB5=0), ".", 'Predicted PPIs'!L4*('Summary, hourly ad costs'!L5/'Summary, hourly ad costs'!AB5)/('Summary, hourly ad costs'!L4/'Summary, hourly ad costs'!AB4)), 'Summary, PPI''s'!AB5))</f>
        <v>85.827067669172934</v>
      </c>
      <c r="M5" s="10">
        <f>IF(M4=".", ".", IF('Summary, PPI''s'!AC5=".",IF(OR('Summary, hourly ad costs'!AC5=-9999,'Summary, hourly ad costs'!AC5=0), ".", 'Predicted PPIs'!M4*('Summary, hourly ad costs'!M5/'Summary, hourly ad costs'!AC5)/('Summary, hourly ad costs'!M4/'Summary, hourly ad costs'!AC4)), 'Summary, PPI''s'!AC5))</f>
        <v>51.987535792487783</v>
      </c>
      <c r="N5" s="10">
        <f>IF(N4=".", ".", IF('Summary, PPI''s'!AD5=".",IF(OR('Summary, hourly ad costs'!AD5=-9999,'Summary, hourly ad costs'!AD5=0), ".", 'Predicted PPIs'!N4*('Summary, hourly ad costs'!N5/'Summary, hourly ad costs'!AD5)/('Summary, hourly ad costs'!N4/'Summary, hourly ad costs'!AD4)), 'Summary, PPI''s'!AD5))</f>
        <v>107.28820066547225</v>
      </c>
      <c r="O5" s="10">
        <f>IF(O4=".", ".", IF('Summary, PPI''s'!AE5=".",IF(OR('Summary, hourly ad costs'!AE5=-9999,'Summary, hourly ad costs'!AE5=0), ".", 'Predicted PPIs'!O4*('Summary, hourly ad costs'!O5/'Summary, hourly ad costs'!AE5)/('Summary, hourly ad costs'!O4/'Summary, hourly ad costs'!AE4)), 'Summary, PPI''s'!AE5))</f>
        <v>116.837</v>
      </c>
      <c r="P5" s="10">
        <f>IF(P4=".", ".", IF('Summary, PPI''s'!AF5=".",IF(OR('Summary, hourly ad costs'!AF5=-9999,'Summary, hourly ad costs'!AF5=0), ".", 'Predicted PPIs'!P4*('Summary, hourly ad costs'!P5/'Summary, hourly ad costs'!AF5)/('Summary, hourly ad costs'!P4/'Summary, hourly ad costs'!AF4)), 'Summary, PPI''s'!AF5))</f>
        <v>114.127</v>
      </c>
      <c r="R5" s="1">
        <f>IF(E$26=".", 0, 'Summary, PPI''s'!E5)+IF(F$26=".", 0, 'Summary, PPI''s'!F5)+IF(G$26=".", 0, 'Summary, PPI''s'!G5)+IF(H$26=".", 0, 'Summary, PPI''s'!H5)+IF(I$26=".", 0, 'Summary, PPI''s'!I5)+IF(J$26=".", 0, 'Summary, PPI''s'!J5)+IF(K$26=".", 0, 'Summary, PPI''s'!K5)+IF(L$26=".", 0, 'Summary, PPI''s'!L5)+IF(M$26=".", 0, 'Summary, PPI''s'!M5)+IF(B$26=".", 0, 'Summary, PPI''s'!B5)+IF(C$26=".", 0, 'Summary, PPI''s'!C5)+IF(D$26=".", 0, 'Summary, PPI''s'!D5)+IF(N$26=".", 0, 'Summary, PPI''s'!N5)+IF(O$26=".", 0, 'Summary, PPI''s'!O5)+IF(P$26=".", 0, 'Summary, PPI''s'!P5)</f>
        <v>454516804.50967699</v>
      </c>
      <c r="S5" s="1">
        <f>IF(E$36=".", 0, 'Summary, PPI''s'!E5)+IF(F$36=".", 0, 'Summary, PPI''s'!F5)+IF(G$36=".", 0, 'Summary, PPI''s'!G5)+IF(H$36=".", 0, 'Summary, PPI''s'!H5)+IF(I$36=".", 0, 'Summary, PPI''s'!I5)+IF(J$36=".", 0, 'Summary, PPI''s'!J5)+IF(K$36=".", 0, 'Summary, PPI''s'!K5)+IF(L$36=".", 0, 'Summary, PPI''s'!L5)+IF(M$36=".", 0, 'Summary, PPI''s'!M5)+IF(B$36=".", 0, 'Summary, PPI''s'!B5)+IF(C$36=".", 0, 'Summary, PPI''s'!C5)+IF(D$36=".", 0, 'Summary, PPI''s'!D5)+IF(N$36=".", 0, 'Summary, PPI''s'!N5)+IF(O$36=".", 0, 'Summary, PPI''s'!O5)+IF(P$36=".", 0, 'Summary, PPI''s'!P5)</f>
        <v>325101326.61205477</v>
      </c>
      <c r="T5" s="1">
        <f>IF(E$46=".", 0, 'Summary, PPI''s'!E5)+IF(F$46=".", 0, 'Summary, PPI''s'!F5)+IF(G$46=".", 0, 'Summary, PPI''s'!G5)+IF(H$46=".", 0, 'Summary, PPI''s'!H5)+IF(I$46=".", 0, 'Summary, PPI''s'!I5)+IF(J$46=".", 0, 'Summary, PPI''s'!J5)+IF(K$46=".", 0, 'Summary, PPI''s'!K5)+IF(L$46=".", 0, 'Summary, PPI''s'!L5)+IF(M$46=".", 0, 'Summary, PPI''s'!M5)+IF(B$46=".", 0, 'Summary, PPI''s'!B5)+IF(C$46=".", 0, 'Summary, PPI''s'!C5)+IF(D$46=".", 0, 'Summary, PPI''s'!D5)+IF(N$46=".", 0, 'Summary, PPI''s'!N5)+IF(O$46=".", 0, 'Summary, PPI''s'!O5)+IF(P$46=".", 0, 'Summary, PPI''s'!P5)</f>
        <v>168961860.2233659</v>
      </c>
      <c r="U5" s="1">
        <f>IF(E$60=".", 0, 'Summary, PPI''s'!E5)+IF(F$60=".", 0, 'Summary, PPI''s'!F5)+IF(G$60=".", 0, 'Summary, PPI''s'!G5)+IF(H$60=".", 0, 'Summary, PPI''s'!H5)+IF(I$60=".", 0, 'Summary, PPI''s'!I5)+IF(J$60=".", 0, 'Summary, PPI''s'!J5)+IF(K$60=".", 0, 'Summary, PPI''s'!K5)+IF(L$60=".", 0, 'Summary, PPI''s'!L5)+IF(M$60=".", 0, 'Summary, PPI''s'!M5)+IF(B$60=".", 0, 'Summary, PPI''s'!B5)+IF(C$60=".", 0, 'Summary, PPI''s'!C5)+IF(D$60=".", 0, 'Summary, PPI''s'!D5)+IF(N$60=".", 0, 'Summary, PPI''s'!N5)+IF(O$60=".", 0, 'Summary, PPI''s'!O5)+IF(P$60=".", 0, 'Summary, PPI''s'!P5)</f>
        <v>92969112.800689578</v>
      </c>
      <c r="V5" s="1">
        <f>IF(E$73=".", 0, 'Summary, PPI''s'!E5)+IF(F$73=".", 0, 'Summary, PPI''s'!F5)+IF(G$73=".", 0, 'Summary, PPI''s'!G5)+IF(H$73=".", 0, 'Summary, PPI''s'!H5)+IF(I$73=".", 0, 'Summary, PPI''s'!I5)+IF(J$73=".", 0, 'Summary, PPI''s'!J5)+IF(K$73=".", 0, 'Summary, PPI''s'!K5)+IF(L$73=".", 0, 'Summary, PPI''s'!L5)+IF(M$73=".", 0, 'Summary, PPI''s'!M5)+IF(B$73=".", 0, 'Summary, PPI''s'!B5)+IF(C$73=".", 0, 'Summary, PPI''s'!C5)+IF(D$73=".", 0, 'Summary, PPI''s'!D5)+IF(N$73=".", 0, 'Summary, PPI''s'!N5)+IF(O$73=".", 0, 'Summary, PPI''s'!O5)+IF(P$73=".", 0, 'Summary, PPI''s'!P5)</f>
        <v>82243853.210333109</v>
      </c>
      <c r="W5" s="1">
        <f>IF(E$94=".",0,'Summary, PPI''s'!E5)+IF(F$94=".",0,'Summary, PPI''s'!F5)+IF(G$94=".",0,'Summary, PPI''s'!G5)+IF(H$94=".",0,'Summary, PPI''s'!H5)+IF(I$94=".",0,'Summary, PPI''s'!I5)+IF(J$94=".",0,'Summary, PPI''s'!J5)+IF(K$94=".",0,'Summary, PPI''s'!K5)+IF(L$94=".",0,'Summary, PPI''s'!L5)+IF(M$94=".",0,'Summary, PPI''s'!M5)+IF(B$94=".",0,'Summary, PPI''s'!B5)+IF(C$94=".",0,'Summary, PPI''s'!C5)+IF(D$94=".",0,'Summary, PPI''s'!D5)+IF(N$94=".",0,'Summary, PPI''s'!N5)+IF(O$94=".",0,'Summary, PPI''s'!O5)+IF(P$94=".",0,'Summary, PPI''s'!P5)</f>
        <v>39821787.766188122</v>
      </c>
      <c r="X5" s="1">
        <f>IF(E$123=".", 0, 'Summary, PPI''s'!E5)+IF(F$123=".", 0, 'Summary, PPI''s'!F5)+IF(G$123=".", 0, 'Summary, PPI''s'!G5)+IF(H$123=".", 0, 'Summary, PPI''s'!H5)+IF(I$123=".", 0, 'Summary, PPI''s'!I5)+IF(J$123=".", 0, 'Summary, PPI''s'!J5)+IF(K$123=".", 0, 'Summary, PPI''s'!K5)+IF(L$123=".", 0, 'Summary, PPI''s'!L5)+IF(M$123=".", 0, 'Summary, PPI''s'!M5)+IF(B$123=".", 0, 'Summary, PPI''s'!B5)+IF(C$123=".", 0, 'Summary, PPI''s'!C5)+IF(D$123=".", 0, 'Summary, PPI''s'!D5)+IF(N$123=".", 0, 'Summary, PPI''s'!N5)+IF(O$123=".", 0, 'Summary, PPI''s'!O5)+IF(P$123=".", 0, 'Summary, PPI''s'!P5)</f>
        <v>27015965.539068941</v>
      </c>
      <c r="Z5" s="4">
        <f>Z4*IF(E$26=".", 1, (E5/E4)^(('Summary, PPI''s'!$E5+'Summary, PPI''s'!$E4)/('Predicted PPIs'!R5+'Predicted PPIs'!R4)))*IF(F$26=".", 1, (F5/F4)^(('Summary, PPI''s'!$F5+'Summary, PPI''s'!$F4)/('Predicted PPIs'!R5+'Predicted PPIs'!R4)))*IF(G$26=".", 1, (G5/G4)^(('Summary, PPI''s'!$G5+'Summary, PPI''s'!$G4)/('Predicted PPIs'!R5+'Predicted PPIs'!R4)))*IF(H$26=".", 1, (H5/H4)^(('Summary, PPI''s'!$H5+'Summary, PPI''s'!$H4)/('Predicted PPIs'!R5+'Predicted PPIs'!R4)))*IF(I$26=".", 1, (I5/I4)^(('Summary, PPI''s'!$I5+'Summary, PPI''s'!$I4)/('Predicted PPIs'!R5+'Predicted PPIs'!R4)))*IF(J$26=".", 1, (J5/J4)^(('Summary, PPI''s'!$J5+'Summary, PPI''s'!$J4)/('Predicted PPIs'!R5+'Predicted PPIs'!R4)))*IF(K$26=".", 1, (K5/K4)^(('Summary, PPI''s'!$K5+'Summary, PPI''s'!$K4)/('Predicted PPIs'!R5+'Predicted PPIs'!R4)))*IF(L$26=".", 1, (L5/L4)^(('Summary, PPI''s'!$L5+'Summary, PPI''s'!$L4)/('Predicted PPIs'!R5+'Predicted PPIs'!R4)))*IF(M$26=".", 1, (M5/M4)^(('Summary, PPI''s'!$M5+'Summary, PPI''s'!$M4)/('Predicted PPIs'!R5+'Predicted PPIs'!R4)))*IF(B$26=".", 1, (B5/B4)^(('Summary, PPI''s'!$B5+'Summary, PPI''s'!$B4)/('Predicted PPIs'!R5+'Predicted PPIs'!R4)))*IF(C$26=".", 1, (C5/C4)^(('Summary, PPI''s'!$C5+'Summary, PPI''s'!$C4)/('Predicted PPIs'!R5+'Predicted PPIs'!R4)))*IF(D$26=".", 1, (D5/D4)^(('Summary, PPI''s'!$D5+'Summary, PPI''s'!$D4)/('Predicted PPIs'!R5+'Predicted PPIs'!R4)))*IF(N$26=".", 1, (N5/N4)^(('Summary, PPI''s'!$N5+'Summary, PPI''s'!$N4)/('Predicted PPIs'!R5+'Predicted PPIs'!R4)))*IF(O$26=".", 1, (O5/O4)^(('Summary, PPI''s'!$O5+'Summary, PPI''s'!$O4)/('Predicted PPIs'!R5+'Predicted PPIs'!R4)))*IF(P$26=".", 1, (P5/P4)^(('Summary, PPI''s'!$P5+'Summary, PPI''s'!$P4)/('Predicted PPIs'!R5+'Predicted PPIs'!R4)))</f>
        <v>102.24375906444583</v>
      </c>
      <c r="AA5" s="4">
        <f>AA4*IF(E$36=".", 1, (E5/E4)^(('Summary, PPI''s'!$E5+'Summary, PPI''s'!$E4)/('Predicted PPIs'!S5+'Predicted PPIs'!S4)))*IF(F$36=".", 1, (F5/F4)^(('Summary, PPI''s'!$F5+'Summary, PPI''s'!$F4)/('Predicted PPIs'!S5+'Predicted PPIs'!S4)))*IF(G$36=".", 1, (G5/G4)^(('Summary, PPI''s'!$G5+'Summary, PPI''s'!$G4)/('Predicted PPIs'!S5+'Predicted PPIs'!S4)))*IF(H$36=".", 1, (H5/H4)^(('Summary, PPI''s'!$H5+'Summary, PPI''s'!$H4)/('Predicted PPIs'!S5+'Predicted PPIs'!S4)))*IF(I$36=".", 1, (I5/I4)^(('Summary, PPI''s'!$I5+'Summary, PPI''s'!$I4)/('Predicted PPIs'!S5+'Predicted PPIs'!S4)))*IF(J$36=".", 1, (J5/J4)^(('Summary, PPI''s'!$J5+'Summary, PPI''s'!$J4)/('Predicted PPIs'!S5+'Predicted PPIs'!S4)))*IF(K$36=".", 1, (K5/K4)^(('Summary, PPI''s'!$K5+'Summary, PPI''s'!$K4)/('Predicted PPIs'!S5+'Predicted PPIs'!S4)))*IF(L$36=".", 1, (L5/L4)^(('Summary, PPI''s'!$L5+'Summary, PPI''s'!$L4)/('Predicted PPIs'!S5+'Predicted PPIs'!S4)))*IF(M$36=".", 1, (M5/M4)^(('Summary, PPI''s'!$M5+'Summary, PPI''s'!$M4)/('Predicted PPIs'!S5+'Predicted PPIs'!S4)))*IF(B$36=".", 1, (B5/B4)^(('Summary, PPI''s'!$B5+'Summary, PPI''s'!$B4)/('Predicted PPIs'!S5+'Predicted PPIs'!S4)))*IF(C$36=".", 1, (C5/C4)^(('Summary, PPI''s'!$C5+'Summary, PPI''s'!$C4)/('Predicted PPIs'!S5+'Predicted PPIs'!S4)))*IF(D$36=".", 1, (D5/D4)^(('Summary, PPI''s'!$D5+'Summary, PPI''s'!$D4)/('Predicted PPIs'!S5+'Predicted PPIs'!S4)))*IF(N$36=".", 1, (N5/N4)^(('Summary, PPI''s'!$N5+'Summary, PPI''s'!$N4)/('Predicted PPIs'!S5+'Predicted PPIs'!S4)))*IF(O$36=".", 1, (O5/O4)^(('Summary, PPI''s'!$O5+'Summary, PPI''s'!$O4)/('Predicted PPIs'!S5+'Predicted PPIs'!S4)))*IF(P$36=".", 1, (P5/P4)^(('Summary, PPI''s'!$P5+'Summary, PPI''s'!$P4)/('Predicted PPIs'!S5+'Predicted PPIs'!S4)))</f>
        <v>100.94890102189187</v>
      </c>
      <c r="AB5" s="4">
        <f>AB4*IF(E$46=".", 1, (E5/E4)^(('Summary, PPI''s'!$E5+'Summary, PPI''s'!$E4)/('Predicted PPIs'!T5+'Predicted PPIs'!T4)))*IF(F$46=".", 1, (F5/F4)^(('Summary, PPI''s'!$F5+'Summary, PPI''s'!$F4)/('Predicted PPIs'!T5+'Predicted PPIs'!T4)))*IF(G$46=".", 1, (G5/G4)^(('Summary, PPI''s'!$G5+'Summary, PPI''s'!$G4)/('Predicted PPIs'!T5+'Predicted PPIs'!T4)))*IF(H$46=".", 1, (H5/H4)^(('Summary, PPI''s'!$H5+'Summary, PPI''s'!$H4)/('Predicted PPIs'!T5+'Predicted PPIs'!T4)))*IF(I$46=".", 1, (I5/I4)^(('Summary, PPI''s'!$I5+'Summary, PPI''s'!$I4)/('Predicted PPIs'!T5+'Predicted PPIs'!T4)))*IF(J$46=".", 1, (J5/J4)^(('Summary, PPI''s'!$J5+'Summary, PPI''s'!$J4)/('Predicted PPIs'!T5+'Predicted PPIs'!T4)))*IF(K$46=".", 1, (K5/K4)^(('Summary, PPI''s'!$K5+'Summary, PPI''s'!$K4)/('Predicted PPIs'!T5+'Predicted PPIs'!T4)))*IF(L$46=".", 1, (L5/L4)^(('Summary, PPI''s'!$L5+'Summary, PPI''s'!$L4)/('Predicted PPIs'!T5+'Predicted PPIs'!T4)))*IF(M$46=".", 1, (M5/M4)^(('Summary, PPI''s'!$M5+'Summary, PPI''s'!$M4)/('Predicted PPIs'!T5+'Predicted PPIs'!T4)))*IF(B$46=".", 1, (B5/B4)^(('Summary, PPI''s'!$B5+'Summary, PPI''s'!$B4)/('Predicted PPIs'!T5+'Predicted PPIs'!T4)))*IF(C$46=".", 1, (C5/C4)^(('Summary, PPI''s'!$C5+'Summary, PPI''s'!$C4)/('Predicted PPIs'!T5+'Predicted PPIs'!T4)))*IF(D$46=".", 1, (D5/D4)^(('Summary, PPI''s'!$D5+'Summary, PPI''s'!$D4)/('Predicted PPIs'!T5+'Predicted PPIs'!T4)))*IF(N$46=".", 1, (N5/N4)^(('Summary, PPI''s'!$N5+'Summary, PPI''s'!$N4)/('Predicted PPIs'!T5+'Predicted PPIs'!T4)))*IF(O$46=".", 1, (O5/O4)^(('Summary, PPI''s'!$O5+'Summary, PPI''s'!$O4)/('Predicted PPIs'!T5+'Predicted PPIs'!T4)))*IF(P$46=".", 1, (P5/P4)^(('Summary, PPI''s'!$P5+'Summary, PPI''s'!$P4)/('Predicted PPIs'!T5+'Predicted PPIs'!T4)))</f>
        <v>100.94236968397749</v>
      </c>
      <c r="AC5" s="4">
        <f>AC4*IF(E$60=".",1,(E5/E4)^(('Summary, PPI''s'!$E5+'Summary, PPI''s'!$E4)/('Predicted PPIs'!U5+'Predicted PPIs'!U4)))*IF(F$60=".",1,(F5/F4)^(('Summary, PPI''s'!$F5+'Summary, PPI''s'!$F4)/('Predicted PPIs'!U5+'Predicted PPIs'!U4)))*IF(G$60=".",1,(G5/G4)^(('Summary, PPI''s'!$G5+'Summary, PPI''s'!$G4)/('Predicted PPIs'!U5+'Predicted PPIs'!U4)))*IF(H$60=".",1,(H5/H4)^(('Summary, PPI''s'!$H5+'Summary, PPI''s'!$H4)/('Predicted PPIs'!U5+'Predicted PPIs'!U4)))*IF(I$60=".",1,(I5/I4)^(('Summary, PPI''s'!$I5+'Summary, PPI''s'!$I4)/('Predicted PPIs'!U5+'Predicted PPIs'!U4)))*IF(J$60=".",1,(J5/J4)^(('Summary, PPI''s'!$J5+'Summary, PPI''s'!$J4)/('Predicted PPIs'!U5+'Predicted PPIs'!U4)))*IF(K$60=".",1,(K5/K4)^(('Summary, PPI''s'!$K5+'Summary, PPI''s'!$K4)/('Predicted PPIs'!U5+'Predicted PPIs'!U4)))*IF(L$60=".",1,(L5/L4)^(('Summary, PPI''s'!$L5+'Summary, PPI''s'!$L4)/('Predicted PPIs'!U5+'Predicted PPIs'!U4)))*IF(M$60=".",1,(M5/M4)^(('Summary, PPI''s'!$M5+'Summary, PPI''s'!$M4)/('Predicted PPIs'!U5+'Predicted PPIs'!U4)))*IF(B$60=".",1,(B5/B4)^(('Summary, PPI''s'!$B5+'Summary, PPI''s'!$B4)/('Predicted PPIs'!U5+'Predicted PPIs'!U4)))*IF(C$60=".",1,(C5/C4)^(('Summary, PPI''s'!$C5+'Summary, PPI''s'!$C4)/('Predicted PPIs'!U5+'Predicted PPIs'!U4)))*IF(D$60=".",1,(D5/D4)^(('Summary, PPI''s'!$D5+'Summary, PPI''s'!$D4)/('Predicted PPIs'!U5+'Predicted PPIs'!U4)))*IF(N$60=".",1,(N5/N4)^(('Summary, PPI''s'!$N5+'Summary, PPI''s'!$N4)/('Predicted PPIs'!U5+'Predicted PPIs'!U4)))*IF(O$60=".",1,(O5/O4)^(('Summary, PPI''s'!$O5+'Summary, PPI''s'!$O4)/('Predicted PPIs'!U5+'Predicted PPIs'!U4)))*IF(P$60=".",1,(P5/P4)^(('Summary, PPI''s'!$P5+'Summary, PPI''s'!$P4)/('Predicted PPIs'!U5+'Predicted PPIs'!U4)))</f>
        <v>103.89686839391692</v>
      </c>
      <c r="AD5" s="4">
        <f>AD4*IF(E$73=".", 1, (E5/E4)^(('Summary, PPI''s'!$E5+'Summary, PPI''s'!$E4)/('Predicted PPIs'!V5+'Predicted PPIs'!V4)))*IF(F$73=".", 1, (F5/F4)^(('Summary, PPI''s'!$F5+'Summary, PPI''s'!$F4)/('Predicted PPIs'!V5+'Predicted PPIs'!V4)))*IF(G$73=".", 1, (G5/G4)^(('Summary, PPI''s'!$G5+'Summary, PPI''s'!$G4)/('Predicted PPIs'!V5+'Predicted PPIs'!V4)))*IF(H$73=".", 1, (H5/H4)^(('Summary, PPI''s'!$H5+'Summary, PPI''s'!$H4)/('Predicted PPIs'!V5+'Predicted PPIs'!V4)))*IF(I$73=".", 1, (I5/I4)^(('Summary, PPI''s'!$I5+'Summary, PPI''s'!$I4)/('Predicted PPIs'!V5+'Predicted PPIs'!V4)))*IF(J$73=".", 1, (J5/J4)^(('Summary, PPI''s'!$J5+'Summary, PPI''s'!$J4)/('Predicted PPIs'!V5+'Predicted PPIs'!V4)))*IF(K$73=".", 1, (K5/K4)^(('Summary, PPI''s'!$K5+'Summary, PPI''s'!$K4)/('Predicted PPIs'!V5+'Predicted PPIs'!V4)))*IF(L$73=".", 1, (L5/L4)^(('Summary, PPI''s'!$L5+'Summary, PPI''s'!$L4)/('Predicted PPIs'!V5+'Predicted PPIs'!V4)))*IF(M$73=".", 1, (M5/M4)^(('Summary, PPI''s'!$M5+'Summary, PPI''s'!$M4)/('Predicted PPIs'!V5+'Predicted PPIs'!V4)))*IF(B$73=".", 1, (B5/B4)^(('Summary, PPI''s'!$B5+'Summary, PPI''s'!$B4)/('Predicted PPIs'!V5+'Predicted PPIs'!V4)))*IF(C$73=".", 1, (C5/C4)^(('Summary, PPI''s'!$C5+'Summary, PPI''s'!$C4)/('Predicted PPIs'!V5+'Predicted PPIs'!V4)))*IF(D$73=".", 1, (D5/D4)^(('Summary, PPI''s'!$D5+'Summary, PPI''s'!$D4)/('Predicted PPIs'!V5+'Predicted PPIs'!V4)))*IF(N$73=".", 1, (N5/N4)^(('Summary, PPI''s'!$N5+'Summary, PPI''s'!$N4)/('Predicted PPIs'!V5+'Predicted PPIs'!V4)))*IF(O$73=".", 1, (O5/O4)^(('Summary, PPI''s'!$O5+'Summary, PPI''s'!$O4)/('Predicted PPIs'!V5+'Predicted PPIs'!V4)))*IF(P$73=".", 1, (P5/P4)^(('Summary, PPI''s'!$P5+'Summary, PPI''s'!$P4)/('Predicted PPIs'!V5+'Predicted PPIs'!V4)))</f>
        <v>104.84720151567822</v>
      </c>
      <c r="AE5" s="4">
        <f>AE4*IF(E$94=".", 1, (E5/E4)^(('Summary, PPI''s'!$E5+'Summary, PPI''s'!$E4)/('Predicted PPIs'!W5+'Predicted PPIs'!W4)))*IF(F$94=".", 1, (F5/F4)^(('Summary, PPI''s'!$F5+'Summary, PPI''s'!$F4)/('Predicted PPIs'!W5+'Predicted PPIs'!W4)))*IF(G$94=".", 1, (G5/G4)^(('Summary, PPI''s'!$G5+'Summary, PPI''s'!$G4)/('Predicted PPIs'!W5+'Predicted PPIs'!W4)))*IF(H$94=".", 1, (H5/H4)^(('Summary, PPI''s'!$H5+'Summary, PPI''s'!$H4)/('Predicted PPIs'!W5+'Predicted PPIs'!W4)))*IF(I$94=".", 1, (I5/I4)^(('Summary, PPI''s'!$I5+'Summary, PPI''s'!$I4)/('Predicted PPIs'!W5+'Predicted PPIs'!W4)))*IF(J$94=".", 1, (J5/J4)^(('Summary, PPI''s'!$J5+'Summary, PPI''s'!$J4)/('Predicted PPIs'!W5+'Predicted PPIs'!W4)))*IF(K$94=".", 1, (K5/K4)^(('Summary, PPI''s'!$K5+'Summary, PPI''s'!$K4)/('Predicted PPIs'!W5+'Predicted PPIs'!W4)))*IF(L$94=".", 1, (L5/L4)^(('Summary, PPI''s'!$L5+'Summary, PPI''s'!$L4)/('Predicted PPIs'!W5+'Predicted PPIs'!W4)))*IF(M$94=".", 1, (M5/M4)^(('Summary, PPI''s'!$M5+'Summary, PPI''s'!$M4)/('Predicted PPIs'!W5+'Predicted PPIs'!W4)))*IF(B$94=".", 1, (B5/B4)^(('Summary, PPI''s'!$B5+'Summary, PPI''s'!$B4)/('Predicted PPIs'!W5+'Predicted PPIs'!W4)))*IF(C$94=".", 1, (C5/C4)^(('Summary, PPI''s'!$C5+'Summary, PPI''s'!$C4)/('Predicted PPIs'!W5+'Predicted PPIs'!W4)))*IF(D$94=".", 1, (D5/D4)^(('Summary, PPI''s'!$D5+'Summary, PPI''s'!$D4)/('Predicted PPIs'!W5+'Predicted PPIs'!W4)))*IF(N$94=".", 1, (N5/N4)^(('Summary, PPI''s'!$N5+'Summary, PPI''s'!$N4)/('Predicted PPIs'!W5+'Predicted PPIs'!W4)))*IF(O$94=".", 1, (O5/O4)^(('Summary, PPI''s'!$O5+'Summary, PPI''s'!$O4)/('Predicted PPIs'!W5+'Predicted PPIs'!W4)))*IF(P$94=".", 1, (P5/P4)^(('Summary, PPI''s'!$P5+'Summary, PPI''s'!$P4)/('Predicted PPIs'!W5+'Predicted PPIs'!W4)))</f>
        <v>102.80589314133505</v>
      </c>
      <c r="AF5" s="4">
        <f>AF4*IF(E$123=".", 1, (E5/E4)^(('Summary, PPI''s'!$E5+'Summary, PPI''s'!$E4)/('Predicted PPIs'!X5+'Predicted PPIs'!X4)))*IF(F$123=".", 1, (F5/F4)^(('Summary, PPI''s'!$F5+'Summary, PPI''s'!$F4)/('Predicted PPIs'!X5+'Predicted PPIs'!X4)))*IF(G$123=".", 1, (G5/G4)^(('Summary, PPI''s'!$G5+'Summary, PPI''s'!$G4)/('Predicted PPIs'!X5+'Predicted PPIs'!X4)))*IF(H$123=".", 1, (H5/H4)^(('Summary, PPI''s'!$H5+'Summary, PPI''s'!$H4)/('Predicted PPIs'!X5+'Predicted PPIs'!X4)))*IF(I$123=".", 1, (I5/I4)^(('Summary, PPI''s'!$I5+'Summary, PPI''s'!$I4)/('Predicted PPIs'!X5+'Predicted PPIs'!X4)))*IF(J$123=".", 1, (J5/J4)^(('Summary, PPI''s'!$J5+'Summary, PPI''s'!$J4)/('Predicted PPIs'!X5+'Predicted PPIs'!X4)))*IF(K$123=".", 1, (K5/K4)^(('Summary, PPI''s'!$K5+'Summary, PPI''s'!$K4)/('Predicted PPIs'!X5+'Predicted PPIs'!X4)))*IF(L$123=".", 1, (L5/L4)^(('Summary, PPI''s'!$L5+'Summary, PPI''s'!$L4)/('Predicted PPIs'!X5+'Predicted PPIs'!X4)))*IF(M$123=".", 1, (M5/M4)^(('Summary, PPI''s'!$M5+'Summary, PPI''s'!$M4)/('Predicted PPIs'!X5+'Predicted PPIs'!X4)))*IF(B$123=".", 1, (B5/B4)^(('Summary, PPI''s'!$B5+'Summary, PPI''s'!$B4)/('Predicted PPIs'!X5+'Predicted PPIs'!X4)))*IF(C$123=".", 1, (C5/C4)^(('Summary, PPI''s'!$C5+'Summary, PPI''s'!$C4)/('Predicted PPIs'!X5+'Predicted PPIs'!X4)))*IF(D$123=".", 1, (D5/D4)^(('Summary, PPI''s'!$D5+'Summary, PPI''s'!$D4)/('Predicted PPIs'!X5+'Predicted PPIs'!X4)))*IF(N$123=".", 1, (N5/N4)^(('Summary, PPI''s'!$N5+'Summary, PPI''s'!$N4)/('Predicted PPIs'!X5+'Predicted PPIs'!X4)))*IF(O$123=".", 1, (O5/O4)^(('Summary, PPI''s'!$O5+'Summary, PPI''s'!$O4)/('Predicted PPIs'!X5+'Predicted PPIs'!X4)))*IF(P$123=".", 1, (P5/P4)^(('Summary, PPI''s'!$P5+'Summary, PPI''s'!$P4)/('Predicted PPIs'!X5+'Predicted PPIs'!X4)))</f>
        <v>101.528149467663</v>
      </c>
      <c r="AH5" s="13">
        <f t="shared" si="32"/>
        <v>102.24375906444583</v>
      </c>
      <c r="AJ5" s="4">
        <v>13913.5</v>
      </c>
      <c r="AK5" s="4">
        <v>-0.436</v>
      </c>
      <c r="AL5" s="4">
        <v>-1586.53</v>
      </c>
      <c r="AM5" s="4">
        <v>-21.861999999999998</v>
      </c>
      <c r="AN5" s="4">
        <v>14569</v>
      </c>
      <c r="AO5" s="4">
        <v>3538.8</v>
      </c>
      <c r="AP5" s="4">
        <f>1640.212+0.004+0.284+20.739-1733.859</f>
        <v>-72.619999999999891</v>
      </c>
      <c r="AQ5" s="4">
        <f>1480.407+22.321+18.362+56.77-2188.94</f>
        <v>-611.08000000000015</v>
      </c>
      <c r="AR5" s="4">
        <v>-66.685000000000002</v>
      </c>
      <c r="AS5" s="4">
        <v>-89.811999999999998</v>
      </c>
      <c r="AT5" s="4">
        <v>108.318</v>
      </c>
      <c r="AU5" s="4">
        <v>91.966999999999999</v>
      </c>
      <c r="AV5" s="4">
        <v>119.01600000000001</v>
      </c>
      <c r="AW5" s="4">
        <v>113.76</v>
      </c>
      <c r="AX5" s="4">
        <v>105.884</v>
      </c>
      <c r="AY5" s="4">
        <v>107.926</v>
      </c>
      <c r="AZ5" s="4">
        <v>114.39100000000001</v>
      </c>
      <c r="BA5" s="4">
        <v>110.88500000000001</v>
      </c>
      <c r="BB5" s="4">
        <v>98.031000000000006</v>
      </c>
      <c r="BC5" s="4">
        <v>107.34099999999999</v>
      </c>
      <c r="BG5" s="4">
        <f t="shared" si="33"/>
        <v>118.87160092840013</v>
      </c>
      <c r="BI5" s="4">
        <v>327096265</v>
      </c>
      <c r="BJ5" s="4">
        <f>'[2]Ordinary Experience'!$E$421</f>
        <v>18.708403033620428</v>
      </c>
      <c r="BL5" s="4">
        <f t="shared" si="0"/>
        <v>112.79571450566702</v>
      </c>
      <c r="BM5" s="4">
        <f t="shared" si="34"/>
        <v>2.1597496362131707E-2</v>
      </c>
      <c r="BO5" s="4">
        <f>IF(OR('Summary, hourly ad costs'!R5=-9999,'Summary, PPI''s'!R5="."),".",(('Summary, hourly ad costs'!B5/'Summary, hourly ad costs'!R5)*100/('Summary, hourly ad costs'!B$11/'Summary, hourly ad costs'!R$11))/('Summary, PPI''s'!R5))</f>
        <v>0.96212294381067831</v>
      </c>
      <c r="BP5" s="4" t="str">
        <f>IF(OR('Summary, hourly ad costs'!S5=-9999,'Summary, PPI''s'!S5="."),".",(('Summary, hourly ad costs'!C5/'Summary, hourly ad costs'!S5)*100/('Summary, hourly ad costs'!C$11/'Summary, hourly ad costs'!S$11))/('Summary, PPI''s'!S5))</f>
        <v>.</v>
      </c>
      <c r="BQ5" s="4" t="str">
        <f>IF(OR('Summary, hourly ad costs'!T5=-9999,'Summary, PPI''s'!T5="."),".",(('Summary, hourly ad costs'!D5/'Summary, hourly ad costs'!T5)*100/('Summary, hourly ad costs'!D$11/'Summary, hourly ad costs'!T$11))/('Summary, PPI''s'!T5))</f>
        <v>.</v>
      </c>
      <c r="BR5" s="4">
        <f>IF(OR('Summary, hourly ad costs'!U5=-9999,'Summary, PPI''s'!U5="."),".",(('Summary, hourly ad costs'!E5/'Summary, hourly ad costs'!U5)*100/('Summary, hourly ad costs'!E$11/'Summary, hourly ad costs'!U$11))/('Summary, PPI''s'!U5))</f>
        <v>0.84217074165492922</v>
      </c>
      <c r="BS5" s="4">
        <f>IF(OR('Summary, hourly ad costs'!V5=-9999,'Summary, PPI''s'!V5="."),".",(('Summary, hourly ad costs'!F5/'Summary, hourly ad costs'!V5)*100/('Summary, hourly ad costs'!F$11/'Summary, hourly ad costs'!V$11))/('Summary, PPI''s'!V5))</f>
        <v>0.50789341763989526</v>
      </c>
      <c r="BT5" s="4" t="str">
        <f>IF(OR('Summary, hourly ad costs'!W5=-9999,'Summary, PPI''s'!W5="."),".",(('Summary, hourly ad costs'!G5/'Summary, hourly ad costs'!W5)*100/('Summary, hourly ad costs'!G$11/'Summary, hourly ad costs'!W$11))/('Summary, PPI''s'!W5))</f>
        <v>.</v>
      </c>
      <c r="BU5" s="4">
        <f>IF(OR('Summary, hourly ad costs'!X5=-9999,'Summary, PPI''s'!X5="."),".",(('Summary, hourly ad costs'!H5/'Summary, hourly ad costs'!X5)*100/('Summary, hourly ad costs'!H$11/'Summary, hourly ad costs'!X$11))/('Summary, PPI''s'!X5))</f>
        <v>1.1531794533944753</v>
      </c>
      <c r="BV5" s="4">
        <f>IF(OR('Summary, hourly ad costs'!Y5=-9999,'Summary, PPI''s'!Y5="."),".",(('Summary, hourly ad costs'!I5/'Summary, hourly ad costs'!Y5)*100/('Summary, hourly ad costs'!I$11/'Summary, hourly ad costs'!Y$11))/('Summary, PPI''s'!Y5))</f>
        <v>0.95415664904576325</v>
      </c>
      <c r="BW5" s="4">
        <f>IF(OR('Summary, hourly ad costs'!Z5=-9999,'Summary, PPI''s'!Z5="."),".",(('Summary, hourly ad costs'!J5/'Summary, hourly ad costs'!Z5)*100/('Summary, hourly ad costs'!J$11/'Summary, hourly ad costs'!Z$11))/('Summary, PPI''s'!Z5))</f>
        <v>1.7891449221543372</v>
      </c>
      <c r="BX5" s="4">
        <f>IF(OR('Summary, hourly ad costs'!AA5=-9999,'Summary, PPI''s'!AA5="."),".",(('Summary, hourly ad costs'!K5/'Summary, hourly ad costs'!AA5)*100/('Summary, hourly ad costs'!K$11/'Summary, hourly ad costs'!AA$11))/('Summary, PPI''s'!AA5))</f>
        <v>1.1404263030027635</v>
      </c>
      <c r="BY5" s="4">
        <f>IF(OR('Summary, hourly ad costs'!AB5=-9999,'Summary, PPI''s'!AB5="."),".",(('Summary, hourly ad costs'!L5/'Summary, hourly ad costs'!AB5)*100/('Summary, hourly ad costs'!L$11/'Summary, hourly ad costs'!AB$11))/('Summary, PPI''s'!AB5))</f>
        <v>1.7945478072772223</v>
      </c>
      <c r="BZ5" s="4">
        <f>IF(OR('Summary, hourly ad costs'!AC5=-9999,'Summary, PPI''s'!AC5="."),".",(('Summary, hourly ad costs'!M5/'Summary, hourly ad costs'!AC5)*100/('Summary, hourly ad costs'!M$11/'Summary, hourly ad costs'!AC$11))/('Summary, PPI''s'!AC5))</f>
        <v>1.8250611062794526</v>
      </c>
      <c r="CA5" s="4" t="str">
        <f>IF(OR('Summary, hourly ad costs'!AD5=-9999,'Summary, PPI''s'!AD5="."),".",(('Summary, hourly ad costs'!N5/'Summary, hourly ad costs'!AD5)*100/('Summary, hourly ad costs'!N$11/'Summary, hourly ad costs'!AD$11))/('Summary, PPI''s'!AD5))</f>
        <v>.</v>
      </c>
      <c r="CB5" s="4" t="str">
        <f>IF(OR('Summary, hourly ad costs'!AE5=-9999,'Summary, PPI''s'!AE5="."),".",(('Summary, hourly ad costs'!O5/'Summary, hourly ad costs'!AE5)*100/('Summary, hourly ad costs'!O$11/'Summary, hourly ad costs'!AE$11))/('Summary, PPI''s'!AE5))</f>
        <v>.</v>
      </c>
      <c r="CC5" s="4" t="str">
        <f>IF(OR('Summary, hourly ad costs'!AF5=-9999,'Summary, PPI''s'!AF5="."),".",(('Summary, hourly ad costs'!P5/'Summary, hourly ad costs'!AF5)*100/('Summary, hourly ad costs'!P$11/'Summary, hourly ad costs'!AF$11))/('Summary, PPI''s'!AF5))</f>
        <v>.</v>
      </c>
      <c r="CE5" s="4">
        <f t="shared" si="1"/>
        <v>-5.0672303195769763E-2</v>
      </c>
      <c r="CF5" s="4" t="str">
        <f t="shared" si="2"/>
        <v>.</v>
      </c>
      <c r="CG5" s="4" t="str">
        <f t="shared" si="3"/>
        <v>.</v>
      </c>
      <c r="CH5" s="4">
        <f t="shared" si="4"/>
        <v>1.8914748303097362E-2</v>
      </c>
      <c r="CI5" s="4">
        <f t="shared" si="5"/>
        <v>-0.1962628433832786</v>
      </c>
      <c r="CJ5" s="4" t="str">
        <f t="shared" si="6"/>
        <v>.</v>
      </c>
      <c r="CK5" s="4">
        <f t="shared" si="7"/>
        <v>3.1966918883304274E-2</v>
      </c>
      <c r="CL5" s="4">
        <f t="shared" si="8"/>
        <v>1.1923589772085297E-2</v>
      </c>
      <c r="CM5" s="4">
        <f t="shared" si="9"/>
        <v>0.1954126806026073</v>
      </c>
      <c r="CN5" s="4">
        <f t="shared" si="10"/>
        <v>9.5621500551541061E-2</v>
      </c>
      <c r="CO5" s="4">
        <f t="shared" si="11"/>
        <v>9.9299311459828843E-2</v>
      </c>
      <c r="CP5" s="4">
        <f t="shared" si="12"/>
        <v>-6.5568116489500561E-3</v>
      </c>
      <c r="CQ5" s="4" t="str">
        <f t="shared" si="13"/>
        <v>.</v>
      </c>
      <c r="CR5" s="4" t="str">
        <f t="shared" si="14"/>
        <v>.</v>
      </c>
      <c r="CS5" s="4" t="str">
        <f t="shared" si="15"/>
        <v>.</v>
      </c>
      <c r="CU5" s="5">
        <f>IF(CU4=".", ".", IF('Summary, PPI''s'!R5=".",IF(OR('Summary, hourly ad costs'!R5=-9999,'Summary, hourly ad costs'!R5=0), ".", 'Predicted PPIs'!CU4*('Summary, hourly ad costs'!B5/'Summary, hourly ad costs'!R5)/('Summary, hourly ad costs'!B4/'Summary, hourly ad costs'!R4)/(1-CE4)), 'Summary, PPI''s'!R5))</f>
        <v>99.461189650573459</v>
      </c>
      <c r="CV5" s="5">
        <f>IF(CV4=".", ".", IF('Summary, PPI''s'!S5=".",IF(OR('Summary, hourly ad costs'!S5=-9999,'Summary, hourly ad costs'!S5=0), ".", 'Predicted PPIs'!CV4*('Summary, hourly ad costs'!C5/'Summary, hourly ad costs'!S5)/('Summary, hourly ad costs'!C4/'Summary, hourly ad costs'!S4)/(1-CF4)), 'Summary, PPI''s'!S5))</f>
        <v>99.461189650573459</v>
      </c>
      <c r="CW5" s="5">
        <f>IF(CW4=".", ".", IF('Summary, PPI''s'!T5=".",IF(OR('Summary, hourly ad costs'!T5=-9999,'Summary, hourly ad costs'!T5=0), ".", 'Predicted PPIs'!CW4*('Summary, hourly ad costs'!D5/'Summary, hourly ad costs'!T5)/('Summary, hourly ad costs'!D4/'Summary, hourly ad costs'!T4)/(1-CG4)), 'Summary, PPI''s'!T5))</f>
        <v>109.02501635878595</v>
      </c>
      <c r="CX5" s="5">
        <f>IF(CX4=".", ".", IF('Summary, PPI''s'!U5=".",IF(OR('Summary, hourly ad costs'!U5=-9999,'Summary, hourly ad costs'!U5=0), ".", 'Predicted PPIs'!CX4*('Summary, hourly ad costs'!E5/'Summary, hourly ad costs'!U5)/('Summary, hourly ad costs'!E4/'Summary, hourly ad costs'!U4)/(1-CH4)), 'Summary, PPI''s'!U5))</f>
        <v>97.977746752972024</v>
      </c>
      <c r="CY5" s="5">
        <f>IF(CY4=".", ".", IF('Summary, PPI''s'!V5=".",IF(OR('Summary, hourly ad costs'!V5=-9999,'Summary, hourly ad costs'!V5=0), ".", 'Predicted PPIs'!CY4*('Summary, hourly ad costs'!F5/'Summary, hourly ad costs'!V5)/('Summary, hourly ad costs'!F4/'Summary, hourly ad costs'!V4)/(1-CI4)), 'Summary, PPI''s'!V5))</f>
        <v>111.58408501173855</v>
      </c>
      <c r="CZ5" s="5">
        <f>IF(CZ4=".", ".", IF('Summary, PPI''s'!W5=".",IF(OR('Summary, hourly ad costs'!W5=-9999,'Summary, hourly ad costs'!W5=0), ".", 'Predicted PPIs'!CZ4*('Summary, hourly ad costs'!G5/'Summary, hourly ad costs'!W5)/('Summary, hourly ad costs'!G4/'Summary, hourly ad costs'!W4)/(1-CJ4)), 'Summary, PPI''s'!W5))</f>
        <v>93.974137172682759</v>
      </c>
      <c r="DA5" s="5">
        <f>IF(DA4=".", ".", IF('Summary, PPI''s'!X5=".",IF(OR('Summary, hourly ad costs'!X5=-9999,'Summary, hourly ad costs'!X5=0), ".", 'Predicted PPIs'!DA4*('Summary, hourly ad costs'!H5/'Summary, hourly ad costs'!X5)/('Summary, hourly ad costs'!H4/'Summary, hourly ad costs'!X4)/(1-CK4)), 'Summary, PPI''s'!X5))</f>
        <v>114.154</v>
      </c>
      <c r="DB5" s="5">
        <f>IF(DB4=".", ".", IF('Summary, PPI''s'!Y5=".",IF(OR('Summary, hourly ad costs'!Y5=-9999,'Summary, hourly ad costs'!Y5=0), ".", 'Predicted PPIs'!DB4*('Summary, hourly ad costs'!I5/'Summary, hourly ad costs'!Y5)/('Summary, hourly ad costs'!I4/'Summary, hourly ad costs'!Y4)/(1-CL4)), 'Summary, PPI''s'!Y5))</f>
        <v>98.391151332327809</v>
      </c>
      <c r="DC5" s="5">
        <f>IF(DC4=".", ".", IF('Summary, PPI''s'!Z5=".",IF(OR('Summary, hourly ad costs'!Z5=-9999,'Summary, hourly ad costs'!Z5=0), ".", 'Predicted PPIs'!DC4*('Summary, hourly ad costs'!J5/'Summary, hourly ad costs'!Z5)/('Summary, hourly ad costs'!J4/'Summary, hourly ad costs'!Z4)/(1-CM4)), 'Summary, PPI''s'!Z5))</f>
        <v>96.278183023872685</v>
      </c>
      <c r="DD5" s="5">
        <f>IF(DD4=".", ".", IF('Summary, PPI''s'!AA5=".",IF(OR('Summary, hourly ad costs'!AA5=-9999,'Summary, hourly ad costs'!AA5=0), ".", 'Predicted PPIs'!DD4*('Summary, hourly ad costs'!K5/'Summary, hourly ad costs'!AA5)/('Summary, hourly ad costs'!K4/'Summary, hourly ad costs'!AA4)/(1-CN4)), 'Summary, PPI''s'!AA5))</f>
        <v>97.444407567208756</v>
      </c>
      <c r="DE5" s="5">
        <f>IF(DE4=".", ".", IF('Summary, PPI''s'!AB5=".",IF(OR('Summary, hourly ad costs'!AB5=-9999,'Summary, hourly ad costs'!AB5=0), ".", 'Predicted PPIs'!DE4*('Summary, hourly ad costs'!L5/'Summary, hourly ad costs'!AB5)/('Summary, hourly ad costs'!L4/'Summary, hourly ad costs'!AB4)/(1-CO4)), 'Summary, PPI''s'!AB5))</f>
        <v>85.827067669172934</v>
      </c>
      <c r="DF5" s="5">
        <f>IF(DF4=".", ".", IF('Summary, PPI''s'!AC5=".",IF(OR('Summary, hourly ad costs'!AC5=-9999,'Summary, hourly ad costs'!AC5=0), ".", 'Predicted PPIs'!DF4*('Summary, hourly ad costs'!M5/'Summary, hourly ad costs'!AC5)/('Summary, hourly ad costs'!M4/'Summary, hourly ad costs'!AC4)/(1-CP4)), 'Summary, PPI''s'!AC5))</f>
        <v>51.987535792487783</v>
      </c>
      <c r="DG5" s="5">
        <f>IF(DG4=".", ".", IF('Summary, PPI''s'!AD5=".",IF(OR('Summary, hourly ad costs'!AD5=-9999,'Summary, hourly ad costs'!AD5=0), ".", 'Predicted PPIs'!DG4*('Summary, hourly ad costs'!N5/'Summary, hourly ad costs'!AD5)/('Summary, hourly ad costs'!N4/'Summary, hourly ad costs'!AD4)/(1-CQ4)), 'Summary, PPI''s'!AD5))</f>
        <v>107.28820066547225</v>
      </c>
      <c r="DH5" s="5">
        <f>IF(DH4=".", ".", IF('Summary, PPI''s'!AE5=".",IF(OR('Summary, hourly ad costs'!AE5=-9999,'Summary, hourly ad costs'!AE5=0), ".", 'Predicted PPIs'!DH4*('Summary, hourly ad costs'!O5/'Summary, hourly ad costs'!AE5)/('Summary, hourly ad costs'!O4/'Summary, hourly ad costs'!AE4)/(1-CR4)), 'Summary, PPI''s'!AE5))</f>
        <v>116.837</v>
      </c>
      <c r="DI5" s="5">
        <f>IF(DI4=".", ".", IF('Summary, PPI''s'!AF5=".",IF(OR('Summary, hourly ad costs'!AF5=-9999,'Summary, hourly ad costs'!AF5=0), ".", 'Predicted PPIs'!DI4*('Summary, hourly ad costs'!P5/'Summary, hourly ad costs'!AF5)/('Summary, hourly ad costs'!P4/'Summary, hourly ad costs'!AF4)/(1-CS4)), 'Summary, PPI''s'!AF5))</f>
        <v>114.127</v>
      </c>
      <c r="DK5" s="4">
        <v>119.15300000000001</v>
      </c>
      <c r="DM5" s="5">
        <f t="shared" si="16"/>
        <v>-3.9751562358719905E-2</v>
      </c>
      <c r="DN5" s="5">
        <f t="shared" si="17"/>
        <v>-3.9751562358719905E-2</v>
      </c>
      <c r="DO5" s="5">
        <f t="shared" si="18"/>
        <v>-9.4230536354281691E-3</v>
      </c>
      <c r="DP5" s="5">
        <f t="shared" si="19"/>
        <v>-6.5412775639405285E-2</v>
      </c>
      <c r="DQ5" s="5">
        <f t="shared" si="20"/>
        <v>-2.7679637881944275E-2</v>
      </c>
      <c r="DR5" s="5">
        <f t="shared" si="21"/>
        <v>-5.026148546467446E-2</v>
      </c>
      <c r="DS5" s="5">
        <f t="shared" si="22"/>
        <v>-1.8061150583015606E-2</v>
      </c>
      <c r="DT5" s="5">
        <f t="shared" si="23"/>
        <v>-2.4763046354716822E-2</v>
      </c>
      <c r="DU5" s="5">
        <f t="shared" si="24"/>
        <v>-2.6315730674683624E-2</v>
      </c>
      <c r="DV5" s="5">
        <f t="shared" si="25"/>
        <v>-7.9875746163409089E-2</v>
      </c>
      <c r="DW5" s="5">
        <f t="shared" si="26"/>
        <v>-4.8986694918547791E-2</v>
      </c>
      <c r="DX5" s="5">
        <f t="shared" si="27"/>
        <v>-0.24595485462934852</v>
      </c>
      <c r="DY5" s="5">
        <f t="shared" si="28"/>
        <v>-3.5059316961366438E-2</v>
      </c>
      <c r="DZ5" s="5">
        <f t="shared" si="29"/>
        <v>-2.3339779117605763E-2</v>
      </c>
      <c r="EA5" s="5">
        <f t="shared" si="30"/>
        <v>-1.4910818404919479E-2</v>
      </c>
      <c r="EC5" s="1">
        <f t="shared" si="35"/>
        <v>99.461189650573459</v>
      </c>
      <c r="ED5" s="1">
        <f t="shared" si="36"/>
        <v>99.461189650573459</v>
      </c>
      <c r="EE5" s="1">
        <f t="shared" si="37"/>
        <v>109.02501635878595</v>
      </c>
      <c r="EF5" s="1">
        <f t="shared" si="38"/>
        <v>97.977746752972024</v>
      </c>
      <c r="EG5" s="1">
        <f t="shared" si="39"/>
        <v>111.58408501173855</v>
      </c>
      <c r="EH5" s="1">
        <f t="shared" si="40"/>
        <v>93.974137172682759</v>
      </c>
      <c r="EI5" s="1">
        <f t="shared" si="41"/>
        <v>114.154</v>
      </c>
      <c r="EJ5" s="1">
        <f t="shared" si="42"/>
        <v>98.391151332327809</v>
      </c>
      <c r="EK5" s="1">
        <f t="shared" si="43"/>
        <v>96.278183023872685</v>
      </c>
      <c r="EL5" s="1">
        <f t="shared" si="44"/>
        <v>97.444407567208756</v>
      </c>
      <c r="EM5" s="1">
        <f t="shared" si="45"/>
        <v>85.827067669172934</v>
      </c>
      <c r="EN5" s="1">
        <f t="shared" si="46"/>
        <v>51.987535792487783</v>
      </c>
      <c r="EO5" s="1">
        <f t="shared" si="47"/>
        <v>107.28820066547225</v>
      </c>
      <c r="EP5" s="1">
        <f t="shared" si="48"/>
        <v>116.837</v>
      </c>
      <c r="EQ5" s="1">
        <f t="shared" si="49"/>
        <v>114.127</v>
      </c>
      <c r="ES5" s="1">
        <f>IF(EF$26=".", 0, 'Summary, PPI''s'!E5)+IF(EG$26=".", 0, 'Summary, PPI''s'!F5)+IF(EH$26=".", 0, 'Summary, PPI''s'!G5)+IF(EI$26=".", 0, 'Summary, PPI''s'!H5)+IF(EJ$26=".", 0, 'Summary, PPI''s'!I5)+IF(EK$26=".", 0, 'Summary, PPI''s'!J5)+IF(EL$26=".", 0, 'Summary, PPI''s'!K5)+IF(EM$26=".", 0, 'Summary, PPI''s'!L5)+IF(EN$26=".", 0, 'Summary, PPI''s'!M5)+IF(EC$26=".", 0, 'Summary, PPI''s'!B5)+IF(ED$26=".", 0, 'Summary, PPI''s'!C5)+IF(EE$26=".", 0, 'Summary, PPI''s'!D5)+IF(EO$26=".", 0, 'Summary, PPI''s'!N5)+IF(EP$26=".", 0, 'Summary, PPI''s'!O5)+IF(EQ$26=".", 0, 'Summary, PPI''s'!P5)</f>
        <v>454516804.50967699</v>
      </c>
      <c r="ET5" s="1">
        <f>'Summary, hourly ad costs'!E5+'Summary, hourly ad costs'!F5+'Summary, hourly ad costs'!H5+'Summary, hourly ad costs'!I5+'Summary, hourly ad costs'!J5+'Summary, hourly ad costs'!K5+'Summary, hourly ad costs'!L5+'Summary, hourly ad costs'!M5+'Summary, hourly ad costs'!B5</f>
        <v>262129325.62671956</v>
      </c>
      <c r="EV5" s="13">
        <f>EV4*IF(EF$26=".", 1, (EF5/EF4)^(('Summary, PPI''s'!$E5+'Summary, PPI''s'!$E4)/('Predicted PPIs'!ES5+'Predicted PPIs'!ES4)))*IF(EG$26=".", 1, (EG5/EG4)^(('Summary, PPI''s'!$F5+'Summary, PPI''s'!$F4)/('Predicted PPIs'!ES5+'Predicted PPIs'!ES4)))*IF(EH$26=".", 1, (EH5/EH4)^(('Summary, PPI''s'!$G5+'Summary, PPI''s'!$G4)/('Predicted PPIs'!ES5+'Predicted PPIs'!ES4)))*IF(EI$26=".", 1, (EI5/EI4)^(('Summary, PPI''s'!$H5+'Summary, PPI''s'!$H4)/('Predicted PPIs'!ES5+'Predicted PPIs'!ES4)))*IF(EJ$26=".", 1, (EJ5/EJ4)^(('Summary, PPI''s'!$I5+'Summary, PPI''s'!$I4)/('Predicted PPIs'!ES5+'Predicted PPIs'!ES4)))*IF(EK$26=".", 1, (EK5/EK4)^(('Summary, PPI''s'!$J5+'Summary, PPI''s'!$J4)/('Predicted PPIs'!ES5+'Predicted PPIs'!ES4)))*IF(EL$26=".", 1, (EL5/EL4)^(('Summary, PPI''s'!$K5+'Summary, PPI''s'!$K4)/('Predicted PPIs'!ES5+'Predicted PPIs'!ES4)))*IF(EM$26=".", 1, (EM5/EM4)^(('Summary, PPI''s'!$L5+'Summary, PPI''s'!$L4)/('Predicted PPIs'!ES5+'Predicted PPIs'!ES4)))*IF(EN$26=".", 1, (EN5/EN4)^(('Summary, PPI''s'!$M5+'Summary, PPI''s'!$M4)/('Predicted PPIs'!ES5+'Predicted PPIs'!ES4)))*IF(EC$26=".", 1, (EC5/EC4)^(('Summary, PPI''s'!$B5+'Summary, PPI''s'!$B4)/('Predicted PPIs'!ES5+'Predicted PPIs'!ES4)))*IF(ED$26=".", 1, (ED5/ED4)^(('Summary, PPI''s'!$C5+'Summary, PPI''s'!$C4)/('Predicted PPIs'!ES5+'Predicted PPIs'!ES4)))*IF(EE$26=".", 1, (EE5/EE4)^(('Summary, PPI''s'!$D5+'Summary, PPI''s'!$D4)/('Predicted PPIs'!ES5+'Predicted PPIs'!ES4)))*IF(EO$26=".", 1, (EO5/EO4)^(('Summary, PPI''s'!$N5+'Summary, PPI''s'!$N4)/('Predicted PPIs'!ES5+'Predicted PPIs'!ES4)))*IF(EP$26=".", 1, (EP5/EP4)^(('Summary, PPI''s'!$O5+'Summary, PPI''s'!$O4)/('Predicted PPIs'!ES5+'Predicted PPIs'!ES4)))*IF(EQ$26=".", 1, (EQ5/EQ4)^(('Summary, PPI''s'!$P5+'Summary, PPI''s'!$P4)/('Predicted PPIs'!ES5+'Predicted PPIs'!ES4)))</f>
        <v>102.24375906444583</v>
      </c>
      <c r="EW5" s="13">
        <f>EW4*IF(EF$26=".", 1, (EF5/EF4)^(('Summary, PPI''s'!$E5+'Summary, PPI''s'!$E4)/('Predicted PPIs'!ET5+'Predicted PPIs'!ET4)))*IF(EG$26=".", 1, (EG5/EG4)^(('Summary, PPI''s'!$F5+'Summary, PPI''s'!$F4)/('Predicted PPIs'!ET5+'Predicted PPIs'!ET4)))*IF(EH$26=".", 1, (EH5/EH4)^(('Summary, PPI''s'!$G5+'Summary, PPI''s'!$G4)/('Predicted PPIs'!ET5+'Predicted PPIs'!ET4)))*IF(EK$26=".", 1, (EK5/EK4)^(('Summary, PPI''s'!$J5+'Summary, PPI''s'!$J4)/('Predicted PPIs'!ET5+'Predicted PPIs'!ET4)))*IF(EL$26=".", 1, (EL5/EL4)^(('Summary, PPI''s'!$K5+'Summary, PPI''s'!$K4)/('Predicted PPIs'!ET5+'Predicted PPIs'!ET4)))*IF(EM$26=".", 1, (EM5/EM4)^(('Summary, PPI''s'!$L5+'Summary, PPI''s'!$L4)/('Predicted PPIs'!ET5+'Predicted PPIs'!ET4)))*IF(EN$26=".", 1, (EN5/EN4)^(('Summary, PPI''s'!$M5+'Summary, PPI''s'!$M4)/('Predicted PPIs'!ET5+'Predicted PPIs'!ET4)))*IF(EC$26=".", 1, (EC5/EC4)^(('Summary, PPI''s'!$B5+'Summary, PPI''s'!$B4)/('Predicted PPIs'!ET5+'Predicted PPIs'!ET4)))</f>
        <v>103.80466480350927</v>
      </c>
      <c r="EY5" s="2"/>
    </row>
    <row r="6" spans="1:155" x14ac:dyDescent="0.3">
      <c r="A6" s="4">
        <v>2017</v>
      </c>
      <c r="B6" s="10">
        <f>IF(B5=".", ".", IF('Summary, PPI''s'!R6=".",IF(OR('Summary, hourly ad costs'!R6=-9999,'Summary, hourly ad costs'!R6=0), ".", 'Predicted PPIs'!B5*('Summary, hourly ad costs'!B6/'Summary, hourly ad costs'!R6)/('Summary, hourly ad costs'!B5/'Summary, hourly ad costs'!R5)), 'Summary, PPI''s'!R6))</f>
        <v>99.637236596425694</v>
      </c>
      <c r="C6" s="10">
        <f>IF(C5=".", ".", IF('Summary, PPI''s'!S6=".",IF(OR('Summary, hourly ad costs'!S6=-9999,'Summary, hourly ad costs'!S6=0), ".", 'Predicted PPIs'!C5*('Summary, hourly ad costs'!C6/'Summary, hourly ad costs'!S6)/('Summary, hourly ad costs'!C5/'Summary, hourly ad costs'!S5)), 'Summary, PPI''s'!S6))</f>
        <v>99.637236596425694</v>
      </c>
      <c r="D6" s="10">
        <f>IF(D5=".", ".", IF('Summary, PPI''s'!T6=".",IF(OR('Summary, hourly ad costs'!T6=-9999,'Summary, hourly ad costs'!T6=0), ".", 'Predicted PPIs'!D5*('Summary, hourly ad costs'!D6/'Summary, hourly ad costs'!T6)/('Summary, hourly ad costs'!D5/'Summary, hourly ad costs'!T5)), 'Summary, PPI''s'!T6))</f>
        <v>105.87406251572959</v>
      </c>
      <c r="E6" s="10">
        <f>IF(E5=".", ".", IF('Summary, PPI''s'!U6=".",IF(OR('Summary, hourly ad costs'!U6=-9999,'Summary, hourly ad costs'!U6=0), ".", 'Predicted PPIs'!E5*('Summary, hourly ad costs'!E6/'Summary, hourly ad costs'!U6)/('Summary, hourly ad costs'!E5/'Summary, hourly ad costs'!U5)), 'Summary, PPI''s'!U6))</f>
        <v>100.84613106570207</v>
      </c>
      <c r="F6" s="10">
        <f>IF(F5=".", ".", IF('Summary, PPI''s'!V6=".",IF(OR('Summary, hourly ad costs'!V6=-9999,'Summary, hourly ad costs'!V6=0), ".", 'Predicted PPIs'!F5*('Summary, hourly ad costs'!F6/'Summary, hourly ad costs'!V6)/('Summary, hourly ad costs'!F5/'Summary, hourly ad costs'!V5)), 'Summary, PPI''s'!V6))</f>
        <v>110.39375592075454</v>
      </c>
      <c r="G6" s="10">
        <f>IF(G5=".", ".", IF('Summary, PPI''s'!W6=".",IF(OR('Summary, hourly ad costs'!W6=-9999,'Summary, hourly ad costs'!W6=0), ".", 'Predicted PPIs'!G5*('Summary, hourly ad costs'!G6/'Summary, hourly ad costs'!W6)/('Summary, hourly ad costs'!G5/'Summary, hourly ad costs'!W5)), 'Summary, PPI''s'!W6))</f>
        <v>95.182242031492805</v>
      </c>
      <c r="H6" s="10">
        <f>IF(H5=".", ".", IF('Summary, PPI''s'!X6=".",IF(OR('Summary, hourly ad costs'!X6=-9999,'Summary, hourly ad costs'!X6=0), ".", 'Predicted PPIs'!H5*('Summary, hourly ad costs'!H6/'Summary, hourly ad costs'!X6)/('Summary, hourly ad costs'!H5/'Summary, hourly ad costs'!X5)), 'Summary, PPI''s'!X6))</f>
        <v>111.83</v>
      </c>
      <c r="I6" s="10">
        <f>IF(I5=".", ".", IF('Summary, PPI''s'!Y6=".",IF(OR('Summary, hourly ad costs'!Y6=-9999,'Summary, hourly ad costs'!Y6=0), ".", 'Predicted PPIs'!I5*('Summary, hourly ad costs'!I6/'Summary, hourly ad costs'!Y6)/('Summary, hourly ad costs'!I5/'Summary, hourly ad costs'!Y5)), 'Summary, PPI''s'!Y6))</f>
        <v>97.050444109267644</v>
      </c>
      <c r="J6" s="10">
        <f>IF(J5=".", ".", IF('Summary, PPI''s'!Z6=".",IF(OR('Summary, hourly ad costs'!Z6=-9999,'Summary, hourly ad costs'!Z6=0), ".", 'Predicted PPIs'!J5*('Summary, hourly ad costs'!J6/'Summary, hourly ad costs'!Z6)/('Summary, hourly ad costs'!J5/'Summary, hourly ad costs'!Z5)), 'Summary, PPI''s'!Z6))</f>
        <v>95.117705570291747</v>
      </c>
      <c r="K6" s="10">
        <f>IF(K5=".", ".", IF('Summary, PPI''s'!AA6=".",IF(OR('Summary, hourly ad costs'!AA6=-9999,'Summary, hourly ad costs'!AA6=0), ".", 'Predicted PPIs'!K5*('Summary, hourly ad costs'!K6/'Summary, hourly ad costs'!AA6)/('Summary, hourly ad costs'!K5/'Summary, hourly ad costs'!AA5)), 'Summary, PPI''s'!AA6))</f>
        <v>101.87369882026368</v>
      </c>
      <c r="L6" s="10">
        <f>IF(L5=".", ".", IF('Summary, PPI''s'!AB6=".",IF(OR('Summary, hourly ad costs'!AB6=-9999,'Summary, hourly ad costs'!AB6=0), ".", 'Predicted PPIs'!L5*('Summary, hourly ad costs'!L6/'Summary, hourly ad costs'!AB6)/('Summary, hourly ad costs'!L5/'Summary, hourly ad costs'!AB5)), 'Summary, PPI''s'!AB6))</f>
        <v>86.81390977443607</v>
      </c>
      <c r="M6" s="10">
        <f>IF(M5=".", ".", IF('Summary, PPI''s'!AC6=".",IF(OR('Summary, hourly ad costs'!AC6=-9999,'Summary, hourly ad costs'!AC6=0), ".", 'Predicted PPIs'!M5*('Summary, hourly ad costs'!M6/'Summary, hourly ad costs'!AC6)/('Summary, hourly ad costs'!M5/'Summary, hourly ad costs'!AC5)), 'Summary, PPI''s'!AC6))</f>
        <v>66.321374431531055</v>
      </c>
      <c r="N6" s="10">
        <f>IF(N5=".", ".", IF('Summary, PPI''s'!AD6=".",IF(OR('Summary, hourly ad costs'!AD6=-9999,'Summary, hourly ad costs'!AD6=0), ".", 'Predicted PPIs'!N5*('Summary, hourly ad costs'!N6/'Summary, hourly ad costs'!AD6)/('Summary, hourly ad costs'!N5/'Summary, hourly ad costs'!AD5)), 'Summary, PPI''s'!AD6))</f>
        <v>106.95546455080625</v>
      </c>
      <c r="O6" s="10">
        <f>IF(O5=".", ".", IF('Summary, PPI''s'!AE6=".",IF(OR('Summary, hourly ad costs'!AE6=-9999,'Summary, hourly ad costs'!AE6=0), ".", 'Predicted PPIs'!O5*('Summary, hourly ad costs'!O6/'Summary, hourly ad costs'!AE6)/('Summary, hourly ad costs'!O5/'Summary, hourly ad costs'!AE5)), 'Summary, PPI''s'!AE6))</f>
        <v>115.077</v>
      </c>
      <c r="P6" s="10">
        <f>IF(P5=".", ".", IF('Summary, PPI''s'!AF6=".",IF(OR('Summary, hourly ad costs'!AF6=-9999,'Summary, hourly ad costs'!AF6=0), ".", 'Predicted PPIs'!P5*('Summary, hourly ad costs'!P6/'Summary, hourly ad costs'!AF6)/('Summary, hourly ad costs'!P5/'Summary, hourly ad costs'!AF5)), 'Summary, PPI''s'!AF6))</f>
        <v>111.446</v>
      </c>
      <c r="R6" s="1">
        <f>IF(E$26=".", 0, 'Summary, PPI''s'!E6)+IF(F$26=".", 0, 'Summary, PPI''s'!F6)+IF(G$26=".", 0, 'Summary, PPI''s'!G6)+IF(H$26=".", 0, 'Summary, PPI''s'!H6)+IF(I$26=".", 0, 'Summary, PPI''s'!I6)+IF(J$26=".", 0, 'Summary, PPI''s'!J6)+IF(K$26=".", 0, 'Summary, PPI''s'!K6)+IF(L$26=".", 0, 'Summary, PPI''s'!L6)+IF(M$26=".", 0, 'Summary, PPI''s'!M6)+IF(B$26=".", 0, 'Summary, PPI''s'!B6)+IF(C$26=".", 0, 'Summary, PPI''s'!C6)+IF(D$26=".", 0, 'Summary, PPI''s'!D6)+IF(N$26=".", 0, 'Summary, PPI''s'!N6)+IF(O$26=".", 0, 'Summary, PPI''s'!O6)+IF(P$26=".", 0, 'Summary, PPI''s'!P6)</f>
        <v>420779995.06418628</v>
      </c>
      <c r="S6" s="1">
        <f>IF(E$36=".", 0, 'Summary, PPI''s'!E6)+IF(F$36=".", 0, 'Summary, PPI''s'!F6)+IF(G$36=".", 0, 'Summary, PPI''s'!G6)+IF(H$36=".", 0, 'Summary, PPI''s'!H6)+IF(I$36=".", 0, 'Summary, PPI''s'!I6)+IF(J$36=".", 0, 'Summary, PPI''s'!J6)+IF(K$36=".", 0, 'Summary, PPI''s'!K6)+IF(L$36=".", 0, 'Summary, PPI''s'!L6)+IF(M$36=".", 0, 'Summary, PPI''s'!M6)+IF(B$36=".", 0, 'Summary, PPI''s'!B6)+IF(C$36=".", 0, 'Summary, PPI''s'!C6)+IF(D$36=".", 0, 'Summary, PPI''s'!D6)+IF(N$36=".", 0, 'Summary, PPI''s'!N6)+IF(O$36=".", 0, 'Summary, PPI''s'!O6)+IF(P$36=".", 0, 'Summary, PPI''s'!P6)</f>
        <v>310047329.37505537</v>
      </c>
      <c r="T6" s="1">
        <f>IF(E$46=".", 0, 'Summary, PPI''s'!E6)+IF(F$46=".", 0, 'Summary, PPI''s'!F6)+IF(G$46=".", 0, 'Summary, PPI''s'!G6)+IF(H$46=".", 0, 'Summary, PPI''s'!H6)+IF(I$46=".", 0, 'Summary, PPI''s'!I6)+IF(J$46=".", 0, 'Summary, PPI''s'!J6)+IF(K$46=".", 0, 'Summary, PPI''s'!K6)+IF(L$46=".", 0, 'Summary, PPI''s'!L6)+IF(M$46=".", 0, 'Summary, PPI''s'!M6)+IF(B$46=".", 0, 'Summary, PPI''s'!B6)+IF(C$46=".", 0, 'Summary, PPI''s'!C6)+IF(D$46=".", 0, 'Summary, PPI''s'!D6)+IF(N$46=".", 0, 'Summary, PPI''s'!N6)+IF(O$46=".", 0, 'Summary, PPI''s'!O6)+IF(P$46=".", 0, 'Summary, PPI''s'!P6)</f>
        <v>166449653.47500041</v>
      </c>
      <c r="U6" s="1">
        <f>IF(E$60=".", 0, 'Summary, PPI''s'!E6)+IF(F$60=".", 0, 'Summary, PPI''s'!F6)+IF(G$60=".", 0, 'Summary, PPI''s'!G6)+IF(H$60=".", 0, 'Summary, PPI''s'!H6)+IF(I$60=".", 0, 'Summary, PPI''s'!I6)+IF(J$60=".", 0, 'Summary, PPI''s'!J6)+IF(K$60=".", 0, 'Summary, PPI''s'!K6)+IF(L$60=".", 0, 'Summary, PPI''s'!L6)+IF(M$60=".", 0, 'Summary, PPI''s'!M6)+IF(B$60=".", 0, 'Summary, PPI''s'!B6)+IF(C$60=".", 0, 'Summary, PPI''s'!C6)+IF(D$60=".", 0, 'Summary, PPI''s'!D6)+IF(N$60=".", 0, 'Summary, PPI''s'!N6)+IF(O$60=".", 0, 'Summary, PPI''s'!O6)+IF(P$60=".", 0, 'Summary, PPI''s'!P6)</f>
        <v>90853096.04643552</v>
      </c>
      <c r="V6" s="1">
        <f>IF(E$73=".", 0, 'Summary, PPI''s'!E6)+IF(F$73=".", 0, 'Summary, PPI''s'!F6)+IF(G$73=".", 0, 'Summary, PPI''s'!G6)+IF(H$73=".", 0, 'Summary, PPI''s'!H6)+IF(I$73=".", 0, 'Summary, PPI''s'!I6)+IF(J$73=".", 0, 'Summary, PPI''s'!J6)+IF(K$73=".", 0, 'Summary, PPI''s'!K6)+IF(L$73=".", 0, 'Summary, PPI''s'!L6)+IF(M$73=".", 0, 'Summary, PPI''s'!M6)+IF(B$73=".", 0, 'Summary, PPI''s'!B6)+IF(C$73=".", 0, 'Summary, PPI''s'!C6)+IF(D$73=".", 0, 'Summary, PPI''s'!D6)+IF(N$73=".", 0, 'Summary, PPI''s'!N6)+IF(O$73=".", 0, 'Summary, PPI''s'!O6)+IF(P$73=".", 0, 'Summary, PPI''s'!P6)</f>
        <v>80068721.682546645</v>
      </c>
      <c r="W6" s="1">
        <f>IF(E$94=".",0,'Summary, PPI''s'!E6)+IF(F$94=".",0,'Summary, PPI''s'!F6)+IF(G$94=".",0,'Summary, PPI''s'!G6)+IF(H$94=".",0,'Summary, PPI''s'!H6)+IF(I$94=".",0,'Summary, PPI''s'!I6)+IF(J$94=".",0,'Summary, PPI''s'!J6)+IF(K$94=".",0,'Summary, PPI''s'!K6)+IF(L$94=".",0,'Summary, PPI''s'!L6)+IF(M$94=".",0,'Summary, PPI''s'!M6)+IF(B$94=".",0,'Summary, PPI''s'!B6)+IF(C$94=".",0,'Summary, PPI''s'!C6)+IF(D$94=".",0,'Summary, PPI''s'!D6)+IF(N$94=".",0,'Summary, PPI''s'!N6)+IF(O$94=".",0,'Summary, PPI''s'!O6)+IF(P$94=".",0,'Summary, PPI''s'!P6)</f>
        <v>42205564.494564936</v>
      </c>
      <c r="X6" s="1">
        <f>IF(E$123=".", 0, 'Summary, PPI''s'!E6)+IF(F$123=".", 0, 'Summary, PPI''s'!F6)+IF(G$123=".", 0, 'Summary, PPI''s'!G6)+IF(H$123=".", 0, 'Summary, PPI''s'!H6)+IF(I$123=".", 0, 'Summary, PPI''s'!I6)+IF(J$123=".", 0, 'Summary, PPI''s'!J6)+IF(K$123=".", 0, 'Summary, PPI''s'!K6)+IF(L$123=".", 0, 'Summary, PPI''s'!L6)+IF(M$123=".", 0, 'Summary, PPI''s'!M6)+IF(B$123=".", 0, 'Summary, PPI''s'!B6)+IF(C$123=".", 0, 'Summary, PPI''s'!C6)+IF(D$123=".", 0, 'Summary, PPI''s'!D6)+IF(N$123=".", 0, 'Summary, PPI''s'!N6)+IF(O$123=".", 0, 'Summary, PPI''s'!O6)+IF(P$123=".", 0, 'Summary, PPI''s'!P6)</f>
        <v>29715225.215257801</v>
      </c>
      <c r="Z6" s="4">
        <f>Z5*IF(E$26=".", 1, (E6/E5)^(('Summary, PPI''s'!$E6+'Summary, PPI''s'!$E5)/('Predicted PPIs'!R6+'Predicted PPIs'!R5)))*IF(F$26=".", 1, (F6/F5)^(('Summary, PPI''s'!$F6+'Summary, PPI''s'!$F5)/('Predicted PPIs'!R6+'Predicted PPIs'!R5)))*IF(G$26=".", 1, (G6/G5)^(('Summary, PPI''s'!$G6+'Summary, PPI''s'!$G5)/('Predicted PPIs'!R6+'Predicted PPIs'!R5)))*IF(H$26=".", 1, (H6/H5)^(('Summary, PPI''s'!$H6+'Summary, PPI''s'!$H5)/('Predicted PPIs'!R6+'Predicted PPIs'!R5)))*IF(I$26=".", 1, (I6/I5)^(('Summary, PPI''s'!$I6+'Summary, PPI''s'!$I5)/('Predicted PPIs'!R6+'Predicted PPIs'!R5)))*IF(J$26=".", 1, (J6/J5)^(('Summary, PPI''s'!$J6+'Summary, PPI''s'!$J5)/('Predicted PPIs'!R6+'Predicted PPIs'!R5)))*IF(K$26=".", 1, (K6/K5)^(('Summary, PPI''s'!$K6+'Summary, PPI''s'!$K5)/('Predicted PPIs'!R6+'Predicted PPIs'!R5)))*IF(L$26=".", 1, (L6/L5)^(('Summary, PPI''s'!$L6+'Summary, PPI''s'!$L5)/('Predicted PPIs'!R6+'Predicted PPIs'!R5)))*IF(M$26=".", 1, (M6/M5)^(('Summary, PPI''s'!$M6+'Summary, PPI''s'!$M5)/('Predicted PPIs'!R6+'Predicted PPIs'!R5)))*IF(B$26=".", 1, (B6/B5)^(('Summary, PPI''s'!$B6+'Summary, PPI''s'!$B5)/('Predicted PPIs'!R6+'Predicted PPIs'!R5)))*IF(C$26=".", 1, (C6/C5)^(('Summary, PPI''s'!$C6+'Summary, PPI''s'!$C5)/('Predicted PPIs'!R6+'Predicted PPIs'!R5)))*IF(D$26=".", 1, (D6/D5)^(('Summary, PPI''s'!$D6+'Summary, PPI''s'!$D5)/('Predicted PPIs'!R6+'Predicted PPIs'!R5)))*IF(N$26=".", 1, (N6/N5)^(('Summary, PPI''s'!$N6+'Summary, PPI''s'!$N5)/('Predicted PPIs'!R6+'Predicted PPIs'!R5)))*IF(O$26=".", 1, (O6/O5)^(('Summary, PPI''s'!$O6+'Summary, PPI''s'!$O5)/('Predicted PPIs'!R6+'Predicted PPIs'!R5)))*IF(P$26=".", 1, (P6/P5)^(('Summary, PPI''s'!$P6+'Summary, PPI''s'!$P5)/('Predicted PPIs'!R6+'Predicted PPIs'!R5)))</f>
        <v>105.70496619745568</v>
      </c>
      <c r="AA6" s="4">
        <f>AA5*IF(E$36=".", 1, (E6/E5)^(('Summary, PPI''s'!$E6+'Summary, PPI''s'!$E5)/('Predicted PPIs'!S6+'Predicted PPIs'!S5)))*IF(F$36=".", 1, (F6/F5)^(('Summary, PPI''s'!$F6+'Summary, PPI''s'!$F5)/('Predicted PPIs'!S6+'Predicted PPIs'!S5)))*IF(G$36=".", 1, (G6/G5)^(('Summary, PPI''s'!$G6+'Summary, PPI''s'!$G5)/('Predicted PPIs'!S6+'Predicted PPIs'!S5)))*IF(H$36=".", 1, (H6/H5)^(('Summary, PPI''s'!$H6+'Summary, PPI''s'!$H5)/('Predicted PPIs'!S6+'Predicted PPIs'!S5)))*IF(I$36=".", 1, (I6/I5)^(('Summary, PPI''s'!$I6+'Summary, PPI''s'!$I5)/('Predicted PPIs'!S6+'Predicted PPIs'!S5)))*IF(J$36=".", 1, (J6/J5)^(('Summary, PPI''s'!$J6+'Summary, PPI''s'!$J5)/('Predicted PPIs'!S6+'Predicted PPIs'!S5)))*IF(K$36=".", 1, (K6/K5)^(('Summary, PPI''s'!$K6+'Summary, PPI''s'!$K5)/('Predicted PPIs'!S6+'Predicted PPIs'!S5)))*IF(L$36=".", 1, (L6/L5)^(('Summary, PPI''s'!$L6+'Summary, PPI''s'!$L5)/('Predicted PPIs'!S6+'Predicted PPIs'!S5)))*IF(M$36=".", 1, (M6/M5)^(('Summary, PPI''s'!$M6+'Summary, PPI''s'!$M5)/('Predicted PPIs'!S6+'Predicted PPIs'!S5)))*IF(B$36=".", 1, (B6/B5)^(('Summary, PPI''s'!$B6+'Summary, PPI''s'!$B5)/('Predicted PPIs'!S6+'Predicted PPIs'!S5)))*IF(C$36=".", 1, (C6/C5)^(('Summary, PPI''s'!$C6+'Summary, PPI''s'!$C5)/('Predicted PPIs'!S6+'Predicted PPIs'!S5)))*IF(D$36=".", 1, (D6/D5)^(('Summary, PPI''s'!$D6+'Summary, PPI''s'!$D5)/('Predicted PPIs'!S6+'Predicted PPIs'!S5)))*IF(N$36=".", 1, (N6/N5)^(('Summary, PPI''s'!$N6+'Summary, PPI''s'!$N5)/('Predicted PPIs'!S6+'Predicted PPIs'!S5)))*IF(O$36=".", 1, (O6/O5)^(('Summary, PPI''s'!$O6+'Summary, PPI''s'!$O5)/('Predicted PPIs'!S6+'Predicted PPIs'!S5)))*IF(P$36=".", 1, (P6/P5)^(('Summary, PPI''s'!$P6+'Summary, PPI''s'!$P5)/('Predicted PPIs'!S6+'Predicted PPIs'!S5)))</f>
        <v>101.1225234488586</v>
      </c>
      <c r="AB6" s="4">
        <f>AB5*IF(E$46=".", 1, (E6/E5)^(('Summary, PPI''s'!$E6+'Summary, PPI''s'!$E5)/('Predicted PPIs'!T6+'Predicted PPIs'!T5)))*IF(F$46=".", 1, (F6/F5)^(('Summary, PPI''s'!$F6+'Summary, PPI''s'!$F5)/('Predicted PPIs'!T6+'Predicted PPIs'!T5)))*IF(G$46=".", 1, (G6/G5)^(('Summary, PPI''s'!$G6+'Summary, PPI''s'!$G5)/('Predicted PPIs'!T6+'Predicted PPIs'!T5)))*IF(H$46=".", 1, (H6/H5)^(('Summary, PPI''s'!$H6+'Summary, PPI''s'!$H5)/('Predicted PPIs'!T6+'Predicted PPIs'!T5)))*IF(I$46=".", 1, (I6/I5)^(('Summary, PPI''s'!$I6+'Summary, PPI''s'!$I5)/('Predicted PPIs'!T6+'Predicted PPIs'!T5)))*IF(J$46=".", 1, (J6/J5)^(('Summary, PPI''s'!$J6+'Summary, PPI''s'!$J5)/('Predicted PPIs'!T6+'Predicted PPIs'!T5)))*IF(K$46=".", 1, (K6/K5)^(('Summary, PPI''s'!$K6+'Summary, PPI''s'!$K5)/('Predicted PPIs'!T6+'Predicted PPIs'!T5)))*IF(L$46=".", 1, (L6/L5)^(('Summary, PPI''s'!$L6+'Summary, PPI''s'!$L5)/('Predicted PPIs'!T6+'Predicted PPIs'!T5)))*IF(M$46=".", 1, (M6/M5)^(('Summary, PPI''s'!$M6+'Summary, PPI''s'!$M5)/('Predicted PPIs'!T6+'Predicted PPIs'!T5)))*IF(B$46=".", 1, (B6/B5)^(('Summary, PPI''s'!$B6+'Summary, PPI''s'!$B5)/('Predicted PPIs'!T6+'Predicted PPIs'!T5)))*IF(C$46=".", 1, (C6/C5)^(('Summary, PPI''s'!$C6+'Summary, PPI''s'!$C5)/('Predicted PPIs'!T6+'Predicted PPIs'!T5)))*IF(D$46=".", 1, (D6/D5)^(('Summary, PPI''s'!$D6+'Summary, PPI''s'!$D5)/('Predicted PPIs'!T6+'Predicted PPIs'!T5)))*IF(N$46=".", 1, (N6/N5)^(('Summary, PPI''s'!$N6+'Summary, PPI''s'!$N5)/('Predicted PPIs'!T6+'Predicted PPIs'!T5)))*IF(O$46=".", 1, (O6/O5)^(('Summary, PPI''s'!$O6+'Summary, PPI''s'!$O5)/('Predicted PPIs'!T6+'Predicted PPIs'!T5)))*IF(P$46=".", 1, (P6/P5)^(('Summary, PPI''s'!$P6+'Summary, PPI''s'!$P5)/('Predicted PPIs'!T6+'Predicted PPIs'!T5)))</f>
        <v>101.5869162082555</v>
      </c>
      <c r="AC6" s="4">
        <f>AC5*IF(E$60=".",1,(E6/E5)^(('Summary, PPI''s'!$E6+'Summary, PPI''s'!$E5)/('Predicted PPIs'!U6+'Predicted PPIs'!U5)))*IF(F$60=".",1,(F6/F5)^(('Summary, PPI''s'!$F6+'Summary, PPI''s'!$F5)/('Predicted PPIs'!U6+'Predicted PPIs'!U5)))*IF(G$60=".",1,(G6/G5)^(('Summary, PPI''s'!$G6+'Summary, PPI''s'!$G5)/('Predicted PPIs'!U6+'Predicted PPIs'!U5)))*IF(H$60=".",1,(H6/H5)^(('Summary, PPI''s'!$H6+'Summary, PPI''s'!$H5)/('Predicted PPIs'!U6+'Predicted PPIs'!U5)))*IF(I$60=".",1,(I6/I5)^(('Summary, PPI''s'!$I6+'Summary, PPI''s'!$I5)/('Predicted PPIs'!U6+'Predicted PPIs'!U5)))*IF(J$60=".",1,(J6/J5)^(('Summary, PPI''s'!$J6+'Summary, PPI''s'!$J5)/('Predicted PPIs'!U6+'Predicted PPIs'!U5)))*IF(K$60=".",1,(K6/K5)^(('Summary, PPI''s'!$K6+'Summary, PPI''s'!$K5)/('Predicted PPIs'!U6+'Predicted PPIs'!U5)))*IF(L$60=".",1,(L6/L5)^(('Summary, PPI''s'!$L6+'Summary, PPI''s'!$L5)/('Predicted PPIs'!U6+'Predicted PPIs'!U5)))*IF(M$60=".",1,(M6/M5)^(('Summary, PPI''s'!$M6+'Summary, PPI''s'!$M5)/('Predicted PPIs'!U6+'Predicted PPIs'!U5)))*IF(B$60=".",1,(B6/B5)^(('Summary, PPI''s'!$B6+'Summary, PPI''s'!$B5)/('Predicted PPIs'!U6+'Predicted PPIs'!U5)))*IF(C$60=".",1,(C6/C5)^(('Summary, PPI''s'!$C6+'Summary, PPI''s'!$C5)/('Predicted PPIs'!U6+'Predicted PPIs'!U5)))*IF(D$60=".",1,(D6/D5)^(('Summary, PPI''s'!$D6+'Summary, PPI''s'!$D5)/('Predicted PPIs'!U6+'Predicted PPIs'!U5)))*IF(N$60=".",1,(N6/N5)^(('Summary, PPI''s'!$N6+'Summary, PPI''s'!$N5)/('Predicted PPIs'!U6+'Predicted PPIs'!U5)))*IF(O$60=".",1,(O6/O5)^(('Summary, PPI''s'!$O6+'Summary, PPI''s'!$O5)/('Predicted PPIs'!U6+'Predicted PPIs'!U5)))*IF(P$60=".",1,(P6/P5)^(('Summary, PPI''s'!$P6+'Summary, PPI''s'!$P5)/('Predicted PPIs'!U6+'Predicted PPIs'!U5)))</f>
        <v>103.49094421778565</v>
      </c>
      <c r="AD6" s="4">
        <f>AD5*IF(E$73=".", 1, (E6/E5)^(('Summary, PPI''s'!$E6+'Summary, PPI''s'!$E5)/('Predicted PPIs'!V6+'Predicted PPIs'!V5)))*IF(F$73=".", 1, (F6/F5)^(('Summary, PPI''s'!$F6+'Summary, PPI''s'!$F5)/('Predicted PPIs'!V6+'Predicted PPIs'!V5)))*IF(G$73=".", 1, (G6/G5)^(('Summary, PPI''s'!$G6+'Summary, PPI''s'!$G5)/('Predicted PPIs'!V6+'Predicted PPIs'!V5)))*IF(H$73=".", 1, (H6/H5)^(('Summary, PPI''s'!$H6+'Summary, PPI''s'!$H5)/('Predicted PPIs'!V6+'Predicted PPIs'!V5)))*IF(I$73=".", 1, (I6/I5)^(('Summary, PPI''s'!$I6+'Summary, PPI''s'!$I5)/('Predicted PPIs'!V6+'Predicted PPIs'!V5)))*IF(J$73=".", 1, (J6/J5)^(('Summary, PPI''s'!$J6+'Summary, PPI''s'!$J5)/('Predicted PPIs'!V6+'Predicted PPIs'!V5)))*IF(K$73=".", 1, (K6/K5)^(('Summary, PPI''s'!$K6+'Summary, PPI''s'!$K5)/('Predicted PPIs'!V6+'Predicted PPIs'!V5)))*IF(L$73=".", 1, (L6/L5)^(('Summary, PPI''s'!$L6+'Summary, PPI''s'!$L5)/('Predicted PPIs'!V6+'Predicted PPIs'!V5)))*IF(M$73=".", 1, (M6/M5)^(('Summary, PPI''s'!$M6+'Summary, PPI''s'!$M5)/('Predicted PPIs'!V6+'Predicted PPIs'!V5)))*IF(B$73=".", 1, (B6/B5)^(('Summary, PPI''s'!$B6+'Summary, PPI''s'!$B5)/('Predicted PPIs'!V6+'Predicted PPIs'!V5)))*IF(C$73=".", 1, (C6/C5)^(('Summary, PPI''s'!$C6+'Summary, PPI''s'!$C5)/('Predicted PPIs'!V6+'Predicted PPIs'!V5)))*IF(D$73=".", 1, (D6/D5)^(('Summary, PPI''s'!$D6+'Summary, PPI''s'!$D5)/('Predicted PPIs'!V6+'Predicted PPIs'!V5)))*IF(N$73=".", 1, (N6/N5)^(('Summary, PPI''s'!$N6+'Summary, PPI''s'!$N5)/('Predicted PPIs'!V6+'Predicted PPIs'!V5)))*IF(O$73=".", 1, (O6/O5)^(('Summary, PPI''s'!$O6+'Summary, PPI''s'!$O5)/('Predicted PPIs'!V6+'Predicted PPIs'!V5)))*IF(P$73=".", 1, (P6/P5)^(('Summary, PPI''s'!$P6+'Summary, PPI''s'!$P5)/('Predicted PPIs'!V6+'Predicted PPIs'!V5)))</f>
        <v>104.31536243068076</v>
      </c>
      <c r="AE6" s="4">
        <f>AE5*IF(E$94=".", 1, (E6/E5)^(('Summary, PPI''s'!$E6+'Summary, PPI''s'!$E5)/('Predicted PPIs'!W6+'Predicted PPIs'!W5)))*IF(F$94=".", 1, (F6/F5)^(('Summary, PPI''s'!$F6+'Summary, PPI''s'!$F5)/('Predicted PPIs'!W6+'Predicted PPIs'!W5)))*IF(G$94=".", 1, (G6/G5)^(('Summary, PPI''s'!$G6+'Summary, PPI''s'!$G5)/('Predicted PPIs'!W6+'Predicted PPIs'!W5)))*IF(H$94=".", 1, (H6/H5)^(('Summary, PPI''s'!$H6+'Summary, PPI''s'!$H5)/('Predicted PPIs'!W6+'Predicted PPIs'!W5)))*IF(I$94=".", 1, (I6/I5)^(('Summary, PPI''s'!$I6+'Summary, PPI''s'!$I5)/('Predicted PPIs'!W6+'Predicted PPIs'!W5)))*IF(J$94=".", 1, (J6/J5)^(('Summary, PPI''s'!$J6+'Summary, PPI''s'!$J5)/('Predicted PPIs'!W6+'Predicted PPIs'!W5)))*IF(K$94=".", 1, (K6/K5)^(('Summary, PPI''s'!$K6+'Summary, PPI''s'!$K5)/('Predicted PPIs'!W6+'Predicted PPIs'!W5)))*IF(L$94=".", 1, (L6/L5)^(('Summary, PPI''s'!$L6+'Summary, PPI''s'!$L5)/('Predicted PPIs'!W6+'Predicted PPIs'!W5)))*IF(M$94=".", 1, (M6/M5)^(('Summary, PPI''s'!$M6+'Summary, PPI''s'!$M5)/('Predicted PPIs'!W6+'Predicted PPIs'!W5)))*IF(B$94=".", 1, (B6/B5)^(('Summary, PPI''s'!$B6+'Summary, PPI''s'!$B5)/('Predicted PPIs'!W6+'Predicted PPIs'!W5)))*IF(C$94=".", 1, (C6/C5)^(('Summary, PPI''s'!$C6+'Summary, PPI''s'!$C5)/('Predicted PPIs'!W6+'Predicted PPIs'!W5)))*IF(D$94=".", 1, (D6/D5)^(('Summary, PPI''s'!$D6+'Summary, PPI''s'!$D5)/('Predicted PPIs'!W6+'Predicted PPIs'!W5)))*IF(N$94=".", 1, (N6/N5)^(('Summary, PPI''s'!$N6+'Summary, PPI''s'!$N5)/('Predicted PPIs'!W6+'Predicted PPIs'!W5)))*IF(O$94=".", 1, (O6/O5)^(('Summary, PPI''s'!$O6+'Summary, PPI''s'!$O5)/('Predicted PPIs'!W6+'Predicted PPIs'!W5)))*IF(P$94=".", 1, (P6/P5)^(('Summary, PPI''s'!$P6+'Summary, PPI''s'!$P5)/('Predicted PPIs'!W6+'Predicted PPIs'!W5)))</f>
        <v>102.99175073658522</v>
      </c>
      <c r="AF6" s="4">
        <f>AF5*IF(E$123=".", 1, (E6/E5)^(('Summary, PPI''s'!$E6+'Summary, PPI''s'!$E5)/('Predicted PPIs'!X6+'Predicted PPIs'!X5)))*IF(F$123=".", 1, (F6/F5)^(('Summary, PPI''s'!$F6+'Summary, PPI''s'!$F5)/('Predicted PPIs'!X6+'Predicted PPIs'!X5)))*IF(G$123=".", 1, (G6/G5)^(('Summary, PPI''s'!$G6+'Summary, PPI''s'!$G5)/('Predicted PPIs'!X6+'Predicted PPIs'!X5)))*IF(H$123=".", 1, (H6/H5)^(('Summary, PPI''s'!$H6+'Summary, PPI''s'!$H5)/('Predicted PPIs'!X6+'Predicted PPIs'!X5)))*IF(I$123=".", 1, (I6/I5)^(('Summary, PPI''s'!$I6+'Summary, PPI''s'!$I5)/('Predicted PPIs'!X6+'Predicted PPIs'!X5)))*IF(J$123=".", 1, (J6/J5)^(('Summary, PPI''s'!$J6+'Summary, PPI''s'!$J5)/('Predicted PPIs'!X6+'Predicted PPIs'!X5)))*IF(K$123=".", 1, (K6/K5)^(('Summary, PPI''s'!$K6+'Summary, PPI''s'!$K5)/('Predicted PPIs'!X6+'Predicted PPIs'!X5)))*IF(L$123=".", 1, (L6/L5)^(('Summary, PPI''s'!$L6+'Summary, PPI''s'!$L5)/('Predicted PPIs'!X6+'Predicted PPIs'!X5)))*IF(M$123=".", 1, (M6/M5)^(('Summary, PPI''s'!$M6+'Summary, PPI''s'!$M5)/('Predicted PPIs'!X6+'Predicted PPIs'!X5)))*IF(B$123=".", 1, (B6/B5)^(('Summary, PPI''s'!$B6+'Summary, PPI''s'!$B5)/('Predicted PPIs'!X6+'Predicted PPIs'!X5)))*IF(C$123=".", 1, (C6/C5)^(('Summary, PPI''s'!$C6+'Summary, PPI''s'!$C5)/('Predicted PPIs'!X6+'Predicted PPIs'!X5)))*IF(D$123=".", 1, (D6/D5)^(('Summary, PPI''s'!$D6+'Summary, PPI''s'!$D5)/('Predicted PPIs'!X6+'Predicted PPIs'!X5)))*IF(N$123=".", 1, (N6/N5)^(('Summary, PPI''s'!$N6+'Summary, PPI''s'!$N5)/('Predicted PPIs'!X6+'Predicted PPIs'!X5)))*IF(O$123=".", 1, (O6/O5)^(('Summary, PPI''s'!$O6+'Summary, PPI''s'!$O5)/('Predicted PPIs'!X6+'Predicted PPIs'!X5)))*IF(P$123=".", 1, (P6/P5)^(('Summary, PPI''s'!$P6+'Summary, PPI''s'!$P5)/('Predicted PPIs'!X6+'Predicted PPIs'!X5)))</f>
        <v>102.41829633949993</v>
      </c>
      <c r="AH6" s="13">
        <f t="shared" si="32"/>
        <v>105.70496619745568</v>
      </c>
      <c r="AJ6" s="4">
        <v>13239.1</v>
      </c>
      <c r="AK6" s="4">
        <v>-0.433</v>
      </c>
      <c r="AL6" s="4">
        <v>-1526.3219999999999</v>
      </c>
      <c r="AM6" s="4">
        <v>-20.954999999999998</v>
      </c>
      <c r="AN6" s="4">
        <v>13655.7</v>
      </c>
      <c r="AO6" s="4">
        <v>3307.5</v>
      </c>
      <c r="AP6" s="4">
        <f>1566.806+0.004+0.255+19.909-1658.507</f>
        <v>-71.532999999999902</v>
      </c>
      <c r="AQ6" s="4">
        <f>1388.491+21.407+17.239+54.143-2043.673</f>
        <v>-562.39300000000003</v>
      </c>
      <c r="AR6" s="4">
        <v>-64.254999999999995</v>
      </c>
      <c r="AS6" s="4">
        <v>-85.76</v>
      </c>
      <c r="AT6" s="4">
        <v>106.051</v>
      </c>
      <c r="AU6" s="4">
        <v>92.914000000000001</v>
      </c>
      <c r="AV6" s="4">
        <v>115.21299999999999</v>
      </c>
      <c r="AW6" s="4">
        <v>108.98399999999999</v>
      </c>
      <c r="AX6" s="4">
        <v>101.633</v>
      </c>
      <c r="AY6" s="4">
        <v>105.928</v>
      </c>
      <c r="AZ6" s="4">
        <v>112.545</v>
      </c>
      <c r="BA6" s="4">
        <v>107.29300000000001</v>
      </c>
      <c r="BB6" s="4">
        <v>98.319000000000003</v>
      </c>
      <c r="BC6" s="4">
        <v>105.928</v>
      </c>
      <c r="BG6" s="4">
        <f t="shared" si="33"/>
        <v>115.42257986625945</v>
      </c>
      <c r="BI6" s="4">
        <v>325084756</v>
      </c>
      <c r="BJ6" s="4">
        <f>'[2]Ordinary Experience'!$E$420</f>
        <v>18.863340929812118</v>
      </c>
      <c r="BL6" s="4">
        <f t="shared" si="0"/>
        <v>110.41111093882678</v>
      </c>
      <c r="BM6" s="4">
        <f t="shared" si="34"/>
        <v>1.9227802665822136E-2</v>
      </c>
      <c r="BO6" s="4">
        <f>IF(OR('Summary, hourly ad costs'!R6=-9999,'Summary, PPI''s'!R6="."),".",(('Summary, hourly ad costs'!B6/'Summary, hourly ad costs'!R6)*100/('Summary, hourly ad costs'!B$11/'Summary, hourly ad costs'!R$11))/('Summary, PPI''s'!R6))</f>
        <v>1.0134782194278344</v>
      </c>
      <c r="BP6" s="4" t="str">
        <f>IF(OR('Summary, hourly ad costs'!S6=-9999,'Summary, PPI''s'!S6="."),".",(('Summary, hourly ad costs'!C6/'Summary, hourly ad costs'!S6)*100/('Summary, hourly ad costs'!C$11/'Summary, hourly ad costs'!S$11))/('Summary, PPI''s'!S6))</f>
        <v>.</v>
      </c>
      <c r="BQ6" s="4" t="str">
        <f>IF(OR('Summary, hourly ad costs'!T6=-9999,'Summary, PPI''s'!T6="."),".",(('Summary, hourly ad costs'!D6/'Summary, hourly ad costs'!T6)*100/('Summary, hourly ad costs'!D$11/'Summary, hourly ad costs'!T$11))/('Summary, PPI''s'!T6))</f>
        <v>.</v>
      </c>
      <c r="BR6" s="4">
        <f>IF(OR('Summary, hourly ad costs'!U6=-9999,'Summary, PPI''s'!U6="."),".",(('Summary, hourly ad costs'!E6/'Summary, hourly ad costs'!U6)*100/('Summary, hourly ad costs'!E$11/'Summary, hourly ad costs'!U$11))/('Summary, PPI''s'!U6))</f>
        <v>0.82653700229335392</v>
      </c>
      <c r="BS6" s="4">
        <f>IF(OR('Summary, hourly ad costs'!V6=-9999,'Summary, PPI''s'!V6="."),".",(('Summary, hourly ad costs'!F6/'Summary, hourly ad costs'!V6)*100/('Summary, hourly ad costs'!F$11/'Summary, hourly ad costs'!V$11))/('Summary, PPI''s'!V6))</f>
        <v>0.63191481625390955</v>
      </c>
      <c r="BT6" s="4" t="str">
        <f>IF(OR('Summary, hourly ad costs'!W6=-9999,'Summary, PPI''s'!W6="."),".",(('Summary, hourly ad costs'!G6/'Summary, hourly ad costs'!W6)*100/('Summary, hourly ad costs'!G$11/'Summary, hourly ad costs'!W$11))/('Summary, PPI''s'!W6))</f>
        <v>.</v>
      </c>
      <c r="BU6" s="4">
        <f>IF(OR('Summary, hourly ad costs'!X6=-9999,'Summary, PPI''s'!X6="."),".",(('Summary, hourly ad costs'!H6/'Summary, hourly ad costs'!X6)*100/('Summary, hourly ad costs'!H$11/'Summary, hourly ad costs'!X$11))/('Summary, PPI''s'!X6))</f>
        <v>1.1174577714587359</v>
      </c>
      <c r="BV6" s="4">
        <f>IF(OR('Summary, hourly ad costs'!Y6=-9999,'Summary, PPI''s'!Y6="."),".",(('Summary, hourly ad costs'!I6/'Summary, hourly ad costs'!Y6)*100/('Summary, hourly ad costs'!I$11/'Summary, hourly ad costs'!Y$11))/('Summary, PPI''s'!Y6))</f>
        <v>0.9429137325088619</v>
      </c>
      <c r="BW6" s="4">
        <f>IF(OR('Summary, hourly ad costs'!Z6=-9999,'Summary, PPI''s'!Z6="."),".",(('Summary, hourly ad costs'!J6/'Summary, hourly ad costs'!Z6)*100/('Summary, hourly ad costs'!J$11/'Summary, hourly ad costs'!Z$11))/('Summary, PPI''s'!Z6))</f>
        <v>1.4966755424180622</v>
      </c>
      <c r="BX6" s="4">
        <f>IF(OR('Summary, hourly ad costs'!AA6=-9999,'Summary, PPI''s'!AA6="."),".",(('Summary, hourly ad costs'!K6/'Summary, hourly ad costs'!AA6)*100/('Summary, hourly ad costs'!K$11/'Summary, hourly ad costs'!AA$11))/('Summary, PPI''s'!AA6))</f>
        <v>1.0408944169393057</v>
      </c>
      <c r="BY6" s="4">
        <f>IF(OR('Summary, hourly ad costs'!AB6=-9999,'Summary, PPI''s'!AB6="."),".",(('Summary, hourly ad costs'!L6/'Summary, hourly ad costs'!AB6)*100/('Summary, hourly ad costs'!L$11/'Summary, hourly ad costs'!AB$11))/('Summary, PPI''s'!AB6))</f>
        <v>1.6324469492245286</v>
      </c>
      <c r="BZ6" s="4">
        <f>IF(OR('Summary, hourly ad costs'!AC6=-9999,'Summary, PPI''s'!AC6="."),".",(('Summary, hourly ad costs'!M6/'Summary, hourly ad costs'!AC6)*100/('Summary, hourly ad costs'!M$11/'Summary, hourly ad costs'!AC$11))/('Summary, PPI''s'!AC6))</f>
        <v>1.8371066686850506</v>
      </c>
      <c r="CA6" s="4" t="str">
        <f>IF(OR('Summary, hourly ad costs'!AD6=-9999,'Summary, PPI''s'!AD6="."),".",(('Summary, hourly ad costs'!N6/'Summary, hourly ad costs'!AD6)*100/('Summary, hourly ad costs'!N$11/'Summary, hourly ad costs'!AD$11))/('Summary, PPI''s'!AD6))</f>
        <v>.</v>
      </c>
      <c r="CB6" s="4" t="str">
        <f>IF(OR('Summary, hourly ad costs'!AE6=-9999,'Summary, PPI''s'!AE6="."),".",(('Summary, hourly ad costs'!O6/'Summary, hourly ad costs'!AE6)*100/('Summary, hourly ad costs'!O$11/'Summary, hourly ad costs'!AE$11))/('Summary, PPI''s'!AE6))</f>
        <v>.</v>
      </c>
      <c r="CC6" s="4" t="str">
        <f>IF(OR('Summary, hourly ad costs'!AF6=-9999,'Summary, PPI''s'!AF6="."),".",(('Summary, hourly ad costs'!P6/'Summary, hourly ad costs'!AF6)*100/('Summary, hourly ad costs'!P$11/'Summary, hourly ad costs'!AF$11))/('Summary, PPI''s'!AF6))</f>
        <v>.</v>
      </c>
      <c r="CE6" s="4">
        <f t="shared" si="1"/>
        <v>3.242471409337977E-2</v>
      </c>
      <c r="CF6" s="4" t="str">
        <f t="shared" si="2"/>
        <v>.</v>
      </c>
      <c r="CG6" s="4" t="str">
        <f t="shared" si="3"/>
        <v>.</v>
      </c>
      <c r="CH6" s="4">
        <f t="shared" si="4"/>
        <v>6.6919931964896096E-2</v>
      </c>
      <c r="CI6" s="4">
        <f t="shared" si="5"/>
        <v>-0.12453099744046447</v>
      </c>
      <c r="CJ6" s="4" t="str">
        <f t="shared" si="6"/>
        <v>.</v>
      </c>
      <c r="CK6" s="4">
        <f t="shared" si="7"/>
        <v>2.2337123201152664E-2</v>
      </c>
      <c r="CL6" s="4">
        <f t="shared" si="8"/>
        <v>8.4232573063751648E-3</v>
      </c>
      <c r="CM6" s="4">
        <f t="shared" si="9"/>
        <v>3.7476559956500788E-2</v>
      </c>
      <c r="CN6" s="4">
        <f t="shared" si="10"/>
        <v>-7.2411374409971918E-3</v>
      </c>
      <c r="CO6" s="4">
        <f t="shared" si="11"/>
        <v>-2.714537837658737E-3</v>
      </c>
      <c r="CP6" s="4">
        <f t="shared" si="12"/>
        <v>0.27615421456093259</v>
      </c>
      <c r="CQ6" s="4" t="str">
        <f t="shared" si="13"/>
        <v>.</v>
      </c>
      <c r="CR6" s="4" t="str">
        <f t="shared" si="14"/>
        <v>.</v>
      </c>
      <c r="CS6" s="4" t="str">
        <f t="shared" si="15"/>
        <v>.</v>
      </c>
      <c r="CU6" s="5">
        <f>IF(CU5=".", ".", IF('Summary, PPI''s'!R6=".",IF(OR('Summary, hourly ad costs'!R6=-9999,'Summary, hourly ad costs'!R6=0), ".", 'Predicted PPIs'!CU5*('Summary, hourly ad costs'!B6/'Summary, hourly ad costs'!R6)/('Summary, hourly ad costs'!B5/'Summary, hourly ad costs'!R5)/(1-CE5)), 'Summary, PPI''s'!R6))</f>
        <v>99.637236596425694</v>
      </c>
      <c r="CV6" s="5">
        <f>IF(CV5=".", ".", IF('Summary, PPI''s'!S6=".",IF(OR('Summary, hourly ad costs'!S6=-9999,'Summary, hourly ad costs'!S6=0), ".", 'Predicted PPIs'!CV5*('Summary, hourly ad costs'!C6/'Summary, hourly ad costs'!S6)/('Summary, hourly ad costs'!C5/'Summary, hourly ad costs'!S5)/(1-CF5)), 'Summary, PPI''s'!S6))</f>
        <v>99.637236596425694</v>
      </c>
      <c r="CW6" s="5">
        <f>IF(CW5=".", ".", IF('Summary, PPI''s'!T6=".",IF(OR('Summary, hourly ad costs'!T6=-9999,'Summary, hourly ad costs'!T6=0), ".", 'Predicted PPIs'!CW5*('Summary, hourly ad costs'!D6/'Summary, hourly ad costs'!T6)/('Summary, hourly ad costs'!D5/'Summary, hourly ad costs'!T5)/(1-CG5)), 'Summary, PPI''s'!T6))</f>
        <v>105.87406251572959</v>
      </c>
      <c r="CX6" s="5">
        <f>IF(CX5=".", ".", IF('Summary, PPI''s'!U6=".",IF(OR('Summary, hourly ad costs'!U6=-9999,'Summary, hourly ad costs'!U6=0), ".", 'Predicted PPIs'!CX5*('Summary, hourly ad costs'!E6/'Summary, hourly ad costs'!U6)/('Summary, hourly ad costs'!E5/'Summary, hourly ad costs'!U5)/(1-CH5)), 'Summary, PPI''s'!U6))</f>
        <v>100.84613106570207</v>
      </c>
      <c r="CY6" s="5">
        <f>IF(CY5=".", ".", IF('Summary, PPI''s'!V6=".",IF(OR('Summary, hourly ad costs'!V6=-9999,'Summary, hourly ad costs'!V6=0), ".", 'Predicted PPIs'!CY5*('Summary, hourly ad costs'!F6/'Summary, hourly ad costs'!V6)/('Summary, hourly ad costs'!F5/'Summary, hourly ad costs'!V5)/(1-CI5)), 'Summary, PPI''s'!V6))</f>
        <v>110.39375592075454</v>
      </c>
      <c r="CZ6" s="5">
        <f>IF(CZ5=".", ".", IF('Summary, PPI''s'!W6=".",IF(OR('Summary, hourly ad costs'!W6=-9999,'Summary, hourly ad costs'!W6=0), ".", 'Predicted PPIs'!CZ5*('Summary, hourly ad costs'!G6/'Summary, hourly ad costs'!W6)/('Summary, hourly ad costs'!G5/'Summary, hourly ad costs'!W5)/(1-CJ5)), 'Summary, PPI''s'!W6))</f>
        <v>95.182242031492805</v>
      </c>
      <c r="DA6" s="5">
        <f>IF(DA5=".", ".", IF('Summary, PPI''s'!X6=".",IF(OR('Summary, hourly ad costs'!X6=-9999,'Summary, hourly ad costs'!X6=0), ".", 'Predicted PPIs'!DA5*('Summary, hourly ad costs'!H6/'Summary, hourly ad costs'!X6)/('Summary, hourly ad costs'!H5/'Summary, hourly ad costs'!X5)/(1-CK5)), 'Summary, PPI''s'!X6))</f>
        <v>111.83</v>
      </c>
      <c r="DB6" s="5">
        <f>IF(DB5=".", ".", IF('Summary, PPI''s'!Y6=".",IF(OR('Summary, hourly ad costs'!Y6=-9999,'Summary, hourly ad costs'!Y6=0), ".", 'Predicted PPIs'!DB5*('Summary, hourly ad costs'!I6/'Summary, hourly ad costs'!Y6)/('Summary, hourly ad costs'!I5/'Summary, hourly ad costs'!Y5)/(1-CL5)), 'Summary, PPI''s'!Y6))</f>
        <v>97.050444109267644</v>
      </c>
      <c r="DC6" s="5">
        <f>IF(DC5=".", ".", IF('Summary, PPI''s'!Z6=".",IF(OR('Summary, hourly ad costs'!Z6=-9999,'Summary, hourly ad costs'!Z6=0), ".", 'Predicted PPIs'!DC5*('Summary, hourly ad costs'!J6/'Summary, hourly ad costs'!Z6)/('Summary, hourly ad costs'!J5/'Summary, hourly ad costs'!Z5)/(1-CM5)), 'Summary, PPI''s'!Z6))</f>
        <v>95.117705570291747</v>
      </c>
      <c r="DD6" s="5">
        <f>IF(DD5=".", ".", IF('Summary, PPI''s'!AA6=".",IF(OR('Summary, hourly ad costs'!AA6=-9999,'Summary, hourly ad costs'!AA6=0), ".", 'Predicted PPIs'!DD5*('Summary, hourly ad costs'!K6/'Summary, hourly ad costs'!AA6)/('Summary, hourly ad costs'!K5/'Summary, hourly ad costs'!AA5)/(1-CN5)), 'Summary, PPI''s'!AA6))</f>
        <v>101.87369882026368</v>
      </c>
      <c r="DE6" s="5">
        <f>IF(DE5=".", ".", IF('Summary, PPI''s'!AB6=".",IF(OR('Summary, hourly ad costs'!AB6=-9999,'Summary, hourly ad costs'!AB6=0), ".", 'Predicted PPIs'!DE5*('Summary, hourly ad costs'!L6/'Summary, hourly ad costs'!AB6)/('Summary, hourly ad costs'!L5/'Summary, hourly ad costs'!AB5)/(1-CO5)), 'Summary, PPI''s'!AB6))</f>
        <v>86.81390977443607</v>
      </c>
      <c r="DF6" s="5">
        <f>IF(DF5=".", ".", IF('Summary, PPI''s'!AC6=".",IF(OR('Summary, hourly ad costs'!AC6=-9999,'Summary, hourly ad costs'!AC6=0), ".", 'Predicted PPIs'!DF5*('Summary, hourly ad costs'!M6/'Summary, hourly ad costs'!AC6)/('Summary, hourly ad costs'!M5/'Summary, hourly ad costs'!AC5)/(1-CP5)), 'Summary, PPI''s'!AC6))</f>
        <v>66.321374431531055</v>
      </c>
      <c r="DG6" s="5">
        <f>IF(DG5=".", ".", IF('Summary, PPI''s'!AD6=".",IF(OR('Summary, hourly ad costs'!AD6=-9999,'Summary, hourly ad costs'!AD6=0), ".", 'Predicted PPIs'!DG5*('Summary, hourly ad costs'!N6/'Summary, hourly ad costs'!AD6)/('Summary, hourly ad costs'!N5/'Summary, hourly ad costs'!AD5)/(1-CQ5)), 'Summary, PPI''s'!AD6))</f>
        <v>106.95546455080625</v>
      </c>
      <c r="DH6" s="5">
        <f>IF(DH5=".", ".", IF('Summary, PPI''s'!AE6=".",IF(OR('Summary, hourly ad costs'!AE6=-9999,'Summary, hourly ad costs'!AE6=0), ".", 'Predicted PPIs'!DH5*('Summary, hourly ad costs'!O6/'Summary, hourly ad costs'!AE6)/('Summary, hourly ad costs'!O5/'Summary, hourly ad costs'!AE5)/(1-CR5)), 'Summary, PPI''s'!AE6))</f>
        <v>115.077</v>
      </c>
      <c r="DI6" s="5">
        <f>IF(DI5=".", ".", IF('Summary, PPI''s'!AF6=".",IF(OR('Summary, hourly ad costs'!AF6=-9999,'Summary, hourly ad costs'!AF6=0), ".", 'Predicted PPIs'!DI5*('Summary, hourly ad costs'!P6/'Summary, hourly ad costs'!AF6)/('Summary, hourly ad costs'!P5/'Summary, hourly ad costs'!AF5)/(1-CS5)), 'Summary, PPI''s'!AF6))</f>
        <v>111.446</v>
      </c>
      <c r="DK6" s="4">
        <v>114.619</v>
      </c>
      <c r="DM6" s="5">
        <f t="shared" si="16"/>
        <v>-3.4538326424189858E-2</v>
      </c>
      <c r="DN6" s="5">
        <f t="shared" si="17"/>
        <v>-3.4538326424189858E-2</v>
      </c>
      <c r="DO6" s="5">
        <f t="shared" si="18"/>
        <v>-5.2748497604662159E-3</v>
      </c>
      <c r="DP6" s="5">
        <f t="shared" si="19"/>
        <v>-5.1334440312461482E-2</v>
      </c>
      <c r="DQ6" s="5">
        <f t="shared" si="20"/>
        <v>-1.0598900992772053E-2</v>
      </c>
      <c r="DR6" s="5">
        <f t="shared" si="21"/>
        <v>-8.8238181510296387E-2</v>
      </c>
      <c r="DS6" s="5">
        <f t="shared" si="22"/>
        <v>-8.1355039337658308E-3</v>
      </c>
      <c r="DT6" s="5">
        <f t="shared" si="23"/>
        <v>-7.4002629579319246E-2</v>
      </c>
      <c r="DU6" s="5">
        <f t="shared" si="24"/>
        <v>-7.0958819231894621E-2</v>
      </c>
      <c r="DV6" s="5">
        <f t="shared" si="25"/>
        <v>-1.3052162509203602E-2</v>
      </c>
      <c r="DW6" s="5">
        <f t="shared" si="26"/>
        <v>-2.1975911516244229E-2</v>
      </c>
      <c r="DX6" s="5">
        <f t="shared" si="27"/>
        <v>-0.17018382441974811</v>
      </c>
      <c r="DY6" s="5">
        <f t="shared" si="28"/>
        <v>-2.4760884469964606E-2</v>
      </c>
      <c r="DZ6" s="5">
        <f t="shared" si="29"/>
        <v>-1.6127565518113118E-2</v>
      </c>
      <c r="EA6" s="5">
        <f t="shared" si="30"/>
        <v>-9.9522337801316585E-3</v>
      </c>
      <c r="EC6" s="1">
        <f t="shared" si="35"/>
        <v>99.637236596425694</v>
      </c>
      <c r="ED6" s="1">
        <f t="shared" si="36"/>
        <v>99.637236596425694</v>
      </c>
      <c r="EE6" s="1">
        <f t="shared" si="37"/>
        <v>105.87406251572959</v>
      </c>
      <c r="EF6" s="1">
        <f t="shared" si="38"/>
        <v>100.84613106570207</v>
      </c>
      <c r="EG6" s="1">
        <f t="shared" si="39"/>
        <v>110.39375592075454</v>
      </c>
      <c r="EH6" s="1">
        <f t="shared" si="40"/>
        <v>95.182242031492805</v>
      </c>
      <c r="EI6" s="1">
        <f t="shared" si="41"/>
        <v>111.83</v>
      </c>
      <c r="EJ6" s="1">
        <f t="shared" si="42"/>
        <v>97.050444109267644</v>
      </c>
      <c r="EK6" s="1">
        <f t="shared" si="43"/>
        <v>95.117705570291747</v>
      </c>
      <c r="EL6" s="1">
        <f t="shared" si="44"/>
        <v>101.87369882026368</v>
      </c>
      <c r="EM6" s="1">
        <f t="shared" si="45"/>
        <v>86.81390977443607</v>
      </c>
      <c r="EN6" s="1">
        <f t="shared" si="46"/>
        <v>66.321374431531055</v>
      </c>
      <c r="EO6" s="1">
        <f t="shared" si="47"/>
        <v>106.95546455080625</v>
      </c>
      <c r="EP6" s="1">
        <f t="shared" si="48"/>
        <v>115.077</v>
      </c>
      <c r="EQ6" s="1">
        <f t="shared" si="49"/>
        <v>111.446</v>
      </c>
      <c r="ES6" s="1">
        <f>IF(EF$26=".", 0, 'Summary, PPI''s'!E6)+IF(EG$26=".", 0, 'Summary, PPI''s'!F6)+IF(EH$26=".", 0, 'Summary, PPI''s'!G6)+IF(EI$26=".", 0, 'Summary, PPI''s'!H6)+IF(EJ$26=".", 0, 'Summary, PPI''s'!I6)+IF(EK$26=".", 0, 'Summary, PPI''s'!J6)+IF(EL$26=".", 0, 'Summary, PPI''s'!K6)+IF(EM$26=".", 0, 'Summary, PPI''s'!L6)+IF(EN$26=".", 0, 'Summary, PPI''s'!M6)+IF(EC$26=".", 0, 'Summary, PPI''s'!B6)+IF(ED$26=".", 0, 'Summary, PPI''s'!C6)+IF(EE$26=".", 0, 'Summary, PPI''s'!D6)+IF(EO$26=".", 0, 'Summary, PPI''s'!N6)+IF(EP$26=".", 0, 'Summary, PPI''s'!O6)+IF(EQ$26=".", 0, 'Summary, PPI''s'!P6)</f>
        <v>420779995.06418628</v>
      </c>
      <c r="ET6" s="1">
        <f>'Summary, hourly ad costs'!E6+'Summary, hourly ad costs'!F6+'Summary, hourly ad costs'!H6+'Summary, hourly ad costs'!I6+'Summary, hourly ad costs'!J6+'Summary, hourly ad costs'!K6+'Summary, hourly ad costs'!L6+'Summary, hourly ad costs'!M6+'Summary, hourly ad costs'!B6</f>
        <v>241769660.13646626</v>
      </c>
      <c r="EV6" s="13">
        <f>EV5*IF(EF$26=".", 1, (EF6/EF5)^(('Summary, PPI''s'!$E6+'Summary, PPI''s'!$E5)/('Predicted PPIs'!ES6+'Predicted PPIs'!ES5)))*IF(EG$26=".", 1, (EG6/EG5)^(('Summary, PPI''s'!$F6+'Summary, PPI''s'!$F5)/('Predicted PPIs'!ES6+'Predicted PPIs'!ES5)))*IF(EH$26=".", 1, (EH6/EH5)^(('Summary, PPI''s'!$G6+'Summary, PPI''s'!$G5)/('Predicted PPIs'!ES6+'Predicted PPIs'!ES5)))*IF(EI$26=".", 1, (EI6/EI5)^(('Summary, PPI''s'!$H6+'Summary, PPI''s'!$H5)/('Predicted PPIs'!ES6+'Predicted PPIs'!ES5)))*IF(EJ$26=".", 1, (EJ6/EJ5)^(('Summary, PPI''s'!$I6+'Summary, PPI''s'!$I5)/('Predicted PPIs'!ES6+'Predicted PPIs'!ES5)))*IF(EK$26=".", 1, (EK6/EK5)^(('Summary, PPI''s'!$J6+'Summary, PPI''s'!$J5)/('Predicted PPIs'!ES6+'Predicted PPIs'!ES5)))*IF(EL$26=".", 1, (EL6/EL5)^(('Summary, PPI''s'!$K6+'Summary, PPI''s'!$K5)/('Predicted PPIs'!ES6+'Predicted PPIs'!ES5)))*IF(EM$26=".", 1, (EM6/EM5)^(('Summary, PPI''s'!$L6+'Summary, PPI''s'!$L5)/('Predicted PPIs'!ES6+'Predicted PPIs'!ES5)))*IF(EN$26=".", 1, (EN6/EN5)^(('Summary, PPI''s'!$M6+'Summary, PPI''s'!$M5)/('Predicted PPIs'!ES6+'Predicted PPIs'!ES5)))*IF(EC$26=".", 1, (EC6/EC5)^(('Summary, PPI''s'!$B6+'Summary, PPI''s'!$B5)/('Predicted PPIs'!ES6+'Predicted PPIs'!ES5)))*IF(ED$26=".", 1, (ED6/ED5)^(('Summary, PPI''s'!$C6+'Summary, PPI''s'!$C5)/('Predicted PPIs'!ES6+'Predicted PPIs'!ES5)))*IF(EE$26=".", 1, (EE6/EE5)^(('Summary, PPI''s'!$D6+'Summary, PPI''s'!$D5)/('Predicted PPIs'!ES6+'Predicted PPIs'!ES5)))*IF(EO$26=".", 1, (EO6/EO5)^(('Summary, PPI''s'!$N6+'Summary, PPI''s'!$N5)/('Predicted PPIs'!ES6+'Predicted PPIs'!ES5)))*IF(EP$26=".", 1, (EP6/EP5)^(('Summary, PPI''s'!$O6+'Summary, PPI''s'!$O5)/('Predicted PPIs'!ES6+'Predicted PPIs'!ES5)))*IF(EQ$26=".", 1, (EQ6/EQ5)^(('Summary, PPI''s'!$P6+'Summary, PPI''s'!$P5)/('Predicted PPIs'!ES6+'Predicted PPIs'!ES5)))</f>
        <v>105.70496619745568</v>
      </c>
      <c r="EW6" s="13">
        <f>EW5*IF(EF$26=".", 1, (EF6/EF5)^(('Summary, PPI''s'!$E6+'Summary, PPI''s'!$E5)/('Predicted PPIs'!ET6+'Predicted PPIs'!ET5)))*IF(EG$26=".", 1, (EG6/EG5)^(('Summary, PPI''s'!$F6+'Summary, PPI''s'!$F5)/('Predicted PPIs'!ET6+'Predicted PPIs'!ET5)))*IF(EH$26=".", 1, (EH6/EH5)^(('Summary, PPI''s'!$G6+'Summary, PPI''s'!$G5)/('Predicted PPIs'!ET6+'Predicted PPIs'!ET5)))*IF(EK$26=".", 1, (EK6/EK5)^(('Summary, PPI''s'!$J6+'Summary, PPI''s'!$J5)/('Predicted PPIs'!ET6+'Predicted PPIs'!ET5)))*IF(EL$26=".", 1, (EL6/EL5)^(('Summary, PPI''s'!$K6+'Summary, PPI''s'!$K5)/('Predicted PPIs'!ET6+'Predicted PPIs'!ET5)))*IF(EM$26=".", 1, (EM6/EM5)^(('Summary, PPI''s'!$L6+'Summary, PPI''s'!$L5)/('Predicted PPIs'!ET6+'Predicted PPIs'!ET5)))*IF(EN$26=".", 1, (EN6/EN5)^(('Summary, PPI''s'!$M6+'Summary, PPI''s'!$M5)/('Predicted PPIs'!ET6+'Predicted PPIs'!ET5)))*IF(EC$26=".", 1, (EC6/EC5)^(('Summary, PPI''s'!$B6+'Summary, PPI''s'!$B5)/('Predicted PPIs'!ET6+'Predicted PPIs'!ET5)))</f>
        <v>110.5547250964409</v>
      </c>
      <c r="EY6" s="2"/>
    </row>
    <row r="7" spans="1:155" x14ac:dyDescent="0.3">
      <c r="A7" s="4">
        <v>2016</v>
      </c>
      <c r="B7" s="10">
        <f>IF(B6=".", ".", IF('Summary, PPI''s'!R7=".",IF(OR('Summary, hourly ad costs'!R7=-9999,'Summary, hourly ad costs'!R7=0), ".", 'Predicted PPIs'!B6*('Summary, hourly ad costs'!B7/'Summary, hourly ad costs'!R7)/('Summary, hourly ad costs'!B6/'Summary, hourly ad costs'!R6)), 'Summary, PPI''s'!R7))</f>
        <v>99.797279274473198</v>
      </c>
      <c r="C7" s="10">
        <f>IF(C6=".", ".", IF('Summary, PPI''s'!S7=".",IF(OR('Summary, hourly ad costs'!S7=-9999,'Summary, hourly ad costs'!S7=0), ".", 'Predicted PPIs'!C6*('Summary, hourly ad costs'!C7/'Summary, hourly ad costs'!S7)/('Summary, hourly ad costs'!C6/'Summary, hourly ad costs'!S6)), 'Summary, PPI''s'!S7))</f>
        <v>99.797279274473198</v>
      </c>
      <c r="D7" s="10">
        <f>IF(D6=".", ".", IF('Summary, PPI''s'!T7=".",IF(OR('Summary, hourly ad costs'!T7=-9999,'Summary, hourly ad costs'!T7=0), ".", 'Predicted PPIs'!D6*('Summary, hourly ad costs'!D7/'Summary, hourly ad costs'!T7)/('Summary, hourly ad costs'!D6/'Summary, hourly ad costs'!T6)), 'Summary, PPI''s'!T7))</f>
        <v>102.92444757638296</v>
      </c>
      <c r="E7" s="10">
        <f>IF(E6=".", ".", IF('Summary, PPI''s'!U7=".",IF(OR('Summary, hourly ad costs'!U7=-9999,'Summary, hourly ad costs'!U7=0), ".", 'Predicted PPIs'!E6*('Summary, hourly ad costs'!E7/'Summary, hourly ad costs'!U7)/('Summary, hourly ad costs'!E6/'Summary, hourly ad costs'!U6)), 'Summary, PPI''s'!U7))</f>
        <v>102.79646317214537</v>
      </c>
      <c r="F7" s="10">
        <f>IF(F6=".", ".", IF('Summary, PPI''s'!V7=".",IF(OR('Summary, hourly ad costs'!V7=-9999,'Summary, hourly ad costs'!V7=0), ".", 'Predicted PPIs'!F6*('Summary, hourly ad costs'!F7/'Summary, hourly ad costs'!V7)/('Summary, hourly ad costs'!F6/'Summary, hourly ad costs'!V6)), 'Summary, PPI''s'!V7))</f>
        <v>107.89571234400098</v>
      </c>
      <c r="G7" s="10">
        <f>IF(G6=".", ".", IF('Summary, PPI''s'!W7=".",IF(OR('Summary, hourly ad costs'!W7=-9999,'Summary, hourly ad costs'!W7=0), ".", 'Predicted PPIs'!G6*('Summary, hourly ad costs'!G7/'Summary, hourly ad costs'!W7)/('Summary, hourly ad costs'!G6/'Summary, hourly ad costs'!W6)), 'Summary, PPI''s'!W7))</f>
        <v>100.95006304430699</v>
      </c>
      <c r="H7" s="10">
        <f>IF(H6=".", ".", IF('Summary, PPI''s'!X7=".",IF(OR('Summary, hourly ad costs'!X7=-9999,'Summary, hourly ad costs'!X7=0), ".", 'Predicted PPIs'!H6*('Summary, hourly ad costs'!H7/'Summary, hourly ad costs'!X7)/('Summary, hourly ad costs'!H6/'Summary, hourly ad costs'!X6)), 'Summary, PPI''s'!X7))</f>
        <v>109.02800000000001</v>
      </c>
      <c r="I7" s="10">
        <f>IF(I6=".", ".", IF('Summary, PPI''s'!Y7=".",IF(OR('Summary, hourly ad costs'!Y7=-9999,'Summary, hourly ad costs'!Y7=0), ".", 'Predicted PPIs'!I6*('Summary, hourly ad costs'!I7/'Summary, hourly ad costs'!Y7)/('Summary, hourly ad costs'!I6/'Summary, hourly ad costs'!Y6)), 'Summary, PPI''s'!Y7))</f>
        <v>101.34908664320432</v>
      </c>
      <c r="J7" s="10">
        <f>IF(J6=".", ".", IF('Summary, PPI''s'!Z7=".",IF(OR('Summary, hourly ad costs'!Z7=-9999,'Summary, hourly ad costs'!Z7=0), ".", 'Predicted PPIs'!J6*('Summary, hourly ad costs'!J7/'Summary, hourly ad costs'!Z7)/('Summary, hourly ad costs'!J6/'Summary, hourly ad costs'!Z6)), 'Summary, PPI''s'!Z7))</f>
        <v>99.005305039787771</v>
      </c>
      <c r="K7" s="10">
        <f>IF(K6=".", ".", IF('Summary, PPI''s'!AA7=".",IF(OR('Summary, hourly ad costs'!AA7=-9999,'Summary, hourly ad costs'!AA7=0), ".", 'Predicted PPIs'!K6*('Summary, hourly ad costs'!K7/'Summary, hourly ad costs'!AA7)/('Summary, hourly ad costs'!K6/'Summary, hourly ad costs'!AA6)), 'Summary, PPI''s'!AA7))</f>
        <v>99.815949069185024</v>
      </c>
      <c r="L7" s="10">
        <f>IF(L6=".", ".", IF('Summary, PPI''s'!AB7=".",IF(OR('Summary, hourly ad costs'!AB7=-9999,'Summary, hourly ad costs'!AB7=0), ".", 'Predicted PPIs'!L6*('Summary, hourly ad costs'!L7/'Summary, hourly ad costs'!AB7)/('Summary, hourly ad costs'!L6/'Summary, hourly ad costs'!AB6)), 'Summary, PPI''s'!AB7))</f>
        <v>85.836466165413526</v>
      </c>
      <c r="M7" s="10">
        <f>IF(M6=".", ".", IF('Summary, PPI''s'!AC7=".",IF(OR('Summary, hourly ad costs'!AC7=-9999,'Summary, hourly ad costs'!AC7=0), ".", 'Predicted PPIs'!M6*('Summary, hourly ad costs'!M7/'Summary, hourly ad costs'!AC7)/('Summary, hourly ad costs'!M6/'Summary, hourly ad costs'!AC6)), 'Summary, PPI''s'!AC7))</f>
        <v>77.28650833754422</v>
      </c>
      <c r="N7" s="10">
        <f>IF(N6=".", ".", IF('Summary, PPI''s'!AD7=".",IF(OR('Summary, hourly ad costs'!AD7=-9999,'Summary, hourly ad costs'!AD7=0), ".", 'Predicted PPIs'!N6*('Summary, hourly ad costs'!N7/'Summary, hourly ad costs'!AD7)/('Summary, hourly ad costs'!N6/'Summary, hourly ad costs'!AD6)), 'Summary, PPI''s'!AD7))</f>
        <v>106.05323777834656</v>
      </c>
      <c r="O7" s="10">
        <f>IF(O6=".", ".", IF('Summary, PPI''s'!AE7=".",IF(OR('Summary, hourly ad costs'!AE7=-9999,'Summary, hourly ad costs'!AE7=0), ".", 'Predicted PPIs'!O6*('Summary, hourly ad costs'!O7/'Summary, hourly ad costs'!AE7)/('Summary, hourly ad costs'!O6/'Summary, hourly ad costs'!AE6)), 'Summary, PPI''s'!AE7))</f>
        <v>113.105</v>
      </c>
      <c r="P7" s="10">
        <f>IF(P6=".", ".", IF('Summary, PPI''s'!AF7=".",IF(OR('Summary, hourly ad costs'!AF7=-9999,'Summary, hourly ad costs'!AF7=0), ".", 'Predicted PPIs'!P6*('Summary, hourly ad costs'!P7/'Summary, hourly ad costs'!AF7)/('Summary, hourly ad costs'!P6/'Summary, hourly ad costs'!AF6)), 'Summary, PPI''s'!AF7))</f>
        <v>108.85299999999999</v>
      </c>
      <c r="R7" s="1">
        <f>IF(E$26=".", 0, 'Summary, PPI''s'!E7)+IF(F$26=".", 0, 'Summary, PPI''s'!F7)+IF(G$26=".", 0, 'Summary, PPI''s'!G7)+IF(H$26=".", 0, 'Summary, PPI''s'!H7)+IF(I$26=".", 0, 'Summary, PPI''s'!I7)+IF(J$26=".", 0, 'Summary, PPI''s'!J7)+IF(K$26=".", 0, 'Summary, PPI''s'!K7)+IF(L$26=".", 0, 'Summary, PPI''s'!L7)+IF(M$26=".", 0, 'Summary, PPI''s'!M7)+IF(B$26=".", 0, 'Summary, PPI''s'!B7)+IF(C$26=".", 0, 'Summary, PPI''s'!C7)+IF(D$26=".", 0, 'Summary, PPI''s'!D7)+IF(N$26=".", 0, 'Summary, PPI''s'!N7)+IF(O$26=".", 0, 'Summary, PPI''s'!O7)+IF(P$26=".", 0, 'Summary, PPI''s'!P7)</f>
        <v>405120558.43640727</v>
      </c>
      <c r="S7" s="1">
        <f>IF(E$36=".", 0, 'Summary, PPI''s'!E7)+IF(F$36=".", 0, 'Summary, PPI''s'!F7)+IF(G$36=".", 0, 'Summary, PPI''s'!G7)+IF(H$36=".", 0, 'Summary, PPI''s'!H7)+IF(I$36=".", 0, 'Summary, PPI''s'!I7)+IF(J$36=".", 0, 'Summary, PPI''s'!J7)+IF(K$36=".", 0, 'Summary, PPI''s'!K7)+IF(L$36=".", 0, 'Summary, PPI''s'!L7)+IF(M$36=".", 0, 'Summary, PPI''s'!M7)+IF(B$36=".", 0, 'Summary, PPI''s'!B7)+IF(C$36=".", 0, 'Summary, PPI''s'!C7)+IF(D$36=".", 0, 'Summary, PPI''s'!D7)+IF(N$36=".", 0, 'Summary, PPI''s'!N7)+IF(O$36=".", 0, 'Summary, PPI''s'!O7)+IF(P$36=".", 0, 'Summary, PPI''s'!P7)</f>
        <v>310071800.50217074</v>
      </c>
      <c r="T7" s="1">
        <f>IF(E$46=".", 0, 'Summary, PPI''s'!E7)+IF(F$46=".", 0, 'Summary, PPI''s'!F7)+IF(G$46=".", 0, 'Summary, PPI''s'!G7)+IF(H$46=".", 0, 'Summary, PPI''s'!H7)+IF(I$46=".", 0, 'Summary, PPI''s'!I7)+IF(J$46=".", 0, 'Summary, PPI''s'!J7)+IF(K$46=".", 0, 'Summary, PPI''s'!K7)+IF(L$46=".", 0, 'Summary, PPI''s'!L7)+IF(M$46=".", 0, 'Summary, PPI''s'!M7)+IF(B$46=".", 0, 'Summary, PPI''s'!B7)+IF(C$46=".", 0, 'Summary, PPI''s'!C7)+IF(D$46=".", 0, 'Summary, PPI''s'!D7)+IF(N$46=".", 0, 'Summary, PPI''s'!N7)+IF(O$46=".", 0, 'Summary, PPI''s'!O7)+IF(P$46=".", 0, 'Summary, PPI''s'!P7)</f>
        <v>172157125.71352777</v>
      </c>
      <c r="U7" s="1">
        <f>IF(E$60=".", 0, 'Summary, PPI''s'!E7)+IF(F$60=".", 0, 'Summary, PPI''s'!F7)+IF(G$60=".", 0, 'Summary, PPI''s'!G7)+IF(H$60=".", 0, 'Summary, PPI''s'!H7)+IF(I$60=".", 0, 'Summary, PPI''s'!I7)+IF(J$60=".", 0, 'Summary, PPI''s'!J7)+IF(K$60=".", 0, 'Summary, PPI''s'!K7)+IF(L$60=".", 0, 'Summary, PPI''s'!L7)+IF(M$60=".", 0, 'Summary, PPI''s'!M7)+IF(B$60=".", 0, 'Summary, PPI''s'!B7)+IF(C$60=".", 0, 'Summary, PPI''s'!C7)+IF(D$60=".", 0, 'Summary, PPI''s'!D7)+IF(N$60=".", 0, 'Summary, PPI''s'!N7)+IF(O$60=".", 0, 'Summary, PPI''s'!O7)+IF(P$60=".", 0, 'Summary, PPI''s'!P7)</f>
        <v>97640895.932782978</v>
      </c>
      <c r="V7" s="1">
        <f>IF(E$73=".", 0, 'Summary, PPI''s'!E7)+IF(F$73=".", 0, 'Summary, PPI''s'!F7)+IF(G$73=".", 0, 'Summary, PPI''s'!G7)+IF(H$73=".", 0, 'Summary, PPI''s'!H7)+IF(I$73=".", 0, 'Summary, PPI''s'!I7)+IF(J$73=".", 0, 'Summary, PPI''s'!J7)+IF(K$73=".", 0, 'Summary, PPI''s'!K7)+IF(L$73=".", 0, 'Summary, PPI''s'!L7)+IF(M$73=".", 0, 'Summary, PPI''s'!M7)+IF(B$73=".", 0, 'Summary, PPI''s'!B7)+IF(C$73=".", 0, 'Summary, PPI''s'!C7)+IF(D$73=".", 0, 'Summary, PPI''s'!D7)+IF(N$73=".", 0, 'Summary, PPI''s'!N7)+IF(O$73=".", 0, 'Summary, PPI''s'!O7)+IF(P$73=".", 0, 'Summary, PPI''s'!P7)</f>
        <v>85196884.359186664</v>
      </c>
      <c r="W7" s="1">
        <f>IF(E$94=".",0,'Summary, PPI''s'!E7)+IF(F$94=".",0,'Summary, PPI''s'!F7)+IF(G$94=".",0,'Summary, PPI''s'!G7)+IF(H$94=".",0,'Summary, PPI''s'!H7)+IF(I$94=".",0,'Summary, PPI''s'!I7)+IF(J$94=".",0,'Summary, PPI''s'!J7)+IF(K$94=".",0,'Summary, PPI''s'!K7)+IF(L$94=".",0,'Summary, PPI''s'!L7)+IF(M$94=".",0,'Summary, PPI''s'!M7)+IF(B$94=".",0,'Summary, PPI''s'!B7)+IF(C$94=".",0,'Summary, PPI''s'!C7)+IF(D$94=".",0,'Summary, PPI''s'!D7)+IF(N$94=".",0,'Summary, PPI''s'!N7)+IF(O$94=".",0,'Summary, PPI''s'!O7)+IF(P$94=".",0,'Summary, PPI''s'!P7)</f>
        <v>44892019.119484231</v>
      </c>
      <c r="X7" s="1">
        <f>IF(E$123=".", 0, 'Summary, PPI''s'!E7)+IF(F$123=".", 0, 'Summary, PPI''s'!F7)+IF(G$123=".", 0, 'Summary, PPI''s'!G7)+IF(H$123=".", 0, 'Summary, PPI''s'!H7)+IF(I$123=".", 0, 'Summary, PPI''s'!I7)+IF(J$123=".", 0, 'Summary, PPI''s'!J7)+IF(K$123=".", 0, 'Summary, PPI''s'!K7)+IF(L$123=".", 0, 'Summary, PPI''s'!L7)+IF(M$123=".", 0, 'Summary, PPI''s'!M7)+IF(B$123=".", 0, 'Summary, PPI''s'!B7)+IF(C$123=".", 0, 'Summary, PPI''s'!C7)+IF(D$123=".", 0, 'Summary, PPI''s'!D7)+IF(N$123=".", 0, 'Summary, PPI''s'!N7)+IF(O$123=".", 0, 'Summary, PPI''s'!O7)+IF(P$123=".", 0, 'Summary, PPI''s'!P7)</f>
        <v>31587224.588614304</v>
      </c>
      <c r="Z7" s="4">
        <f>Z6*IF(E$26=".", 1, (E7/E6)^(('Summary, PPI''s'!$E7+'Summary, PPI''s'!$E6)/('Predicted PPIs'!R7+'Predicted PPIs'!R6)))*IF(F$26=".", 1, (F7/F6)^(('Summary, PPI''s'!$F7+'Summary, PPI''s'!$F6)/('Predicted PPIs'!R7+'Predicted PPIs'!R6)))*IF(G$26=".", 1, (G7/G6)^(('Summary, PPI''s'!$G7+'Summary, PPI''s'!$G6)/('Predicted PPIs'!R7+'Predicted PPIs'!R6)))*IF(H$26=".", 1, (H7/H6)^(('Summary, PPI''s'!$H7+'Summary, PPI''s'!$H6)/('Predicted PPIs'!R7+'Predicted PPIs'!R6)))*IF(I$26=".", 1, (I7/I6)^(('Summary, PPI''s'!$I7+'Summary, PPI''s'!$I6)/('Predicted PPIs'!R7+'Predicted PPIs'!R6)))*IF(J$26=".", 1, (J7/J6)^(('Summary, PPI''s'!$J7+'Summary, PPI''s'!$J6)/('Predicted PPIs'!R7+'Predicted PPIs'!R6)))*IF(K$26=".", 1, (K7/K6)^(('Summary, PPI''s'!$K7+'Summary, PPI''s'!$K6)/('Predicted PPIs'!R7+'Predicted PPIs'!R6)))*IF(L$26=".", 1, (L7/L6)^(('Summary, PPI''s'!$L7+'Summary, PPI''s'!$L6)/('Predicted PPIs'!R7+'Predicted PPIs'!R6)))*IF(M$26=".", 1, (M7/M6)^(('Summary, PPI''s'!$M7+'Summary, PPI''s'!$M6)/('Predicted PPIs'!R7+'Predicted PPIs'!R6)))*IF(B$26=".", 1, (B7/B6)^(('Summary, PPI''s'!$B7+'Summary, PPI''s'!$B6)/('Predicted PPIs'!R7+'Predicted PPIs'!R6)))*IF(C$26=".", 1, (C7/C6)^(('Summary, PPI''s'!$C7+'Summary, PPI''s'!$C6)/('Predicted PPIs'!R7+'Predicted PPIs'!R6)))*IF(D$26=".", 1, (D7/D6)^(('Summary, PPI''s'!$D7+'Summary, PPI''s'!$D6)/('Predicted PPIs'!R7+'Predicted PPIs'!R6)))*IF(N$26=".", 1, (N7/N6)^(('Summary, PPI''s'!$N7+'Summary, PPI''s'!$N6)/('Predicted PPIs'!R7+'Predicted PPIs'!R6)))*IF(O$26=".", 1, (O7/O6)^(('Summary, PPI''s'!$O7+'Summary, PPI''s'!$O6)/('Predicted PPIs'!R7+'Predicted PPIs'!R6)))*IF(P$26=".", 1, (P7/P6)^(('Summary, PPI''s'!$P7+'Summary, PPI''s'!$P6)/('Predicted PPIs'!R7+'Predicted PPIs'!R6)))</f>
        <v>107.33412897037465</v>
      </c>
      <c r="AA7" s="4">
        <f>AA6*IF(E$36=".", 1, (E7/E6)^(('Summary, PPI''s'!$E7+'Summary, PPI''s'!$E6)/('Predicted PPIs'!S7+'Predicted PPIs'!S6)))*IF(F$36=".", 1, (F7/F6)^(('Summary, PPI''s'!$F7+'Summary, PPI''s'!$F6)/('Predicted PPIs'!S7+'Predicted PPIs'!S6)))*IF(G$36=".", 1, (G7/G6)^(('Summary, PPI''s'!$G7+'Summary, PPI''s'!$G6)/('Predicted PPIs'!S7+'Predicted PPIs'!S6)))*IF(H$36=".", 1, (H7/H6)^(('Summary, PPI''s'!$H7+'Summary, PPI''s'!$H6)/('Predicted PPIs'!S7+'Predicted PPIs'!S6)))*IF(I$36=".", 1, (I7/I6)^(('Summary, PPI''s'!$I7+'Summary, PPI''s'!$I6)/('Predicted PPIs'!S7+'Predicted PPIs'!S6)))*IF(J$36=".", 1, (J7/J6)^(('Summary, PPI''s'!$J7+'Summary, PPI''s'!$J6)/('Predicted PPIs'!S7+'Predicted PPIs'!S6)))*IF(K$36=".", 1, (K7/K6)^(('Summary, PPI''s'!$K7+'Summary, PPI''s'!$K6)/('Predicted PPIs'!S7+'Predicted PPIs'!S6)))*IF(L$36=".", 1, (L7/L6)^(('Summary, PPI''s'!$L7+'Summary, PPI''s'!$L6)/('Predicted PPIs'!S7+'Predicted PPIs'!S6)))*IF(M$36=".", 1, (M7/M6)^(('Summary, PPI''s'!$M7+'Summary, PPI''s'!$M6)/('Predicted PPIs'!S7+'Predicted PPIs'!S6)))*IF(B$36=".", 1, (B7/B6)^(('Summary, PPI''s'!$B7+'Summary, PPI''s'!$B6)/('Predicted PPIs'!S7+'Predicted PPIs'!S6)))*IF(C$36=".", 1, (C7/C6)^(('Summary, PPI''s'!$C7+'Summary, PPI''s'!$C6)/('Predicted PPIs'!S7+'Predicted PPIs'!S6)))*IF(D$36=".", 1, (D7/D6)^(('Summary, PPI''s'!$D7+'Summary, PPI''s'!$D6)/('Predicted PPIs'!S7+'Predicted PPIs'!S6)))*IF(N$36=".", 1, (N7/N6)^(('Summary, PPI''s'!$N7+'Summary, PPI''s'!$N6)/('Predicted PPIs'!S7+'Predicted PPIs'!S6)))*IF(O$36=".", 1, (O7/O6)^(('Summary, PPI''s'!$O7+'Summary, PPI''s'!$O6)/('Predicted PPIs'!S7+'Predicted PPIs'!S6)))*IF(P$36=".", 1, (P7/P6)^(('Summary, PPI''s'!$P7+'Summary, PPI''s'!$P6)/('Predicted PPIs'!S7+'Predicted PPIs'!S6)))</f>
        <v>100.97081068411698</v>
      </c>
      <c r="AB7" s="4">
        <f>AB6*IF(E$46=".", 1, (E7/E6)^(('Summary, PPI''s'!$E7+'Summary, PPI''s'!$E6)/('Predicted PPIs'!T7+'Predicted PPIs'!T6)))*IF(F$46=".", 1, (F7/F6)^(('Summary, PPI''s'!$F7+'Summary, PPI''s'!$F6)/('Predicted PPIs'!T7+'Predicted PPIs'!T6)))*IF(G$46=".", 1, (G7/G6)^(('Summary, PPI''s'!$G7+'Summary, PPI''s'!$G6)/('Predicted PPIs'!T7+'Predicted PPIs'!T6)))*IF(H$46=".", 1, (H7/H6)^(('Summary, PPI''s'!$H7+'Summary, PPI''s'!$H6)/('Predicted PPIs'!T7+'Predicted PPIs'!T6)))*IF(I$46=".", 1, (I7/I6)^(('Summary, PPI''s'!$I7+'Summary, PPI''s'!$I6)/('Predicted PPIs'!T7+'Predicted PPIs'!T6)))*IF(J$46=".", 1, (J7/J6)^(('Summary, PPI''s'!$J7+'Summary, PPI''s'!$J6)/('Predicted PPIs'!T7+'Predicted PPIs'!T6)))*IF(K$46=".", 1, (K7/K6)^(('Summary, PPI''s'!$K7+'Summary, PPI''s'!$K6)/('Predicted PPIs'!T7+'Predicted PPIs'!T6)))*IF(L$46=".", 1, (L7/L6)^(('Summary, PPI''s'!$L7+'Summary, PPI''s'!$L6)/('Predicted PPIs'!T7+'Predicted PPIs'!T6)))*IF(M$46=".", 1, (M7/M6)^(('Summary, PPI''s'!$M7+'Summary, PPI''s'!$M6)/('Predicted PPIs'!T7+'Predicted PPIs'!T6)))*IF(B$46=".", 1, (B7/B6)^(('Summary, PPI''s'!$B7+'Summary, PPI''s'!$B6)/('Predicted PPIs'!T7+'Predicted PPIs'!T6)))*IF(C$46=".", 1, (C7/C6)^(('Summary, PPI''s'!$C7+'Summary, PPI''s'!$C6)/('Predicted PPIs'!T7+'Predicted PPIs'!T6)))*IF(D$46=".", 1, (D7/D6)^(('Summary, PPI''s'!$D7+'Summary, PPI''s'!$D6)/('Predicted PPIs'!T7+'Predicted PPIs'!T6)))*IF(N$46=".", 1, (N7/N6)^(('Summary, PPI''s'!$N7+'Summary, PPI''s'!$N6)/('Predicted PPIs'!T7+'Predicted PPIs'!T6)))*IF(O$46=".", 1, (O7/O6)^(('Summary, PPI''s'!$O7+'Summary, PPI''s'!$O6)/('Predicted PPIs'!T7+'Predicted PPIs'!T6)))*IF(P$46=".", 1, (P7/P6)^(('Summary, PPI''s'!$P7+'Summary, PPI''s'!$P6)/('Predicted PPIs'!T7+'Predicted PPIs'!T6)))</f>
        <v>102.04770210582443</v>
      </c>
      <c r="AC7" s="4">
        <f>AC6*IF(E$60=".",1,(E7/E6)^(('Summary, PPI''s'!$E7+'Summary, PPI''s'!$E6)/('Predicted PPIs'!U7+'Predicted PPIs'!U6)))*IF(F$60=".",1,(F7/F6)^(('Summary, PPI''s'!$F7+'Summary, PPI''s'!$F6)/('Predicted PPIs'!U7+'Predicted PPIs'!U6)))*IF(G$60=".",1,(G7/G6)^(('Summary, PPI''s'!$G7+'Summary, PPI''s'!$G6)/('Predicted PPIs'!U7+'Predicted PPIs'!U6)))*IF(H$60=".",1,(H7/H6)^(('Summary, PPI''s'!$H7+'Summary, PPI''s'!$H6)/('Predicted PPIs'!U7+'Predicted PPIs'!U6)))*IF(I$60=".",1,(I7/I6)^(('Summary, PPI''s'!$I7+'Summary, PPI''s'!$I6)/('Predicted PPIs'!U7+'Predicted PPIs'!U6)))*IF(J$60=".",1,(J7/J6)^(('Summary, PPI''s'!$J7+'Summary, PPI''s'!$J6)/('Predicted PPIs'!U7+'Predicted PPIs'!U6)))*IF(K$60=".",1,(K7/K6)^(('Summary, PPI''s'!$K7+'Summary, PPI''s'!$K6)/('Predicted PPIs'!U7+'Predicted PPIs'!U6)))*IF(L$60=".",1,(L7/L6)^(('Summary, PPI''s'!$L7+'Summary, PPI''s'!$L6)/('Predicted PPIs'!U7+'Predicted PPIs'!U6)))*IF(M$60=".",1,(M7/M6)^(('Summary, PPI''s'!$M7+'Summary, PPI''s'!$M6)/('Predicted PPIs'!U7+'Predicted PPIs'!U6)))*IF(B$60=".",1,(B7/B6)^(('Summary, PPI''s'!$B7+'Summary, PPI''s'!$B6)/('Predicted PPIs'!U7+'Predicted PPIs'!U6)))*IF(C$60=".",1,(C7/C6)^(('Summary, PPI''s'!$C7+'Summary, PPI''s'!$C6)/('Predicted PPIs'!U7+'Predicted PPIs'!U6)))*IF(D$60=".",1,(D7/D6)^(('Summary, PPI''s'!$D7+'Summary, PPI''s'!$D6)/('Predicted PPIs'!U7+'Predicted PPIs'!U6)))*IF(N$60=".",1,(N7/N6)^(('Summary, PPI''s'!$N7+'Summary, PPI''s'!$N6)/('Predicted PPIs'!U7+'Predicted PPIs'!U6)))*IF(O$60=".",1,(O7/O6)^(('Summary, PPI''s'!$O7+'Summary, PPI''s'!$O6)/('Predicted PPIs'!U7+'Predicted PPIs'!U6)))*IF(P$60=".",1,(P7/P6)^(('Summary, PPI''s'!$P7+'Summary, PPI''s'!$P6)/('Predicted PPIs'!U7+'Predicted PPIs'!U6)))</f>
        <v>106.08541312592148</v>
      </c>
      <c r="AD7" s="4">
        <f>AD6*IF(E$73=".", 1, (E7/E6)^(('Summary, PPI''s'!$E7+'Summary, PPI''s'!$E6)/('Predicted PPIs'!V7+'Predicted PPIs'!V6)))*IF(F$73=".", 1, (F7/F6)^(('Summary, PPI''s'!$F7+'Summary, PPI''s'!$F6)/('Predicted PPIs'!V7+'Predicted PPIs'!V6)))*IF(G$73=".", 1, (G7/G6)^(('Summary, PPI''s'!$G7+'Summary, PPI''s'!$G6)/('Predicted PPIs'!V7+'Predicted PPIs'!V6)))*IF(H$73=".", 1, (H7/H6)^(('Summary, PPI''s'!$H7+'Summary, PPI''s'!$H6)/('Predicted PPIs'!V7+'Predicted PPIs'!V6)))*IF(I$73=".", 1, (I7/I6)^(('Summary, PPI''s'!$I7+'Summary, PPI''s'!$I6)/('Predicted PPIs'!V7+'Predicted PPIs'!V6)))*IF(J$73=".", 1, (J7/J6)^(('Summary, PPI''s'!$J7+'Summary, PPI''s'!$J6)/('Predicted PPIs'!V7+'Predicted PPIs'!V6)))*IF(K$73=".", 1, (K7/K6)^(('Summary, PPI''s'!$K7+'Summary, PPI''s'!$K6)/('Predicted PPIs'!V7+'Predicted PPIs'!V6)))*IF(L$73=".", 1, (L7/L6)^(('Summary, PPI''s'!$L7+'Summary, PPI''s'!$L6)/('Predicted PPIs'!V7+'Predicted PPIs'!V6)))*IF(M$73=".", 1, (M7/M6)^(('Summary, PPI''s'!$M7+'Summary, PPI''s'!$M6)/('Predicted PPIs'!V7+'Predicted PPIs'!V6)))*IF(B$73=".", 1, (B7/B6)^(('Summary, PPI''s'!$B7+'Summary, PPI''s'!$B6)/('Predicted PPIs'!V7+'Predicted PPIs'!V6)))*IF(C$73=".", 1, (C7/C6)^(('Summary, PPI''s'!$C7+'Summary, PPI''s'!$C6)/('Predicted PPIs'!V7+'Predicted PPIs'!V6)))*IF(D$73=".", 1, (D7/D6)^(('Summary, PPI''s'!$D7+'Summary, PPI''s'!$D6)/('Predicted PPIs'!V7+'Predicted PPIs'!V6)))*IF(N$73=".", 1, (N7/N6)^(('Summary, PPI''s'!$N7+'Summary, PPI''s'!$N6)/('Predicted PPIs'!V7+'Predicted PPIs'!V6)))*IF(O$73=".", 1, (O7/O6)^(('Summary, PPI''s'!$O7+'Summary, PPI''s'!$O6)/('Predicted PPIs'!V7+'Predicted PPIs'!V6)))*IF(P$73=".", 1, (P7/P6)^(('Summary, PPI''s'!$P7+'Summary, PPI''s'!$P6)/('Predicted PPIs'!V7+'Predicted PPIs'!V6)))</f>
        <v>107.01980192290158</v>
      </c>
      <c r="AE7" s="4">
        <f>AE6*IF(E$94=".", 1, (E7/E6)^(('Summary, PPI''s'!$E7+'Summary, PPI''s'!$E6)/('Predicted PPIs'!W7+'Predicted PPIs'!W6)))*IF(F$94=".", 1, (F7/F6)^(('Summary, PPI''s'!$F7+'Summary, PPI''s'!$F6)/('Predicted PPIs'!W7+'Predicted PPIs'!W6)))*IF(G$94=".", 1, (G7/G6)^(('Summary, PPI''s'!$G7+'Summary, PPI''s'!$G6)/('Predicted PPIs'!W7+'Predicted PPIs'!W6)))*IF(H$94=".", 1, (H7/H6)^(('Summary, PPI''s'!$H7+'Summary, PPI''s'!$H6)/('Predicted PPIs'!W7+'Predicted PPIs'!W6)))*IF(I$94=".", 1, (I7/I6)^(('Summary, PPI''s'!$I7+'Summary, PPI''s'!$I6)/('Predicted PPIs'!W7+'Predicted PPIs'!W6)))*IF(J$94=".", 1, (J7/J6)^(('Summary, PPI''s'!$J7+'Summary, PPI''s'!$J6)/('Predicted PPIs'!W7+'Predicted PPIs'!W6)))*IF(K$94=".", 1, (K7/K6)^(('Summary, PPI''s'!$K7+'Summary, PPI''s'!$K6)/('Predicted PPIs'!W7+'Predicted PPIs'!W6)))*IF(L$94=".", 1, (L7/L6)^(('Summary, PPI''s'!$L7+'Summary, PPI''s'!$L6)/('Predicted PPIs'!W7+'Predicted PPIs'!W6)))*IF(M$94=".", 1, (M7/M6)^(('Summary, PPI''s'!$M7+'Summary, PPI''s'!$M6)/('Predicted PPIs'!W7+'Predicted PPIs'!W6)))*IF(B$94=".", 1, (B7/B6)^(('Summary, PPI''s'!$B7+'Summary, PPI''s'!$B6)/('Predicted PPIs'!W7+'Predicted PPIs'!W6)))*IF(C$94=".", 1, (C7/C6)^(('Summary, PPI''s'!$C7+'Summary, PPI''s'!$C6)/('Predicted PPIs'!W7+'Predicted PPIs'!W6)))*IF(D$94=".", 1, (D7/D6)^(('Summary, PPI''s'!$D7+'Summary, PPI''s'!$D6)/('Predicted PPIs'!W7+'Predicted PPIs'!W6)))*IF(N$94=".", 1, (N7/N6)^(('Summary, PPI''s'!$N7+'Summary, PPI''s'!$N6)/('Predicted PPIs'!W7+'Predicted PPIs'!W6)))*IF(O$94=".", 1, (O7/O6)^(('Summary, PPI''s'!$O7+'Summary, PPI''s'!$O6)/('Predicted PPIs'!W7+'Predicted PPIs'!W6)))*IF(P$94=".", 1, (P7/P6)^(('Summary, PPI''s'!$P7+'Summary, PPI''s'!$P6)/('Predicted PPIs'!W7+'Predicted PPIs'!W6)))</f>
        <v>104.29921930817417</v>
      </c>
      <c r="AF7" s="4">
        <f>AF6*IF(E$123=".", 1, (E7/E6)^(('Summary, PPI''s'!$E7+'Summary, PPI''s'!$E6)/('Predicted PPIs'!X7+'Predicted PPIs'!X6)))*IF(F$123=".", 1, (F7/F6)^(('Summary, PPI''s'!$F7+'Summary, PPI''s'!$F6)/('Predicted PPIs'!X7+'Predicted PPIs'!X6)))*IF(G$123=".", 1, (G7/G6)^(('Summary, PPI''s'!$G7+'Summary, PPI''s'!$G6)/('Predicted PPIs'!X7+'Predicted PPIs'!X6)))*IF(H$123=".", 1, (H7/H6)^(('Summary, PPI''s'!$H7+'Summary, PPI''s'!$H6)/('Predicted PPIs'!X7+'Predicted PPIs'!X6)))*IF(I$123=".", 1, (I7/I6)^(('Summary, PPI''s'!$I7+'Summary, PPI''s'!$I6)/('Predicted PPIs'!X7+'Predicted PPIs'!X6)))*IF(J$123=".", 1, (J7/J6)^(('Summary, PPI''s'!$J7+'Summary, PPI''s'!$J6)/('Predicted PPIs'!X7+'Predicted PPIs'!X6)))*IF(K$123=".", 1, (K7/K6)^(('Summary, PPI''s'!$K7+'Summary, PPI''s'!$K6)/('Predicted PPIs'!X7+'Predicted PPIs'!X6)))*IF(L$123=".", 1, (L7/L6)^(('Summary, PPI''s'!$L7+'Summary, PPI''s'!$L6)/('Predicted PPIs'!X7+'Predicted PPIs'!X6)))*IF(M$123=".", 1, (M7/M6)^(('Summary, PPI''s'!$M7+'Summary, PPI''s'!$M6)/('Predicted PPIs'!X7+'Predicted PPIs'!X6)))*IF(B$123=".", 1, (B7/B6)^(('Summary, PPI''s'!$B7+'Summary, PPI''s'!$B6)/('Predicted PPIs'!X7+'Predicted PPIs'!X6)))*IF(C$123=".", 1, (C7/C6)^(('Summary, PPI''s'!$C7+'Summary, PPI''s'!$C6)/('Predicted PPIs'!X7+'Predicted PPIs'!X6)))*IF(D$123=".", 1, (D7/D6)^(('Summary, PPI''s'!$D7+'Summary, PPI''s'!$D6)/('Predicted PPIs'!X7+'Predicted PPIs'!X6)))*IF(N$123=".", 1, (N7/N6)^(('Summary, PPI''s'!$N7+'Summary, PPI''s'!$N6)/('Predicted PPIs'!X7+'Predicted PPIs'!X6)))*IF(O$123=".", 1, (O7/O6)^(('Summary, PPI''s'!$O7+'Summary, PPI''s'!$O6)/('Predicted PPIs'!X7+'Predicted PPIs'!X6)))*IF(P$123=".", 1, (P7/P6)^(('Summary, PPI''s'!$P7+'Summary, PPI''s'!$P6)/('Predicted PPIs'!X7+'Predicted PPIs'!X6)))</f>
        <v>102.38618036190593</v>
      </c>
      <c r="AH7" s="13">
        <f t="shared" si="32"/>
        <v>107.33412897037465</v>
      </c>
      <c r="AJ7" s="4">
        <v>12693.3</v>
      </c>
      <c r="AK7" s="4">
        <v>-0.498</v>
      </c>
      <c r="AL7" s="4">
        <v>-1465.6679999999999</v>
      </c>
      <c r="AM7" s="4">
        <v>-19.827999999999999</v>
      </c>
      <c r="AN7" s="4">
        <v>12894.4</v>
      </c>
      <c r="AO7" s="4">
        <v>3122.6</v>
      </c>
      <c r="AP7" s="4">
        <f>1494.747+0.004+0.286+19.146-1587.719</f>
        <v>-73.536000000000058</v>
      </c>
      <c r="AQ7" s="4">
        <f>1311.803+21.994+16.221+51.391-1951.077</f>
        <v>-549.66799999999989</v>
      </c>
      <c r="AR7" s="4">
        <v>-61.393999999999998</v>
      </c>
      <c r="AS7" s="4">
        <v>-81.977999999999994</v>
      </c>
      <c r="AT7" s="4">
        <v>104.148</v>
      </c>
      <c r="AU7" s="4">
        <v>89.460999999999999</v>
      </c>
      <c r="AV7" s="4">
        <v>111.527</v>
      </c>
      <c r="AW7" s="4">
        <v>103.077</v>
      </c>
      <c r="AX7" s="4">
        <v>98.247</v>
      </c>
      <c r="AY7" s="4">
        <v>104.202</v>
      </c>
      <c r="AZ7" s="4">
        <v>109.67</v>
      </c>
      <c r="BA7" s="4">
        <v>104.47</v>
      </c>
      <c r="BB7" s="4">
        <v>99.028999999999996</v>
      </c>
      <c r="BC7" s="4">
        <v>104.38800000000001</v>
      </c>
      <c r="BG7" s="4">
        <f t="shared" si="33"/>
        <v>112.30780495660652</v>
      </c>
      <c r="BI7" s="4">
        <v>323015995</v>
      </c>
      <c r="BJ7" s="4">
        <f>'[2]Ordinary Experience'!$E$419</f>
        <v>19.019561979442035</v>
      </c>
      <c r="BL7" s="4">
        <f t="shared" si="0"/>
        <v>108.32819772973527</v>
      </c>
      <c r="BM7" s="4">
        <f t="shared" si="34"/>
        <v>1.2380098215112767E-2</v>
      </c>
      <c r="BO7" s="4">
        <f>IF(OR('Summary, hourly ad costs'!R7=-9999,'Summary, PPI''s'!R7="."),".",(('Summary, hourly ad costs'!B7/'Summary, hourly ad costs'!R7)*100/('Summary, hourly ad costs'!B$11/'Summary, hourly ad costs'!R$11))/('Summary, PPI''s'!R7))</f>
        <v>0.98164854598411755</v>
      </c>
      <c r="BP7" s="4" t="str">
        <f>IF(OR('Summary, hourly ad costs'!S7=-9999,'Summary, PPI''s'!S7="."),".",(('Summary, hourly ad costs'!C7/'Summary, hourly ad costs'!S7)*100/('Summary, hourly ad costs'!C$11/'Summary, hourly ad costs'!S$11))/('Summary, PPI''s'!S7))</f>
        <v>.</v>
      </c>
      <c r="BQ7" s="4" t="str">
        <f>IF(OR('Summary, hourly ad costs'!T7=-9999,'Summary, PPI''s'!T7="."),".",(('Summary, hourly ad costs'!D7/'Summary, hourly ad costs'!T7)*100/('Summary, hourly ad costs'!D$11/'Summary, hourly ad costs'!T$11))/('Summary, PPI''s'!T7))</f>
        <v>.</v>
      </c>
      <c r="BR7" s="4">
        <f>IF(OR('Summary, hourly ad costs'!U7=-9999,'Summary, PPI''s'!U7="."),".",(('Summary, hourly ad costs'!E7/'Summary, hourly ad costs'!U7)*100/('Summary, hourly ad costs'!E$11/'Summary, hourly ad costs'!U$11))/('Summary, PPI''s'!U7))</f>
        <v>0.77469449911874799</v>
      </c>
      <c r="BS7" s="4">
        <f>IF(OR('Summary, hourly ad costs'!V7=-9999,'Summary, PPI''s'!V7="."),".",(('Summary, hourly ad costs'!F7/'Summary, hourly ad costs'!V7)*100/('Summary, hourly ad costs'!F$11/'Summary, hourly ad costs'!V$11))/('Summary, PPI''s'!V7))</f>
        <v>0.72180147373171755</v>
      </c>
      <c r="BT7" s="4" t="str">
        <f>IF(OR('Summary, hourly ad costs'!W7=-9999,'Summary, PPI''s'!W7="."),".",(('Summary, hourly ad costs'!G7/'Summary, hourly ad costs'!W7)*100/('Summary, hourly ad costs'!G$11/'Summary, hourly ad costs'!W$11))/('Summary, PPI''s'!W7))</f>
        <v>.</v>
      </c>
      <c r="BU7" s="4">
        <f>IF(OR('Summary, hourly ad costs'!X7=-9999,'Summary, PPI''s'!X7="."),".",(('Summary, hourly ad costs'!H7/'Summary, hourly ad costs'!X7)*100/('Summary, hourly ad costs'!H$11/'Summary, hourly ad costs'!X$11))/('Summary, PPI''s'!X7))</f>
        <v>1.0930423498265822</v>
      </c>
      <c r="BV7" s="4">
        <f>IF(OR('Summary, hourly ad costs'!Y7=-9999,'Summary, PPI''s'!Y7="."),".",(('Summary, hourly ad costs'!I7/'Summary, hourly ad costs'!Y7)*100/('Summary, hourly ad costs'!I$11/'Summary, hourly ad costs'!Y$11))/('Summary, PPI''s'!Y7))</f>
        <v>0.93503766962644486</v>
      </c>
      <c r="BW7" s="4">
        <f>IF(OR('Summary, hourly ad costs'!Z7=-9999,'Summary, PPI''s'!Z7="."),".",(('Summary, hourly ad costs'!J7/'Summary, hourly ad costs'!Z7)*100/('Summary, hourly ad costs'!J$11/'Summary, hourly ad costs'!Z$11))/('Summary, PPI''s'!Z7))</f>
        <v>1.4426114287158591</v>
      </c>
      <c r="BX7" s="4">
        <f>IF(OR('Summary, hourly ad costs'!AA7=-9999,'Summary, PPI''s'!AA7="."),".",(('Summary, hourly ad costs'!K7/'Summary, hourly ad costs'!AA7)*100/('Summary, hourly ad costs'!K$11/'Summary, hourly ad costs'!AA$11))/('Summary, PPI''s'!AA7))</f>
        <v>1.0484866528979913</v>
      </c>
      <c r="BY7" s="4">
        <f>IF(OR('Summary, hourly ad costs'!AB7=-9999,'Summary, PPI''s'!AB7="."),".",(('Summary, hourly ad costs'!L7/'Summary, hourly ad costs'!AB7)*100/('Summary, hourly ad costs'!L$11/'Summary, hourly ad costs'!AB$11))/('Summary, PPI''s'!AB7))</f>
        <v>1.6368903500157448</v>
      </c>
      <c r="BZ7" s="4">
        <f>IF(OR('Summary, hourly ad costs'!AC7=-9999,'Summary, PPI''s'!AC7="."),".",(('Summary, hourly ad costs'!M7/'Summary, hourly ad costs'!AC7)*100/('Summary, hourly ad costs'!M$11/'Summary, hourly ad costs'!AC$11))/('Summary, PPI''s'!AC7))</f>
        <v>1.4395647859197931</v>
      </c>
      <c r="CA7" s="4" t="str">
        <f>IF(OR('Summary, hourly ad costs'!AD7=-9999,'Summary, PPI''s'!AD7="."),".",(('Summary, hourly ad costs'!N7/'Summary, hourly ad costs'!AD7)*100/('Summary, hourly ad costs'!N$11/'Summary, hourly ad costs'!AD$11))/('Summary, PPI''s'!AD7))</f>
        <v>.</v>
      </c>
      <c r="CB7" s="4" t="str">
        <f>IF(OR('Summary, hourly ad costs'!AE7=-9999,'Summary, PPI''s'!AE7="."),".",(('Summary, hourly ad costs'!O7/'Summary, hourly ad costs'!AE7)*100/('Summary, hourly ad costs'!O$11/'Summary, hourly ad costs'!AE$11))/('Summary, PPI''s'!AE7))</f>
        <v>.</v>
      </c>
      <c r="CC7" s="4" t="str">
        <f>IF(OR('Summary, hourly ad costs'!AF7=-9999,'Summary, PPI''s'!AF7="."),".",(('Summary, hourly ad costs'!P7/'Summary, hourly ad costs'!AF7)*100/('Summary, hourly ad costs'!P$11/'Summary, hourly ad costs'!AF$11))/('Summary, PPI''s'!AF7))</f>
        <v>.</v>
      </c>
      <c r="CE7" s="4">
        <f t="shared" si="1"/>
        <v>-1.6687708812021418E-2</v>
      </c>
      <c r="CF7" s="4" t="str">
        <f t="shared" si="2"/>
        <v>.</v>
      </c>
      <c r="CG7" s="4" t="str">
        <f t="shared" si="3"/>
        <v>.</v>
      </c>
      <c r="CH7" s="4">
        <f t="shared" si="4"/>
        <v>-5.4298424527511213E-2</v>
      </c>
      <c r="CI7" s="4">
        <f t="shared" si="5"/>
        <v>-0.14174925594434118</v>
      </c>
      <c r="CJ7" s="4" t="str">
        <f t="shared" si="6"/>
        <v>.</v>
      </c>
      <c r="CK7" s="4">
        <f t="shared" si="7"/>
        <v>2.2029464583019021E-2</v>
      </c>
      <c r="CL7" s="4">
        <f t="shared" si="8"/>
        <v>-3.5843452502543061E-2</v>
      </c>
      <c r="CM7" s="4">
        <f t="shared" si="9"/>
        <v>8.1241665856285561E-2</v>
      </c>
      <c r="CN7" s="4">
        <f t="shared" si="10"/>
        <v>7.3413897676464446E-2</v>
      </c>
      <c r="CO7" s="4">
        <f t="shared" si="11"/>
        <v>0.22846838137642878</v>
      </c>
      <c r="CP7" s="4">
        <f t="shared" si="12"/>
        <v>9.8593057598883593E-3</v>
      </c>
      <c r="CQ7" s="4" t="str">
        <f t="shared" si="13"/>
        <v>.</v>
      </c>
      <c r="CR7" s="4" t="str">
        <f t="shared" si="14"/>
        <v>.</v>
      </c>
      <c r="CS7" s="4" t="str">
        <f t="shared" si="15"/>
        <v>.</v>
      </c>
      <c r="CU7" s="5">
        <f>IF(CU6=".", ".", IF('Summary, PPI''s'!R7=".",IF(OR('Summary, hourly ad costs'!R7=-9999,'Summary, hourly ad costs'!R7=0), ".", 'Predicted PPIs'!CU6*('Summary, hourly ad costs'!B7/'Summary, hourly ad costs'!R7)/('Summary, hourly ad costs'!B6/'Summary, hourly ad costs'!R6)/(1-CE6)), 'Summary, PPI''s'!R7))</f>
        <v>99.797279274473198</v>
      </c>
      <c r="CV7" s="5">
        <f>IF(CV6=".", ".", IF('Summary, PPI''s'!S7=".",IF(OR('Summary, hourly ad costs'!S7=-9999,'Summary, hourly ad costs'!S7=0), ".", 'Predicted PPIs'!CV6*('Summary, hourly ad costs'!C7/'Summary, hourly ad costs'!S7)/('Summary, hourly ad costs'!C6/'Summary, hourly ad costs'!S6)/(1-CF6)), 'Summary, PPI''s'!S7))</f>
        <v>99.797279274473198</v>
      </c>
      <c r="CW7" s="5">
        <f>IF(CW6=".", ".", IF('Summary, PPI''s'!T7=".",IF(OR('Summary, hourly ad costs'!T7=-9999,'Summary, hourly ad costs'!T7=0), ".", 'Predicted PPIs'!CW6*('Summary, hourly ad costs'!D7/'Summary, hourly ad costs'!T7)/('Summary, hourly ad costs'!D6/'Summary, hourly ad costs'!T6)/(1-CG6)), 'Summary, PPI''s'!T7))</f>
        <v>102.92444757638296</v>
      </c>
      <c r="CX7" s="5">
        <f>IF(CX6=".", ".", IF('Summary, PPI''s'!U7=".",IF(OR('Summary, hourly ad costs'!U7=-9999,'Summary, hourly ad costs'!U7=0), ".", 'Predicted PPIs'!CX6*('Summary, hourly ad costs'!E7/'Summary, hourly ad costs'!U7)/('Summary, hourly ad costs'!E6/'Summary, hourly ad costs'!U6)/(1-CH6)), 'Summary, PPI''s'!U7))</f>
        <v>102.79646317214537</v>
      </c>
      <c r="CY7" s="5">
        <f>IF(CY6=".", ".", IF('Summary, PPI''s'!V7=".",IF(OR('Summary, hourly ad costs'!V7=-9999,'Summary, hourly ad costs'!V7=0), ".", 'Predicted PPIs'!CY6*('Summary, hourly ad costs'!F7/'Summary, hourly ad costs'!V7)/('Summary, hourly ad costs'!F6/'Summary, hourly ad costs'!V6)/(1-CI6)), 'Summary, PPI''s'!V7))</f>
        <v>107.89571234400098</v>
      </c>
      <c r="CZ7" s="5">
        <f>IF(CZ6=".", ".", IF('Summary, PPI''s'!W7=".",IF(OR('Summary, hourly ad costs'!W7=-9999,'Summary, hourly ad costs'!W7=0), ".", 'Predicted PPIs'!CZ6*('Summary, hourly ad costs'!G7/'Summary, hourly ad costs'!W7)/('Summary, hourly ad costs'!G6/'Summary, hourly ad costs'!W6)/(1-CJ6)), 'Summary, PPI''s'!W7))</f>
        <v>100.95006304430699</v>
      </c>
      <c r="DA7" s="5">
        <f>IF(DA6=".", ".", IF('Summary, PPI''s'!X7=".",IF(OR('Summary, hourly ad costs'!X7=-9999,'Summary, hourly ad costs'!X7=0), ".", 'Predicted PPIs'!DA6*('Summary, hourly ad costs'!H7/'Summary, hourly ad costs'!X7)/('Summary, hourly ad costs'!H6/'Summary, hourly ad costs'!X6)/(1-CK6)), 'Summary, PPI''s'!X7))</f>
        <v>109.02800000000001</v>
      </c>
      <c r="DB7" s="5">
        <f>IF(DB6=".", ".", IF('Summary, PPI''s'!Y7=".",IF(OR('Summary, hourly ad costs'!Y7=-9999,'Summary, hourly ad costs'!Y7=0), ".", 'Predicted PPIs'!DB6*('Summary, hourly ad costs'!I7/'Summary, hourly ad costs'!Y7)/('Summary, hourly ad costs'!I6/'Summary, hourly ad costs'!Y6)/(1-CL6)), 'Summary, PPI''s'!Y7))</f>
        <v>101.34908664320432</v>
      </c>
      <c r="DC7" s="5">
        <f>IF(DC6=".", ".", IF('Summary, PPI''s'!Z7=".",IF(OR('Summary, hourly ad costs'!Z7=-9999,'Summary, hourly ad costs'!Z7=0), ".", 'Predicted PPIs'!DC6*('Summary, hourly ad costs'!J7/'Summary, hourly ad costs'!Z7)/('Summary, hourly ad costs'!J6/'Summary, hourly ad costs'!Z6)/(1-CM6)), 'Summary, PPI''s'!Z7))</f>
        <v>99.005305039787771</v>
      </c>
      <c r="DD7" s="5">
        <f>IF(DD6=".", ".", IF('Summary, PPI''s'!AA7=".",IF(OR('Summary, hourly ad costs'!AA7=-9999,'Summary, hourly ad costs'!AA7=0), ".", 'Predicted PPIs'!DD6*('Summary, hourly ad costs'!K7/'Summary, hourly ad costs'!AA7)/('Summary, hourly ad costs'!K6/'Summary, hourly ad costs'!AA6)/(1-CN6)), 'Summary, PPI''s'!AA7))</f>
        <v>99.815949069185024</v>
      </c>
      <c r="DE7" s="5">
        <f>IF(DE6=".", ".", IF('Summary, PPI''s'!AB7=".",IF(OR('Summary, hourly ad costs'!AB7=-9999,'Summary, hourly ad costs'!AB7=0), ".", 'Predicted PPIs'!DE6*('Summary, hourly ad costs'!L7/'Summary, hourly ad costs'!AB7)/('Summary, hourly ad costs'!L6/'Summary, hourly ad costs'!AB6)/(1-CO6)), 'Summary, PPI''s'!AB7))</f>
        <v>85.836466165413526</v>
      </c>
      <c r="DF7" s="5">
        <f>IF(DF6=".", ".", IF('Summary, PPI''s'!AC7=".",IF(OR('Summary, hourly ad costs'!AC7=-9999,'Summary, hourly ad costs'!AC7=0), ".", 'Predicted PPIs'!DF6*('Summary, hourly ad costs'!M7/'Summary, hourly ad costs'!AC7)/('Summary, hourly ad costs'!M6/'Summary, hourly ad costs'!AC6)/(1-CP6)), 'Summary, PPI''s'!AC7))</f>
        <v>77.28650833754422</v>
      </c>
      <c r="DG7" s="5">
        <f>IF(DG6=".", ".", IF('Summary, PPI''s'!AD7=".",IF(OR('Summary, hourly ad costs'!AD7=-9999,'Summary, hourly ad costs'!AD7=0), ".", 'Predicted PPIs'!DG6*('Summary, hourly ad costs'!N7/'Summary, hourly ad costs'!AD7)/('Summary, hourly ad costs'!N6/'Summary, hourly ad costs'!AD6)/(1-CQ6)), 'Summary, PPI''s'!AD7))</f>
        <v>106.05323777834656</v>
      </c>
      <c r="DH7" s="5">
        <f>IF(DH6=".", ".", IF('Summary, PPI''s'!AE7=".",IF(OR('Summary, hourly ad costs'!AE7=-9999,'Summary, hourly ad costs'!AE7=0), ".", 'Predicted PPIs'!DH6*('Summary, hourly ad costs'!O7/'Summary, hourly ad costs'!AE7)/('Summary, hourly ad costs'!O6/'Summary, hourly ad costs'!AE6)/(1-CR6)), 'Summary, PPI''s'!AE7))</f>
        <v>113.105</v>
      </c>
      <c r="DI7" s="5">
        <f>IF(DI6=".", ".", IF('Summary, PPI''s'!AF7=".",IF(OR('Summary, hourly ad costs'!AF7=-9999,'Summary, hourly ad costs'!AF7=0), ".", 'Predicted PPIs'!DI6*('Summary, hourly ad costs'!P7/'Summary, hourly ad costs'!AF7)/('Summary, hourly ad costs'!P6/'Summary, hourly ad costs'!AF6)/(1-CS6)), 'Summary, PPI''s'!AF7))</f>
        <v>108.85299999999999</v>
      </c>
      <c r="DK7" s="4">
        <v>110.83799999999999</v>
      </c>
      <c r="DM7" s="5">
        <f t="shared" si="16"/>
        <v>-2.8085130164118843E-2</v>
      </c>
      <c r="DN7" s="5">
        <f t="shared" si="17"/>
        <v>-2.8085130164118843E-2</v>
      </c>
      <c r="DO7" s="5">
        <f t="shared" si="18"/>
        <v>-2.9170754097788576E-2</v>
      </c>
      <c r="DP7" s="5">
        <f t="shared" si="19"/>
        <v>-2.9316414053584872E-2</v>
      </c>
      <c r="DQ7" s="5">
        <f t="shared" si="20"/>
        <v>-1.9169884953068816E-2</v>
      </c>
      <c r="DR7" s="5">
        <f t="shared" si="21"/>
        <v>-4.0278862550046424E-2</v>
      </c>
      <c r="DS7" s="5">
        <f t="shared" si="22"/>
        <v>4.4429315935634595E-3</v>
      </c>
      <c r="DT7" s="5">
        <f t="shared" si="23"/>
        <v>3.2530485902658501E-2</v>
      </c>
      <c r="DU7" s="5">
        <f t="shared" si="24"/>
        <v>3.7076625077720582E-2</v>
      </c>
      <c r="DV7" s="5">
        <f t="shared" si="25"/>
        <v>-4.7490693349834356E-2</v>
      </c>
      <c r="DW7" s="5">
        <f t="shared" si="26"/>
        <v>-0.11109554927521281</v>
      </c>
      <c r="DX7" s="5">
        <f t="shared" si="27"/>
        <v>-8.7208771776410621E-2</v>
      </c>
      <c r="DY7" s="5">
        <f t="shared" si="28"/>
        <v>-2.0523331540883927E-2</v>
      </c>
      <c r="DZ7" s="5">
        <f t="shared" si="29"/>
        <v>-3.3029960211279352E-3</v>
      </c>
      <c r="EA7" s="5">
        <f t="shared" si="30"/>
        <v>-1.0721058315907972E-2</v>
      </c>
      <c r="EC7" s="1">
        <f t="shared" si="35"/>
        <v>99.797279274473198</v>
      </c>
      <c r="ED7" s="1">
        <f t="shared" si="36"/>
        <v>99.797279274473198</v>
      </c>
      <c r="EE7" s="1">
        <f t="shared" si="37"/>
        <v>102.92444757638296</v>
      </c>
      <c r="EF7" s="1">
        <f t="shared" si="38"/>
        <v>102.79646317214537</v>
      </c>
      <c r="EG7" s="1">
        <f t="shared" si="39"/>
        <v>107.89571234400098</v>
      </c>
      <c r="EH7" s="1">
        <f t="shared" si="40"/>
        <v>100.95006304430699</v>
      </c>
      <c r="EI7" s="1">
        <f t="shared" si="41"/>
        <v>109.02800000000001</v>
      </c>
      <c r="EJ7" s="1">
        <f t="shared" si="42"/>
        <v>101.34908664320432</v>
      </c>
      <c r="EK7" s="1">
        <f t="shared" si="43"/>
        <v>99.005305039787771</v>
      </c>
      <c r="EL7" s="1">
        <f t="shared" si="44"/>
        <v>99.815949069185024</v>
      </c>
      <c r="EM7" s="1">
        <f t="shared" si="45"/>
        <v>85.836466165413526</v>
      </c>
      <c r="EN7" s="1">
        <f t="shared" si="46"/>
        <v>77.28650833754422</v>
      </c>
      <c r="EO7" s="1">
        <f t="shared" si="47"/>
        <v>106.05323777834656</v>
      </c>
      <c r="EP7" s="1">
        <f t="shared" si="48"/>
        <v>113.105</v>
      </c>
      <c r="EQ7" s="1">
        <f t="shared" si="49"/>
        <v>108.85299999999999</v>
      </c>
      <c r="ES7" s="1">
        <f>IF(EF$26=".", 0, 'Summary, PPI''s'!E7)+IF(EG$26=".", 0, 'Summary, PPI''s'!F7)+IF(EH$26=".", 0, 'Summary, PPI''s'!G7)+IF(EI$26=".", 0, 'Summary, PPI''s'!H7)+IF(EJ$26=".", 0, 'Summary, PPI''s'!I7)+IF(EK$26=".", 0, 'Summary, PPI''s'!J7)+IF(EL$26=".", 0, 'Summary, PPI''s'!K7)+IF(EM$26=".", 0, 'Summary, PPI''s'!L7)+IF(EN$26=".", 0, 'Summary, PPI''s'!M7)+IF(EC$26=".", 0, 'Summary, PPI''s'!B7)+IF(ED$26=".", 0, 'Summary, PPI''s'!C7)+IF(EE$26=".", 0, 'Summary, PPI''s'!D7)+IF(EO$26=".", 0, 'Summary, PPI''s'!N7)+IF(EP$26=".", 0, 'Summary, PPI''s'!O7)+IF(EQ$26=".", 0, 'Summary, PPI''s'!P7)</f>
        <v>405120558.43640727</v>
      </c>
      <c r="ET7" s="1">
        <f>'Summary, hourly ad costs'!E7+'Summary, hourly ad costs'!F7+'Summary, hourly ad costs'!H7+'Summary, hourly ad costs'!I7+'Summary, hourly ad costs'!J7+'Summary, hourly ad costs'!K7+'Summary, hourly ad costs'!L7+'Summary, hourly ad costs'!M7+'Summary, hourly ad costs'!B7</f>
        <v>230537178.69821975</v>
      </c>
      <c r="EV7" s="13">
        <f>EV6*IF(EF$26=".", 1, (EF7/EF6)^(('Summary, PPI''s'!$E7+'Summary, PPI''s'!$E6)/('Predicted PPIs'!ES7+'Predicted PPIs'!ES6)))*IF(EG$26=".", 1, (EG7/EG6)^(('Summary, PPI''s'!$F7+'Summary, PPI''s'!$F6)/('Predicted PPIs'!ES7+'Predicted PPIs'!ES6)))*IF(EH$26=".", 1, (EH7/EH6)^(('Summary, PPI''s'!$G7+'Summary, PPI''s'!$G6)/('Predicted PPIs'!ES7+'Predicted PPIs'!ES6)))*IF(EI$26=".", 1, (EI7/EI6)^(('Summary, PPI''s'!$H7+'Summary, PPI''s'!$H6)/('Predicted PPIs'!ES7+'Predicted PPIs'!ES6)))*IF(EJ$26=".", 1, (EJ7/EJ6)^(('Summary, PPI''s'!$I7+'Summary, PPI''s'!$I6)/('Predicted PPIs'!ES7+'Predicted PPIs'!ES6)))*IF(EK$26=".", 1, (EK7/EK6)^(('Summary, PPI''s'!$J7+'Summary, PPI''s'!$J6)/('Predicted PPIs'!ES7+'Predicted PPIs'!ES6)))*IF(EL$26=".", 1, (EL7/EL6)^(('Summary, PPI''s'!$K7+'Summary, PPI''s'!$K6)/('Predicted PPIs'!ES7+'Predicted PPIs'!ES6)))*IF(EM$26=".", 1, (EM7/EM6)^(('Summary, PPI''s'!$L7+'Summary, PPI''s'!$L6)/('Predicted PPIs'!ES7+'Predicted PPIs'!ES6)))*IF(EN$26=".", 1, (EN7/EN6)^(('Summary, PPI''s'!$M7+'Summary, PPI''s'!$M6)/('Predicted PPIs'!ES7+'Predicted PPIs'!ES6)))*IF(EC$26=".", 1, (EC7/EC6)^(('Summary, PPI''s'!$B7+'Summary, PPI''s'!$B6)/('Predicted PPIs'!ES7+'Predicted PPIs'!ES6)))*IF(ED$26=".", 1, (ED7/ED6)^(('Summary, PPI''s'!$C7+'Summary, PPI''s'!$C6)/('Predicted PPIs'!ES7+'Predicted PPIs'!ES6)))*IF(EE$26=".", 1, (EE7/EE6)^(('Summary, PPI''s'!$D7+'Summary, PPI''s'!$D6)/('Predicted PPIs'!ES7+'Predicted PPIs'!ES6)))*IF(EO$26=".", 1, (EO7/EO6)^(('Summary, PPI''s'!$N7+'Summary, PPI''s'!$N6)/('Predicted PPIs'!ES7+'Predicted PPIs'!ES6)))*IF(EP$26=".", 1, (EP7/EP6)^(('Summary, PPI''s'!$O7+'Summary, PPI''s'!$O6)/('Predicted PPIs'!ES7+'Predicted PPIs'!ES6)))*IF(EQ$26=".", 1, (EQ7/EQ6)^(('Summary, PPI''s'!$P7+'Summary, PPI''s'!$P6)/('Predicted PPIs'!ES7+'Predicted PPIs'!ES6)))</f>
        <v>107.33412897037465</v>
      </c>
      <c r="EW7" s="13">
        <f>EW6*IF(EF$26=".", 1, (EF7/EF6)^(('Summary, PPI''s'!$E7+'Summary, PPI''s'!$E6)/('Predicted PPIs'!ET7+'Predicted PPIs'!ET6)))*IF(EG$26=".", 1, (EG7/EG6)^(('Summary, PPI''s'!$F7+'Summary, PPI''s'!$F6)/('Predicted PPIs'!ET7+'Predicted PPIs'!ET6)))*IF(EH$26=".", 1, (EH7/EH6)^(('Summary, PPI''s'!$G7+'Summary, PPI''s'!$G6)/('Predicted PPIs'!ET7+'Predicted PPIs'!ET6)))*IF(EK$26=".", 1, (EK7/EK6)^(('Summary, PPI''s'!$J7+'Summary, PPI''s'!$J6)/('Predicted PPIs'!ET7+'Predicted PPIs'!ET6)))*IF(EL$26=".", 1, (EL7/EL6)^(('Summary, PPI''s'!$K7+'Summary, PPI''s'!$K6)/('Predicted PPIs'!ET7+'Predicted PPIs'!ET6)))*IF(EM$26=".", 1, (EM7/EM6)^(('Summary, PPI''s'!$L7+'Summary, PPI''s'!$L6)/('Predicted PPIs'!ET7+'Predicted PPIs'!ET6)))*IF(EN$26=".", 1, (EN7/EN6)^(('Summary, PPI''s'!$M7+'Summary, PPI''s'!$M6)/('Predicted PPIs'!ET7+'Predicted PPIs'!ET6)))*IF(EC$26=".", 1, (EC7/EC6)^(('Summary, PPI''s'!$B7+'Summary, PPI''s'!$B6)/('Predicted PPIs'!ET7+'Predicted PPIs'!ET6)))</f>
        <v>114.17466995941865</v>
      </c>
      <c r="EY7" s="2"/>
    </row>
    <row r="8" spans="1:155" x14ac:dyDescent="0.3">
      <c r="A8" s="4">
        <v>2015</v>
      </c>
      <c r="B8" s="10">
        <f>IF(B7=".", ".", IF('Summary, PPI''s'!R8=".",IF(OR('Summary, hourly ad costs'!R8=-9999,'Summary, hourly ad costs'!R8=0), ".", 'Predicted PPIs'!B7*('Summary, hourly ad costs'!B8/'Summary, hourly ad costs'!R8)/('Summary, hourly ad costs'!B7/'Summary, hourly ad costs'!R7)), 'Summary, PPI''s'!R8))</f>
        <v>99.578554281141649</v>
      </c>
      <c r="C8" s="10">
        <f>IF(C7=".", ".", IF('Summary, PPI''s'!S8=".",IF(OR('Summary, hourly ad costs'!S8=-9999,'Summary, hourly ad costs'!S8=0), ".", 'Predicted PPIs'!C7*('Summary, hourly ad costs'!C8/'Summary, hourly ad costs'!S8)/('Summary, hourly ad costs'!C7/'Summary, hourly ad costs'!S7)), 'Summary, PPI''s'!S8))</f>
        <v>99.578554281141649</v>
      </c>
      <c r="D8" s="10">
        <f>IF(D7=".", ".", IF('Summary, PPI''s'!T8=".",IF(OR('Summary, hourly ad costs'!T8=-9999,'Summary, hourly ad costs'!T8=0), ".", 'Predicted PPIs'!D7*('Summary, hourly ad costs'!D8/'Summary, hourly ad costs'!T8)/('Summary, hourly ad costs'!D7/'Summary, hourly ad costs'!T7)), 'Summary, PPI''s'!T8))</f>
        <v>102.81371117934265</v>
      </c>
      <c r="E8" s="10">
        <f>IF(E7=".", ".", IF('Summary, PPI''s'!U8=".",IF(OR('Summary, hourly ad costs'!U8=-9999,'Summary, hourly ad costs'!U8=0), ".", 'Predicted PPIs'!E7*('Summary, hourly ad costs'!E8/'Summary, hourly ad costs'!U8)/('Summary, hourly ad costs'!E7/'Summary, hourly ad costs'!U7)), 'Summary, PPI''s'!U8))</f>
        <v>102.70127342725388</v>
      </c>
      <c r="F8" s="10">
        <f>IF(F7=".", ".", IF('Summary, PPI''s'!V8=".",IF(OR('Summary, hourly ad costs'!V8=-9999,'Summary, hourly ad costs'!V8=0), ".", 'Predicted PPIs'!F7*('Summary, hourly ad costs'!F8/'Summary, hourly ad costs'!V8)/('Summary, hourly ad costs'!F7/'Summary, hourly ad costs'!V7)), 'Summary, PPI''s'!V8))</f>
        <v>106.6806705383253</v>
      </c>
      <c r="G8" s="10">
        <f>IF(G7=".", ".", IF('Summary, PPI''s'!W8=".",IF(OR('Summary, hourly ad costs'!W8=-9999,'Summary, hourly ad costs'!W8=0), ".", 'Predicted PPIs'!G7*('Summary, hourly ad costs'!G8/'Summary, hourly ad costs'!W8)/('Summary, hourly ad costs'!G7/'Summary, hourly ad costs'!W7)), 'Summary, PPI''s'!W8))</f>
        <v>102.00862094243909</v>
      </c>
      <c r="H8" s="10">
        <f>IF(H7=".", ".", IF('Summary, PPI''s'!X8=".",IF(OR('Summary, hourly ad costs'!X8=-9999,'Summary, hourly ad costs'!X8=0), ".", 'Predicted PPIs'!H7*('Summary, hourly ad costs'!H8/'Summary, hourly ad costs'!X8)/('Summary, hourly ad costs'!H7/'Summary, hourly ad costs'!X7)), 'Summary, PPI''s'!X8))</f>
        <v>105.26600000000001</v>
      </c>
      <c r="I8" s="10">
        <f>IF(I7=".", ".", IF('Summary, PPI''s'!Y8=".",IF(OR('Summary, hourly ad costs'!Y8=-9999,'Summary, hourly ad costs'!Y8=0), ".", 'Predicted PPIs'!I7*('Summary, hourly ad costs'!I8/'Summary, hourly ad costs'!Y8)/('Summary, hourly ad costs'!I7/'Summary, hourly ad costs'!Y7)), 'Summary, PPI''s'!Y8))</f>
        <v>95.190212837271687</v>
      </c>
      <c r="J8" s="10">
        <f>IF(J7=".", ".", IF('Summary, PPI''s'!Z8=".",IF(OR('Summary, hourly ad costs'!Z8=-9999,'Summary, hourly ad costs'!Z8=0), ".", 'Predicted PPIs'!J7*('Summary, hourly ad costs'!J8/'Summary, hourly ad costs'!Z8)/('Summary, hourly ad costs'!J7/'Summary, hourly ad costs'!Z7)), 'Summary, PPI''s'!Z8))</f>
        <v>92.581233421750653</v>
      </c>
      <c r="K8" s="10">
        <f>IF(K7=".", ".", IF('Summary, PPI''s'!AA8=".",IF(OR('Summary, hourly ad costs'!AA8=-9999,'Summary, hourly ad costs'!AA8=0), ".", 'Predicted PPIs'!K7*('Summary, hourly ad costs'!K8/'Summary, hourly ad costs'!AA8)/('Summary, hourly ad costs'!K7/'Summary, hourly ad costs'!AA7)), 'Summary, PPI''s'!AA8))</f>
        <v>101.6262860935944</v>
      </c>
      <c r="L8" s="10">
        <f>IF(L7=".", ".", IF('Summary, PPI''s'!AB8=".",IF(OR('Summary, hourly ad costs'!AB8=-9999,'Summary, hourly ad costs'!AB8=0), ".", 'Predicted PPIs'!L7*('Summary, hourly ad costs'!L8/'Summary, hourly ad costs'!AB8)/('Summary, hourly ad costs'!L7/'Summary, hourly ad costs'!AB7)), 'Summary, PPI''s'!AB8))</f>
        <v>93.646616541353382</v>
      </c>
      <c r="M8" s="10">
        <f>IF(M7=".", ".", IF('Summary, PPI''s'!AC8=".",IF(OR('Summary, hourly ad costs'!AC8=-9999,'Summary, hourly ad costs'!AC8=0), ".", 'Predicted PPIs'!M7*('Summary, hourly ad costs'!M8/'Summary, hourly ad costs'!AC8)/('Summary, hourly ad costs'!M7/'Summary, hourly ad costs'!AC7)), 'Summary, PPI''s'!AC8))</f>
        <v>82.112177867609887</v>
      </c>
      <c r="N8" s="10">
        <f>IF(N7=".", ".", IF('Summary, PPI''s'!AD8=".",IF(OR('Summary, hourly ad costs'!AD8=-9999,'Summary, hourly ad costs'!AD8=0), ".", 'Predicted PPIs'!N7*('Summary, hourly ad costs'!N8/'Summary, hourly ad costs'!AD8)/('Summary, hourly ad costs'!N7/'Summary, hourly ad costs'!AD7)), 'Summary, PPI''s'!AD8))</f>
        <v>105.00383926286158</v>
      </c>
      <c r="O8" s="10">
        <f>IF(O7=".", ".", IF('Summary, PPI''s'!AE8=".",IF(OR('Summary, hourly ad costs'!AE8=-9999,'Summary, hourly ad costs'!AE8=0), ".", 'Predicted PPIs'!O7*('Summary, hourly ad costs'!O8/'Summary, hourly ad costs'!AE8)/('Summary, hourly ad costs'!O7/'Summary, hourly ad costs'!AE7)), 'Summary, PPI''s'!AE8))</f>
        <v>110.051</v>
      </c>
      <c r="P8" s="10">
        <f>IF(P7=".", ".", IF('Summary, PPI''s'!AF8=".",IF(OR('Summary, hourly ad costs'!AF8=-9999,'Summary, hourly ad costs'!AF8=0), ".", 'Predicted PPIs'!P7*('Summary, hourly ad costs'!P8/'Summary, hourly ad costs'!AF8)/('Summary, hourly ad costs'!P7/'Summary, hourly ad costs'!AF7)), 'Summary, PPI''s'!AF8))</f>
        <v>106.708</v>
      </c>
      <c r="R8" s="1">
        <f>IF(E$26=".", 0, 'Summary, PPI''s'!E8)+IF(F$26=".", 0, 'Summary, PPI''s'!F8)+IF(G$26=".", 0, 'Summary, PPI''s'!G8)+IF(H$26=".", 0, 'Summary, PPI''s'!H8)+IF(I$26=".", 0, 'Summary, PPI''s'!I8)+IF(J$26=".", 0, 'Summary, PPI''s'!J8)+IF(K$26=".", 0, 'Summary, PPI''s'!K8)+IF(L$26=".", 0, 'Summary, PPI''s'!L8)+IF(M$26=".", 0, 'Summary, PPI''s'!M8)+IF(B$26=".", 0, 'Summary, PPI''s'!B8)+IF(C$26=".", 0, 'Summary, PPI''s'!C8)+IF(D$26=".", 0, 'Summary, PPI''s'!D8)+IF(N$26=".", 0, 'Summary, PPI''s'!N8)+IF(O$26=".", 0, 'Summary, PPI''s'!O8)+IF(P$26=".", 0, 'Summary, PPI''s'!P8)</f>
        <v>377419316.86971819</v>
      </c>
      <c r="S8" s="1">
        <f>IF(E$36=".", 0, 'Summary, PPI''s'!E8)+IF(F$36=".", 0, 'Summary, PPI''s'!F8)+IF(G$36=".", 0, 'Summary, PPI''s'!G8)+IF(H$36=".", 0, 'Summary, PPI''s'!H8)+IF(I$36=".", 0, 'Summary, PPI''s'!I8)+IF(J$36=".", 0, 'Summary, PPI''s'!J8)+IF(K$36=".", 0, 'Summary, PPI''s'!K8)+IF(L$36=".", 0, 'Summary, PPI''s'!L8)+IF(M$36=".", 0, 'Summary, PPI''s'!M8)+IF(B$36=".", 0, 'Summary, PPI''s'!B8)+IF(C$36=".", 0, 'Summary, PPI''s'!C8)+IF(D$36=".", 0, 'Summary, PPI''s'!D8)+IF(N$36=".", 0, 'Summary, PPI''s'!N8)+IF(O$36=".", 0, 'Summary, PPI''s'!O8)+IF(P$36=".", 0, 'Summary, PPI''s'!P8)</f>
        <v>298181890.25909114</v>
      </c>
      <c r="T8" s="1">
        <f>IF(E$46=".", 0, 'Summary, PPI''s'!E8)+IF(F$46=".", 0, 'Summary, PPI''s'!F8)+IF(G$46=".", 0, 'Summary, PPI''s'!G8)+IF(H$46=".", 0, 'Summary, PPI''s'!H8)+IF(I$46=".", 0, 'Summary, PPI''s'!I8)+IF(J$46=".", 0, 'Summary, PPI''s'!J8)+IF(K$46=".", 0, 'Summary, PPI''s'!K8)+IF(L$46=".", 0, 'Summary, PPI''s'!L8)+IF(M$46=".", 0, 'Summary, PPI''s'!M8)+IF(B$46=".", 0, 'Summary, PPI''s'!B8)+IF(C$46=".", 0, 'Summary, PPI''s'!C8)+IF(D$46=".", 0, 'Summary, PPI''s'!D8)+IF(N$46=".", 0, 'Summary, PPI''s'!N8)+IF(O$46=".", 0, 'Summary, PPI''s'!O8)+IF(P$46=".", 0, 'Summary, PPI''s'!P8)</f>
        <v>168709596.16386086</v>
      </c>
      <c r="U8" s="1">
        <f>IF(E$60=".", 0, 'Summary, PPI''s'!E8)+IF(F$60=".", 0, 'Summary, PPI''s'!F8)+IF(G$60=".", 0, 'Summary, PPI''s'!G8)+IF(H$60=".", 0, 'Summary, PPI''s'!H8)+IF(I$60=".", 0, 'Summary, PPI''s'!I8)+IF(J$60=".", 0, 'Summary, PPI''s'!J8)+IF(K$60=".", 0, 'Summary, PPI''s'!K8)+IF(L$60=".", 0, 'Summary, PPI''s'!L8)+IF(M$60=".", 0, 'Summary, PPI''s'!M8)+IF(B$60=".", 0, 'Summary, PPI''s'!B8)+IF(C$60=".", 0, 'Summary, PPI''s'!C8)+IF(D$60=".", 0, 'Summary, PPI''s'!D8)+IF(N$60=".", 0, 'Summary, PPI''s'!N8)+IF(O$60=".", 0, 'Summary, PPI''s'!O8)+IF(P$60=".", 0, 'Summary, PPI''s'!P8)</f>
        <v>97049735.053981811</v>
      </c>
      <c r="V8" s="1">
        <f>IF(E$73=".", 0, 'Summary, PPI''s'!E8)+IF(F$73=".", 0, 'Summary, PPI''s'!F8)+IF(G$73=".", 0, 'Summary, PPI''s'!G8)+IF(H$73=".", 0, 'Summary, PPI''s'!H8)+IF(I$73=".", 0, 'Summary, PPI''s'!I8)+IF(J$73=".", 0, 'Summary, PPI''s'!J8)+IF(K$73=".", 0, 'Summary, PPI''s'!K8)+IF(L$73=".", 0, 'Summary, PPI''s'!L8)+IF(M$73=".", 0, 'Summary, PPI''s'!M8)+IF(B$73=".", 0, 'Summary, PPI''s'!B8)+IF(C$73=".", 0, 'Summary, PPI''s'!C8)+IF(D$73=".", 0, 'Summary, PPI''s'!D8)+IF(N$73=".", 0, 'Summary, PPI''s'!N8)+IF(O$73=".", 0, 'Summary, PPI''s'!O8)+IF(P$73=".", 0, 'Summary, PPI''s'!P8)</f>
        <v>83891992.368013754</v>
      </c>
      <c r="W8" s="1">
        <f>IF(E$94=".",0,'Summary, PPI''s'!E8)+IF(F$94=".",0,'Summary, PPI''s'!F8)+IF(G$94=".",0,'Summary, PPI''s'!G8)+IF(H$94=".",0,'Summary, PPI''s'!H8)+IF(I$94=".",0,'Summary, PPI''s'!I8)+IF(J$94=".",0,'Summary, PPI''s'!J8)+IF(K$94=".",0,'Summary, PPI''s'!K8)+IF(L$94=".",0,'Summary, PPI''s'!L8)+IF(M$94=".",0,'Summary, PPI''s'!M8)+IF(B$94=".",0,'Summary, PPI''s'!B8)+IF(C$94=".",0,'Summary, PPI''s'!C8)+IF(D$94=".",0,'Summary, PPI''s'!D8)+IF(N$94=".",0,'Summary, PPI''s'!N8)+IF(O$94=".",0,'Summary, PPI''s'!O8)+IF(P$94=".",0,'Summary, PPI''s'!P8)</f>
        <v>47616378.484755807</v>
      </c>
      <c r="X8" s="1">
        <f>IF(E$123=".", 0, 'Summary, PPI''s'!E8)+IF(F$123=".", 0, 'Summary, PPI''s'!F8)+IF(G$123=".", 0, 'Summary, PPI''s'!G8)+IF(H$123=".", 0, 'Summary, PPI''s'!H8)+IF(I$123=".", 0, 'Summary, PPI''s'!I8)+IF(J$123=".", 0, 'Summary, PPI''s'!J8)+IF(K$123=".", 0, 'Summary, PPI''s'!K8)+IF(L$123=".", 0, 'Summary, PPI''s'!L8)+IF(M$123=".", 0, 'Summary, PPI''s'!M8)+IF(B$123=".", 0, 'Summary, PPI''s'!B8)+IF(C$123=".", 0, 'Summary, PPI''s'!C8)+IF(D$123=".", 0, 'Summary, PPI''s'!D8)+IF(N$123=".", 0, 'Summary, PPI''s'!N8)+IF(O$123=".", 0, 'Summary, PPI''s'!O8)+IF(P$123=".", 0, 'Summary, PPI''s'!P8)</f>
        <v>34157165.08548218</v>
      </c>
      <c r="Z8" s="4">
        <f>Z7*IF(E$26=".", 1, (E8/E7)^(('Summary, PPI''s'!$E8+'Summary, PPI''s'!$E7)/('Predicted PPIs'!R8+'Predicted PPIs'!R7)))*IF(F$26=".", 1, (F8/F7)^(('Summary, PPI''s'!$F8+'Summary, PPI''s'!$F7)/('Predicted PPIs'!R8+'Predicted PPIs'!R7)))*IF(G$26=".", 1, (G8/G7)^(('Summary, PPI''s'!$G8+'Summary, PPI''s'!$G7)/('Predicted PPIs'!R8+'Predicted PPIs'!R7)))*IF(H$26=".", 1, (H8/H7)^(('Summary, PPI''s'!$H8+'Summary, PPI''s'!$H7)/('Predicted PPIs'!R8+'Predicted PPIs'!R7)))*IF(I$26=".", 1, (I8/I7)^(('Summary, PPI''s'!$I8+'Summary, PPI''s'!$I7)/('Predicted PPIs'!R8+'Predicted PPIs'!R7)))*IF(J$26=".", 1, (J8/J7)^(('Summary, PPI''s'!$J8+'Summary, PPI''s'!$J7)/('Predicted PPIs'!R8+'Predicted PPIs'!R7)))*IF(K$26=".", 1, (K8/K7)^(('Summary, PPI''s'!$K8+'Summary, PPI''s'!$K7)/('Predicted PPIs'!R8+'Predicted PPIs'!R7)))*IF(L$26=".", 1, (L8/L7)^(('Summary, PPI''s'!$L8+'Summary, PPI''s'!$L7)/('Predicted PPIs'!R8+'Predicted PPIs'!R7)))*IF(M$26=".", 1, (M8/M7)^(('Summary, PPI''s'!$M8+'Summary, PPI''s'!$M7)/('Predicted PPIs'!R8+'Predicted PPIs'!R7)))*IF(B$26=".", 1, (B8/B7)^(('Summary, PPI''s'!$B8+'Summary, PPI''s'!$B7)/('Predicted PPIs'!R8+'Predicted PPIs'!R7)))*IF(C$26=".", 1, (C8/C7)^(('Summary, PPI''s'!$C8+'Summary, PPI''s'!$C7)/('Predicted PPIs'!R8+'Predicted PPIs'!R7)))*IF(D$26=".", 1, (D8/D7)^(('Summary, PPI''s'!$D8+'Summary, PPI''s'!$D7)/('Predicted PPIs'!R8+'Predicted PPIs'!R7)))*IF(N$26=".", 1, (N8/N7)^(('Summary, PPI''s'!$N8+'Summary, PPI''s'!$N7)/('Predicted PPIs'!R8+'Predicted PPIs'!R7)))*IF(O$26=".", 1, (O8/O7)^(('Summary, PPI''s'!$O8+'Summary, PPI''s'!$O7)/('Predicted PPIs'!R8+'Predicted PPIs'!R7)))*IF(P$26=".", 1, (P8/P7)^(('Summary, PPI''s'!$P8+'Summary, PPI''s'!$P7)/('Predicted PPIs'!R8+'Predicted PPIs'!R7)))</f>
        <v>107.85177925194385</v>
      </c>
      <c r="AA8" s="4">
        <f>AA7*IF(E$36=".", 1, (E8/E7)^(('Summary, PPI''s'!$E8+'Summary, PPI''s'!$E7)/('Predicted PPIs'!S8+'Predicted PPIs'!S7)))*IF(F$36=".", 1, (F8/F7)^(('Summary, PPI''s'!$F8+'Summary, PPI''s'!$F7)/('Predicted PPIs'!S8+'Predicted PPIs'!S7)))*IF(G$36=".", 1, (G8/G7)^(('Summary, PPI''s'!$G8+'Summary, PPI''s'!$G7)/('Predicted PPIs'!S8+'Predicted PPIs'!S7)))*IF(H$36=".", 1, (H8/H7)^(('Summary, PPI''s'!$H8+'Summary, PPI''s'!$H7)/('Predicted PPIs'!S8+'Predicted PPIs'!S7)))*IF(I$36=".", 1, (I8/I7)^(('Summary, PPI''s'!$I8+'Summary, PPI''s'!$I7)/('Predicted PPIs'!S8+'Predicted PPIs'!S7)))*IF(J$36=".", 1, (J8/J7)^(('Summary, PPI''s'!$J8+'Summary, PPI''s'!$J7)/('Predicted PPIs'!S8+'Predicted PPIs'!S7)))*IF(K$36=".", 1, (K8/K7)^(('Summary, PPI''s'!$K8+'Summary, PPI''s'!$K7)/('Predicted PPIs'!S8+'Predicted PPIs'!S7)))*IF(L$36=".", 1, (L8/L7)^(('Summary, PPI''s'!$L8+'Summary, PPI''s'!$L7)/('Predicted PPIs'!S8+'Predicted PPIs'!S7)))*IF(M$36=".", 1, (M8/M7)^(('Summary, PPI''s'!$M8+'Summary, PPI''s'!$M7)/('Predicted PPIs'!S8+'Predicted PPIs'!S7)))*IF(B$36=".", 1, (B8/B7)^(('Summary, PPI''s'!$B8+'Summary, PPI''s'!$B7)/('Predicted PPIs'!S8+'Predicted PPIs'!S7)))*IF(C$36=".", 1, (C8/C7)^(('Summary, PPI''s'!$C8+'Summary, PPI''s'!$C7)/('Predicted PPIs'!S8+'Predicted PPIs'!S7)))*IF(D$36=".", 1, (D8/D7)^(('Summary, PPI''s'!$D8+'Summary, PPI''s'!$D7)/('Predicted PPIs'!S8+'Predicted PPIs'!S7)))*IF(N$36=".", 1, (N8/N7)^(('Summary, PPI''s'!$N8+'Summary, PPI''s'!$N7)/('Predicted PPIs'!S8+'Predicted PPIs'!S7)))*IF(O$36=".", 1, (O8/O7)^(('Summary, PPI''s'!$O8+'Summary, PPI''s'!$O7)/('Predicted PPIs'!S8+'Predicted PPIs'!S7)))*IF(P$36=".", 1, (P8/P7)^(('Summary, PPI''s'!$P8+'Summary, PPI''s'!$P7)/('Predicted PPIs'!S8+'Predicted PPIs'!S7)))</f>
        <v>99.460715609997038</v>
      </c>
      <c r="AB8" s="4">
        <f>AB7*IF(E$46=".", 1, (E8/E7)^(('Summary, PPI''s'!$E8+'Summary, PPI''s'!$E7)/('Predicted PPIs'!T8+'Predicted PPIs'!T7)))*IF(F$46=".", 1, (F8/F7)^(('Summary, PPI''s'!$F8+'Summary, PPI''s'!$F7)/('Predicted PPIs'!T8+'Predicted PPIs'!T7)))*IF(G$46=".", 1, (G8/G7)^(('Summary, PPI''s'!$G8+'Summary, PPI''s'!$G7)/('Predicted PPIs'!T8+'Predicted PPIs'!T7)))*IF(H$46=".", 1, (H8/H7)^(('Summary, PPI''s'!$H8+'Summary, PPI''s'!$H7)/('Predicted PPIs'!T8+'Predicted PPIs'!T7)))*IF(I$46=".", 1, (I8/I7)^(('Summary, PPI''s'!$I8+'Summary, PPI''s'!$I7)/('Predicted PPIs'!T8+'Predicted PPIs'!T7)))*IF(J$46=".", 1, (J8/J7)^(('Summary, PPI''s'!$J8+'Summary, PPI''s'!$J7)/('Predicted PPIs'!T8+'Predicted PPIs'!T7)))*IF(K$46=".", 1, (K8/K7)^(('Summary, PPI''s'!$K8+'Summary, PPI''s'!$K7)/('Predicted PPIs'!T8+'Predicted PPIs'!T7)))*IF(L$46=".", 1, (L8/L7)^(('Summary, PPI''s'!$L8+'Summary, PPI''s'!$L7)/('Predicted PPIs'!T8+'Predicted PPIs'!T7)))*IF(M$46=".", 1, (M8/M7)^(('Summary, PPI''s'!$M8+'Summary, PPI''s'!$M7)/('Predicted PPIs'!T8+'Predicted PPIs'!T7)))*IF(B$46=".", 1, (B8/B7)^(('Summary, PPI''s'!$B8+'Summary, PPI''s'!$B7)/('Predicted PPIs'!T8+'Predicted PPIs'!T7)))*IF(C$46=".", 1, (C8/C7)^(('Summary, PPI''s'!$C8+'Summary, PPI''s'!$C7)/('Predicted PPIs'!T8+'Predicted PPIs'!T7)))*IF(D$46=".", 1, (D8/D7)^(('Summary, PPI''s'!$D8+'Summary, PPI''s'!$D7)/('Predicted PPIs'!T8+'Predicted PPIs'!T7)))*IF(N$46=".", 1, (N8/N7)^(('Summary, PPI''s'!$N8+'Summary, PPI''s'!$N7)/('Predicted PPIs'!T8+'Predicted PPIs'!T7)))*IF(O$46=".", 1, (O8/O7)^(('Summary, PPI''s'!$O8+'Summary, PPI''s'!$O7)/('Predicted PPIs'!T8+'Predicted PPIs'!T7)))*IF(P$46=".", 1, (P8/P7)^(('Summary, PPI''s'!$P8+'Summary, PPI''s'!$P7)/('Predicted PPIs'!T8+'Predicted PPIs'!T7)))</f>
        <v>100.13293861599354</v>
      </c>
      <c r="AC8" s="4">
        <f>AC7*IF(E$60=".",1,(E8/E7)^(('Summary, PPI''s'!$E8+'Summary, PPI''s'!$E7)/('Predicted PPIs'!U8+'Predicted PPIs'!U7)))*IF(F$60=".",1,(F8/F7)^(('Summary, PPI''s'!$F8+'Summary, PPI''s'!$F7)/('Predicted PPIs'!U8+'Predicted PPIs'!U7)))*IF(G$60=".",1,(G8/G7)^(('Summary, PPI''s'!$G8+'Summary, PPI''s'!$G7)/('Predicted PPIs'!U8+'Predicted PPIs'!U7)))*IF(H$60=".",1,(H8/H7)^(('Summary, PPI''s'!$H8+'Summary, PPI''s'!$H7)/('Predicted PPIs'!U8+'Predicted PPIs'!U7)))*IF(I$60=".",1,(I8/I7)^(('Summary, PPI''s'!$I8+'Summary, PPI''s'!$I7)/('Predicted PPIs'!U8+'Predicted PPIs'!U7)))*IF(J$60=".",1,(J8/J7)^(('Summary, PPI''s'!$J8+'Summary, PPI''s'!$J7)/('Predicted PPIs'!U8+'Predicted PPIs'!U7)))*IF(K$60=".",1,(K8/K7)^(('Summary, PPI''s'!$K8+'Summary, PPI''s'!$K7)/('Predicted PPIs'!U8+'Predicted PPIs'!U7)))*IF(L$60=".",1,(L8/L7)^(('Summary, PPI''s'!$L8+'Summary, PPI''s'!$L7)/('Predicted PPIs'!U8+'Predicted PPIs'!U7)))*IF(M$60=".",1,(M8/M7)^(('Summary, PPI''s'!$M8+'Summary, PPI''s'!$M7)/('Predicted PPIs'!U8+'Predicted PPIs'!U7)))*IF(B$60=".",1,(B8/B7)^(('Summary, PPI''s'!$B8+'Summary, PPI''s'!$B7)/('Predicted PPIs'!U8+'Predicted PPIs'!U7)))*IF(C$60=".",1,(C8/C7)^(('Summary, PPI''s'!$C8+'Summary, PPI''s'!$C7)/('Predicted PPIs'!U8+'Predicted PPIs'!U7)))*IF(D$60=".",1,(D8/D7)^(('Summary, PPI''s'!$D8+'Summary, PPI''s'!$D7)/('Predicted PPIs'!U8+'Predicted PPIs'!U7)))*IF(N$60=".",1,(N8/N7)^(('Summary, PPI''s'!$N8+'Summary, PPI''s'!$N7)/('Predicted PPIs'!U8+'Predicted PPIs'!U7)))*IF(O$60=".",1,(O8/O7)^(('Summary, PPI''s'!$O8+'Summary, PPI''s'!$O7)/('Predicted PPIs'!U8+'Predicted PPIs'!U7)))*IF(P$60=".",1,(P8/P7)^(('Summary, PPI''s'!$P8+'Summary, PPI''s'!$P7)/('Predicted PPIs'!U8+'Predicted PPIs'!U7)))</f>
        <v>102.27956309286203</v>
      </c>
      <c r="AD8" s="4">
        <f>AD7*IF(E$73=".", 1, (E8/E7)^(('Summary, PPI''s'!$E8+'Summary, PPI''s'!$E7)/('Predicted PPIs'!V8+'Predicted PPIs'!V7)))*IF(F$73=".", 1, (F8/F7)^(('Summary, PPI''s'!$F8+'Summary, PPI''s'!$F7)/('Predicted PPIs'!V8+'Predicted PPIs'!V7)))*IF(G$73=".", 1, (G8/G7)^(('Summary, PPI''s'!$G8+'Summary, PPI''s'!$G7)/('Predicted PPIs'!V8+'Predicted PPIs'!V7)))*IF(H$73=".", 1, (H8/H7)^(('Summary, PPI''s'!$H8+'Summary, PPI''s'!$H7)/('Predicted PPIs'!V8+'Predicted PPIs'!V7)))*IF(I$73=".", 1, (I8/I7)^(('Summary, PPI''s'!$I8+'Summary, PPI''s'!$I7)/('Predicted PPIs'!V8+'Predicted PPIs'!V7)))*IF(J$73=".", 1, (J8/J7)^(('Summary, PPI''s'!$J8+'Summary, PPI''s'!$J7)/('Predicted PPIs'!V8+'Predicted PPIs'!V7)))*IF(K$73=".", 1, (K8/K7)^(('Summary, PPI''s'!$K8+'Summary, PPI''s'!$K7)/('Predicted PPIs'!V8+'Predicted PPIs'!V7)))*IF(L$73=".", 1, (L8/L7)^(('Summary, PPI''s'!$L8+'Summary, PPI''s'!$L7)/('Predicted PPIs'!V8+'Predicted PPIs'!V7)))*IF(M$73=".", 1, (M8/M7)^(('Summary, PPI''s'!$M8+'Summary, PPI''s'!$M7)/('Predicted PPIs'!V8+'Predicted PPIs'!V7)))*IF(B$73=".", 1, (B8/B7)^(('Summary, PPI''s'!$B8+'Summary, PPI''s'!$B7)/('Predicted PPIs'!V8+'Predicted PPIs'!V7)))*IF(C$73=".", 1, (C8/C7)^(('Summary, PPI''s'!$C8+'Summary, PPI''s'!$C7)/('Predicted PPIs'!V8+'Predicted PPIs'!V7)))*IF(D$73=".", 1, (D8/D7)^(('Summary, PPI''s'!$D8+'Summary, PPI''s'!$D7)/('Predicted PPIs'!V8+'Predicted PPIs'!V7)))*IF(N$73=".", 1, (N8/N7)^(('Summary, PPI''s'!$N8+'Summary, PPI''s'!$N7)/('Predicted PPIs'!V8+'Predicted PPIs'!V7)))*IF(O$73=".", 1, (O8/O7)^(('Summary, PPI''s'!$O8+'Summary, PPI''s'!$O7)/('Predicted PPIs'!V8+'Predicted PPIs'!V7)))*IF(P$73=".", 1, (P8/P7)^(('Summary, PPI''s'!$P8+'Summary, PPI''s'!$P7)/('Predicted PPIs'!V8+'Predicted PPIs'!V7)))</f>
        <v>102.58119068542237</v>
      </c>
      <c r="AE8" s="4">
        <f>AE7*IF(E$94=".", 1, (E8/E7)^(('Summary, PPI''s'!$E8+'Summary, PPI''s'!$E7)/('Predicted PPIs'!W8+'Predicted PPIs'!W7)))*IF(F$94=".", 1, (F8/F7)^(('Summary, PPI''s'!$F8+'Summary, PPI''s'!$F7)/('Predicted PPIs'!W8+'Predicted PPIs'!W7)))*IF(G$94=".", 1, (G8/G7)^(('Summary, PPI''s'!$G8+'Summary, PPI''s'!$G7)/('Predicted PPIs'!W8+'Predicted PPIs'!W7)))*IF(H$94=".", 1, (H8/H7)^(('Summary, PPI''s'!$H8+'Summary, PPI''s'!$H7)/('Predicted PPIs'!W8+'Predicted PPIs'!W7)))*IF(I$94=".", 1, (I8/I7)^(('Summary, PPI''s'!$I8+'Summary, PPI''s'!$I7)/('Predicted PPIs'!W8+'Predicted PPIs'!W7)))*IF(J$94=".", 1, (J8/J7)^(('Summary, PPI''s'!$J8+'Summary, PPI''s'!$J7)/('Predicted PPIs'!W8+'Predicted PPIs'!W7)))*IF(K$94=".", 1, (K8/K7)^(('Summary, PPI''s'!$K8+'Summary, PPI''s'!$K7)/('Predicted PPIs'!W8+'Predicted PPIs'!W7)))*IF(L$94=".", 1, (L8/L7)^(('Summary, PPI''s'!$L8+'Summary, PPI''s'!$L7)/('Predicted PPIs'!W8+'Predicted PPIs'!W7)))*IF(M$94=".", 1, (M8/M7)^(('Summary, PPI''s'!$M8+'Summary, PPI''s'!$M7)/('Predicted PPIs'!W8+'Predicted PPIs'!W7)))*IF(B$94=".", 1, (B8/B7)^(('Summary, PPI''s'!$B8+'Summary, PPI''s'!$B7)/('Predicted PPIs'!W8+'Predicted PPIs'!W7)))*IF(C$94=".", 1, (C8/C7)^(('Summary, PPI''s'!$C8+'Summary, PPI''s'!$C7)/('Predicted PPIs'!W8+'Predicted PPIs'!W7)))*IF(D$94=".", 1, (D8/D7)^(('Summary, PPI''s'!$D8+'Summary, PPI''s'!$D7)/('Predicted PPIs'!W8+'Predicted PPIs'!W7)))*IF(N$94=".", 1, (N8/N7)^(('Summary, PPI''s'!$N8+'Summary, PPI''s'!$N7)/('Predicted PPIs'!W8+'Predicted PPIs'!W7)))*IF(O$94=".", 1, (O8/O7)^(('Summary, PPI''s'!$O8+'Summary, PPI''s'!$O7)/('Predicted PPIs'!W8+'Predicted PPIs'!W7)))*IF(P$94=".", 1, (P8/P7)^(('Summary, PPI''s'!$P8+'Summary, PPI''s'!$P7)/('Predicted PPIs'!W8+'Predicted PPIs'!W7)))</f>
        <v>102.04100097711249</v>
      </c>
      <c r="AF8" s="4">
        <f>AF7*IF(E$123=".", 1, (E8/E7)^(('Summary, PPI''s'!$E8+'Summary, PPI''s'!$E7)/('Predicted PPIs'!X8+'Predicted PPIs'!X7)))*IF(F$123=".", 1, (F8/F7)^(('Summary, PPI''s'!$F8+'Summary, PPI''s'!$F7)/('Predicted PPIs'!X8+'Predicted PPIs'!X7)))*IF(G$123=".", 1, (G8/G7)^(('Summary, PPI''s'!$G8+'Summary, PPI''s'!$G7)/('Predicted PPIs'!X8+'Predicted PPIs'!X7)))*IF(H$123=".", 1, (H8/H7)^(('Summary, PPI''s'!$H8+'Summary, PPI''s'!$H7)/('Predicted PPIs'!X8+'Predicted PPIs'!X7)))*IF(I$123=".", 1, (I8/I7)^(('Summary, PPI''s'!$I8+'Summary, PPI''s'!$I7)/('Predicted PPIs'!X8+'Predicted PPIs'!X7)))*IF(J$123=".", 1, (J8/J7)^(('Summary, PPI''s'!$J8+'Summary, PPI''s'!$J7)/('Predicted PPIs'!X8+'Predicted PPIs'!X7)))*IF(K$123=".", 1, (K8/K7)^(('Summary, PPI''s'!$K8+'Summary, PPI''s'!$K7)/('Predicted PPIs'!X8+'Predicted PPIs'!X7)))*IF(L$123=".", 1, (L8/L7)^(('Summary, PPI''s'!$L8+'Summary, PPI''s'!$L7)/('Predicted PPIs'!X8+'Predicted PPIs'!X7)))*IF(M$123=".", 1, (M8/M7)^(('Summary, PPI''s'!$M8+'Summary, PPI''s'!$M7)/('Predicted PPIs'!X8+'Predicted PPIs'!X7)))*IF(B$123=".", 1, (B8/B7)^(('Summary, PPI''s'!$B8+'Summary, PPI''s'!$B7)/('Predicted PPIs'!X8+'Predicted PPIs'!X7)))*IF(C$123=".", 1, (C8/C7)^(('Summary, PPI''s'!$C8+'Summary, PPI''s'!$C7)/('Predicted PPIs'!X8+'Predicted PPIs'!X7)))*IF(D$123=".", 1, (D8/D7)^(('Summary, PPI''s'!$D8+'Summary, PPI''s'!$D7)/('Predicted PPIs'!X8+'Predicted PPIs'!X7)))*IF(N$123=".", 1, (N8/N7)^(('Summary, PPI''s'!$N8+'Summary, PPI''s'!$N7)/('Predicted PPIs'!X8+'Predicted PPIs'!X7)))*IF(O$123=".", 1, (O8/O7)^(('Summary, PPI''s'!$O8+'Summary, PPI''s'!$O7)/('Predicted PPIs'!X8+'Predicted PPIs'!X7)))*IF(P$123=".", 1, (P8/P7)^(('Summary, PPI''s'!$P8+'Summary, PPI''s'!$P7)/('Predicted PPIs'!X8+'Predicted PPIs'!X7)))</f>
        <v>101.84721276557325</v>
      </c>
      <c r="AH8" s="13">
        <f t="shared" si="32"/>
        <v>107.85177925194385</v>
      </c>
      <c r="AJ8" s="4">
        <v>12263.5</v>
      </c>
      <c r="AK8" s="4">
        <v>-0.622</v>
      </c>
      <c r="AL8" s="4">
        <v>-1409.306</v>
      </c>
      <c r="AM8" s="4">
        <v>-20.634</v>
      </c>
      <c r="AN8" s="4">
        <v>12749.6</v>
      </c>
      <c r="AO8" s="4">
        <v>3062.1</v>
      </c>
      <c r="AP8" s="4">
        <f>1385.646+0.004+0.266+18.267-1481.455</f>
        <v>-77.271999999999935</v>
      </c>
      <c r="AQ8" s="4">
        <f>1261.78+22.641+14.67+49.189-1858.87</f>
        <v>-510.58999999999969</v>
      </c>
      <c r="AR8" s="4">
        <v>-57.771000000000001</v>
      </c>
      <c r="AS8" s="4">
        <v>-77.305999999999997</v>
      </c>
      <c r="AT8" s="4">
        <v>103.116</v>
      </c>
      <c r="AU8" s="4">
        <v>101.93899999999999</v>
      </c>
      <c r="AV8" s="4">
        <v>107.959</v>
      </c>
      <c r="AW8" s="4">
        <v>107.09399999999999</v>
      </c>
      <c r="AX8" s="4">
        <v>99.010999999999996</v>
      </c>
      <c r="AY8" s="4">
        <v>104.075</v>
      </c>
      <c r="AZ8" s="4">
        <v>109.40300000000001</v>
      </c>
      <c r="BA8" s="4">
        <v>105.93300000000001</v>
      </c>
      <c r="BB8" s="4">
        <v>99.700999999999993</v>
      </c>
      <c r="BC8" s="4">
        <v>102.45399999999999</v>
      </c>
      <c r="BG8" s="4">
        <f>BG9*((AJ8/AT8)/(AJ9/AT9))^((AJ8+AJ9)/SUM(AJ8:AS9))*((AK8/AU8)/(AK9/AU9))^((AK8+AK9)/SUM(AJ8:AS9))*((AL8/AV8)/(AL9/AV9))^((AL8+AL9)/SUM(AJ8:AS9))*((AM8/AW8)/(AM9/AW9))^((AM8+AM9)/SUM(AJ8:AS9))*((AN8/AX8)/(AN9/AX9))^((AN8+AN9)/SUM(AJ8:AS9))*((AO8/AY8)/(AO9/AY9))^((AO8+AO9)/SUM(AJ8:AS9))*((AP8/AZ8)/(AP9/AZ9))^((AP8+AP9)/SUM(AJ8:AS9))*((AQ8/BA8)/(AQ9/BA9))^((AQ8+AQ9)/SUM(AJ8:AS9))*((AR8/BB8)/(AR9/BB9))^((AR8+AR9)/SUM(AJ8:AS9))*((AS8/BC8)/(AS9/BC9))^((AS8+AS9)/SUM(AJ8:AS9))</f>
        <v>109.98592355591222</v>
      </c>
      <c r="BI8" s="4">
        <v>320878310</v>
      </c>
      <c r="BJ8" s="4">
        <f>'[2]Ordinary Experience'!$E$418</f>
        <v>19.177076809237313</v>
      </c>
      <c r="BL8" s="4">
        <f t="shared" si="0"/>
        <v>107.00348408737432</v>
      </c>
      <c r="BM8" s="4">
        <f t="shared" si="34"/>
        <v>1.847705120945653E-2</v>
      </c>
      <c r="BO8" s="4">
        <f>IF(OR('Summary, hourly ad costs'!R8=-9999,'Summary, PPI''s'!R8="."),".",(('Summary, hourly ad costs'!B8/'Summary, hourly ad costs'!R8)*100/('Summary, hourly ad costs'!B$11/'Summary, hourly ad costs'!R$11))/('Summary, PPI''s'!R8))</f>
        <v>0.99830801951854886</v>
      </c>
      <c r="BP8" s="4" t="str">
        <f>IF(OR('Summary, hourly ad costs'!S8=-9999,'Summary, PPI''s'!S8="."),".",(('Summary, hourly ad costs'!C8/'Summary, hourly ad costs'!S8)*100/('Summary, hourly ad costs'!C$11/'Summary, hourly ad costs'!S$11))/('Summary, PPI''s'!S8))</f>
        <v>.</v>
      </c>
      <c r="BQ8" s="4" t="str">
        <f>IF(OR('Summary, hourly ad costs'!T8=-9999,'Summary, PPI''s'!T8="."),".",(('Summary, hourly ad costs'!D8/'Summary, hourly ad costs'!T8)*100/('Summary, hourly ad costs'!D$11/'Summary, hourly ad costs'!T$11))/('Summary, PPI''s'!T8))</f>
        <v>.</v>
      </c>
      <c r="BR8" s="4">
        <f>IF(OR('Summary, hourly ad costs'!U8=-9999,'Summary, PPI''s'!U8="."),".",(('Summary, hourly ad costs'!E8/'Summary, hourly ad costs'!U8)*100/('Summary, hourly ad costs'!E$11/'Summary, hourly ad costs'!U$11))/('Summary, PPI''s'!U8))</f>
        <v>0.81917437721481778</v>
      </c>
      <c r="BS8" s="4">
        <f>IF(OR('Summary, hourly ad costs'!V8=-9999,'Summary, PPI''s'!V8="."),".",(('Summary, hourly ad costs'!F8/'Summary, hourly ad costs'!V8)*100/('Summary, hourly ad costs'!F$11/'Summary, hourly ad costs'!V$11))/('Summary, PPI''s'!V8))</f>
        <v>0.84101467867170021</v>
      </c>
      <c r="BT8" s="4" t="str">
        <f>IF(OR('Summary, hourly ad costs'!W8=-9999,'Summary, PPI''s'!W8="."),".",(('Summary, hourly ad costs'!G8/'Summary, hourly ad costs'!W8)*100/('Summary, hourly ad costs'!G$11/'Summary, hourly ad costs'!W$11))/('Summary, PPI''s'!W8))</f>
        <v>.</v>
      </c>
      <c r="BU8" s="4">
        <f>IF(OR('Summary, hourly ad costs'!X8=-9999,'Summary, PPI''s'!X8="."),".",(('Summary, hourly ad costs'!H8/'Summary, hourly ad costs'!X8)*100/('Summary, hourly ad costs'!H$11/'Summary, hourly ad costs'!X$11))/('Summary, PPI''s'!X8))</f>
        <v>1.0694822289419375</v>
      </c>
      <c r="BV8" s="4">
        <f>IF(OR('Summary, hourly ad costs'!Y8=-9999,'Summary, PPI''s'!Y8="."),".",(('Summary, hourly ad costs'!I8/'Summary, hourly ad costs'!Y8)*100/('Summary, hourly ad costs'!I$11/'Summary, hourly ad costs'!Y$11))/('Summary, PPI''s'!Y8))</f>
        <v>0.96979859967077708</v>
      </c>
      <c r="BW8" s="4">
        <f>IF(OR('Summary, hourly ad costs'!Z8=-9999,'Summary, PPI''s'!Z8="."),".",(('Summary, hourly ad costs'!J8/'Summary, hourly ad costs'!Z8)*100/('Summary, hourly ad costs'!J$11/'Summary, hourly ad costs'!Z$11))/('Summary, PPI''s'!Z8))</f>
        <v>1.3342173856881365</v>
      </c>
      <c r="BX8" s="4">
        <f>IF(OR('Summary, hourly ad costs'!AA8=-9999,'Summary, PPI''s'!AA8="."),".",(('Summary, hourly ad costs'!K8/'Summary, hourly ad costs'!AA8)*100/('Summary, hourly ad costs'!K$11/'Summary, hourly ad costs'!AA$11))/('Summary, PPI''s'!AA8))</f>
        <v>0.97677760197400909</v>
      </c>
      <c r="BY8" s="4">
        <f>IF(OR('Summary, hourly ad costs'!AB8=-9999,'Summary, PPI''s'!AB8="."),".",(('Summary, hourly ad costs'!L8/'Summary, hourly ad costs'!AB8)*100/('Summary, hourly ad costs'!L$11/'Summary, hourly ad costs'!AB$11))/('Summary, PPI''s'!AB8))</f>
        <v>1.3324643717583537</v>
      </c>
      <c r="BZ8" s="4">
        <f>IF(OR('Summary, hourly ad costs'!AC8=-9999,'Summary, PPI''s'!AC8="."),".",(('Summary, hourly ad costs'!M8/'Summary, hourly ad costs'!AC8)*100/('Summary, hourly ad costs'!M$11/'Summary, hourly ad costs'!AC$11))/('Summary, PPI''s'!AC8))</f>
        <v>1.4255102445548733</v>
      </c>
      <c r="CA8" s="4" t="str">
        <f>IF(OR('Summary, hourly ad costs'!AD8=-9999,'Summary, PPI''s'!AD8="."),".",(('Summary, hourly ad costs'!N8/'Summary, hourly ad costs'!AD8)*100/('Summary, hourly ad costs'!N$11/'Summary, hourly ad costs'!AD$11))/('Summary, PPI''s'!AD8))</f>
        <v>.</v>
      </c>
      <c r="CB8" s="4" t="str">
        <f>IF(OR('Summary, hourly ad costs'!AE8=-9999,'Summary, PPI''s'!AE8="."),".",(('Summary, hourly ad costs'!O8/'Summary, hourly ad costs'!AE8)*100/('Summary, hourly ad costs'!O$11/'Summary, hourly ad costs'!AE$11))/('Summary, PPI''s'!AE8))</f>
        <v>.</v>
      </c>
      <c r="CC8" s="4" t="str">
        <f>IF(OR('Summary, hourly ad costs'!AF8=-9999,'Summary, PPI''s'!AF8="."),".",(('Summary, hourly ad costs'!P8/'Summary, hourly ad costs'!AF8)*100/('Summary, hourly ad costs'!P$11/'Summary, hourly ad costs'!AF$11))/('Summary, PPI''s'!AF8))</f>
        <v>.</v>
      </c>
      <c r="CE8" s="4">
        <f t="shared" si="1"/>
        <v>2.6187012558138711E-3</v>
      </c>
      <c r="CF8" s="4" t="str">
        <f t="shared" si="2"/>
        <v>.</v>
      </c>
      <c r="CG8" s="4" t="str">
        <f t="shared" si="3"/>
        <v>.</v>
      </c>
      <c r="CH8" s="4">
        <f t="shared" si="4"/>
        <v>-2.2150677091250959E-2</v>
      </c>
      <c r="CI8" s="4">
        <f t="shared" si="5"/>
        <v>5.5335532217487993E-2</v>
      </c>
      <c r="CJ8" s="4" t="str">
        <f t="shared" si="6"/>
        <v>.</v>
      </c>
      <c r="CK8" s="4">
        <f t="shared" si="7"/>
        <v>2.2573055795528818E-2</v>
      </c>
      <c r="CL8" s="4">
        <f t="shared" si="8"/>
        <v>7.1512614111604478E-2</v>
      </c>
      <c r="CM8" s="4">
        <f t="shared" si="9"/>
        <v>4.1531337099105725E-2</v>
      </c>
      <c r="CN8" s="4">
        <f t="shared" si="10"/>
        <v>2.6223531916697906E-2</v>
      </c>
      <c r="CO8" s="4">
        <f t="shared" si="11"/>
        <v>-1.9008253729335789E-2</v>
      </c>
      <c r="CP8" s="4">
        <f t="shared" si="12"/>
        <v>0.4725642425476968</v>
      </c>
      <c r="CQ8" s="4" t="str">
        <f t="shared" si="13"/>
        <v>.</v>
      </c>
      <c r="CR8" s="4" t="str">
        <f t="shared" si="14"/>
        <v>.</v>
      </c>
      <c r="CS8" s="4" t="str">
        <f t="shared" si="15"/>
        <v>.</v>
      </c>
      <c r="CU8" s="5">
        <f>IF(CU7=".", ".", IF('Summary, PPI''s'!R8=".",IF(OR('Summary, hourly ad costs'!R8=-9999,'Summary, hourly ad costs'!R8=0), ".", 'Predicted PPIs'!CU7*('Summary, hourly ad costs'!B8/'Summary, hourly ad costs'!R8)/('Summary, hourly ad costs'!B7/'Summary, hourly ad costs'!R7)/(1-CE7)), 'Summary, PPI''s'!R8))</f>
        <v>99.578554281141649</v>
      </c>
      <c r="CV8" s="5">
        <f>IF(CV7=".", ".", IF('Summary, PPI''s'!S8=".",IF(OR('Summary, hourly ad costs'!S8=-9999,'Summary, hourly ad costs'!S8=0), ".", 'Predicted PPIs'!CV7*('Summary, hourly ad costs'!C8/'Summary, hourly ad costs'!S8)/('Summary, hourly ad costs'!C7/'Summary, hourly ad costs'!S7)/(1-CF7)), 'Summary, PPI''s'!S8))</f>
        <v>99.578554281141649</v>
      </c>
      <c r="CW8" s="5">
        <f>IF(CW7=".", ".", IF('Summary, PPI''s'!T8=".",IF(OR('Summary, hourly ad costs'!T8=-9999,'Summary, hourly ad costs'!T8=0), ".", 'Predicted PPIs'!CW7*('Summary, hourly ad costs'!D8/'Summary, hourly ad costs'!T8)/('Summary, hourly ad costs'!D7/'Summary, hourly ad costs'!T7)/(1-CG7)), 'Summary, PPI''s'!T8))</f>
        <v>102.81371117934265</v>
      </c>
      <c r="CX8" s="5">
        <f>IF(CX7=".", ".", IF('Summary, PPI''s'!U8=".",IF(OR('Summary, hourly ad costs'!U8=-9999,'Summary, hourly ad costs'!U8=0), ".", 'Predicted PPIs'!CX7*('Summary, hourly ad costs'!E8/'Summary, hourly ad costs'!U8)/('Summary, hourly ad costs'!E7/'Summary, hourly ad costs'!U7)/(1-CH7)), 'Summary, PPI''s'!U8))</f>
        <v>102.70127342725388</v>
      </c>
      <c r="CY8" s="5">
        <f>IF(CY7=".", ".", IF('Summary, PPI''s'!V8=".",IF(OR('Summary, hourly ad costs'!V8=-9999,'Summary, hourly ad costs'!V8=0), ".", 'Predicted PPIs'!CY7*('Summary, hourly ad costs'!F8/'Summary, hourly ad costs'!V8)/('Summary, hourly ad costs'!F7/'Summary, hourly ad costs'!V7)/(1-CI7)), 'Summary, PPI''s'!V8))</f>
        <v>106.6806705383253</v>
      </c>
      <c r="CZ8" s="5">
        <f>IF(CZ7=".", ".", IF('Summary, PPI''s'!W8=".",IF(OR('Summary, hourly ad costs'!W8=-9999,'Summary, hourly ad costs'!W8=0), ".", 'Predicted PPIs'!CZ7*('Summary, hourly ad costs'!G8/'Summary, hourly ad costs'!W8)/('Summary, hourly ad costs'!G7/'Summary, hourly ad costs'!W7)/(1-CJ7)), 'Summary, PPI''s'!W8))</f>
        <v>102.00862094243909</v>
      </c>
      <c r="DA8" s="5">
        <f>IF(DA7=".", ".", IF('Summary, PPI''s'!X8=".",IF(OR('Summary, hourly ad costs'!X8=-9999,'Summary, hourly ad costs'!X8=0), ".", 'Predicted PPIs'!DA7*('Summary, hourly ad costs'!H8/'Summary, hourly ad costs'!X8)/('Summary, hourly ad costs'!H7/'Summary, hourly ad costs'!X7)/(1-CK7)), 'Summary, PPI''s'!X8))</f>
        <v>105.26600000000001</v>
      </c>
      <c r="DB8" s="5">
        <f>IF(DB7=".", ".", IF('Summary, PPI''s'!Y8=".",IF(OR('Summary, hourly ad costs'!Y8=-9999,'Summary, hourly ad costs'!Y8=0), ".", 'Predicted PPIs'!DB7*('Summary, hourly ad costs'!I8/'Summary, hourly ad costs'!Y8)/('Summary, hourly ad costs'!I7/'Summary, hourly ad costs'!Y7)/(1-CL7)), 'Summary, PPI''s'!Y8))</f>
        <v>95.190212837271687</v>
      </c>
      <c r="DC8" s="5">
        <f>IF(DC7=".", ".", IF('Summary, PPI''s'!Z8=".",IF(OR('Summary, hourly ad costs'!Z8=-9999,'Summary, hourly ad costs'!Z8=0), ".", 'Predicted PPIs'!DC7*('Summary, hourly ad costs'!J8/'Summary, hourly ad costs'!Z8)/('Summary, hourly ad costs'!J7/'Summary, hourly ad costs'!Z7)/(1-CM7)), 'Summary, PPI''s'!Z8))</f>
        <v>92.581233421750653</v>
      </c>
      <c r="DD8" s="5">
        <f>IF(DD7=".", ".", IF('Summary, PPI''s'!AA8=".",IF(OR('Summary, hourly ad costs'!AA8=-9999,'Summary, hourly ad costs'!AA8=0), ".", 'Predicted PPIs'!DD7*('Summary, hourly ad costs'!K8/'Summary, hourly ad costs'!AA8)/('Summary, hourly ad costs'!K7/'Summary, hourly ad costs'!AA7)/(1-CN7)), 'Summary, PPI''s'!AA8))</f>
        <v>101.6262860935944</v>
      </c>
      <c r="DE8" s="5">
        <f>IF(DE7=".", ".", IF('Summary, PPI''s'!AB8=".",IF(OR('Summary, hourly ad costs'!AB8=-9999,'Summary, hourly ad costs'!AB8=0), ".", 'Predicted PPIs'!DE7*('Summary, hourly ad costs'!L8/'Summary, hourly ad costs'!AB8)/('Summary, hourly ad costs'!L7/'Summary, hourly ad costs'!AB7)/(1-CO7)), 'Summary, PPI''s'!AB8))</f>
        <v>93.646616541353382</v>
      </c>
      <c r="DF8" s="5">
        <f>IF(DF7=".", ".", IF('Summary, PPI''s'!AC8=".",IF(OR('Summary, hourly ad costs'!AC8=-9999,'Summary, hourly ad costs'!AC8=0), ".", 'Predicted PPIs'!DF7*('Summary, hourly ad costs'!M8/'Summary, hourly ad costs'!AC8)/('Summary, hourly ad costs'!M7/'Summary, hourly ad costs'!AC7)/(1-CP7)), 'Summary, PPI''s'!AC8))</f>
        <v>82.112177867609887</v>
      </c>
      <c r="DG8" s="5">
        <f>IF(DG7=".", ".", IF('Summary, PPI''s'!AD8=".",IF(OR('Summary, hourly ad costs'!AD8=-9999,'Summary, hourly ad costs'!AD8=0), ".", 'Predicted PPIs'!DG7*('Summary, hourly ad costs'!N8/'Summary, hourly ad costs'!AD8)/('Summary, hourly ad costs'!N7/'Summary, hourly ad costs'!AD7)/(1-CQ7)), 'Summary, PPI''s'!AD8))</f>
        <v>105.00383926286158</v>
      </c>
      <c r="DH8" s="5">
        <f>IF(DH7=".", ".", IF('Summary, PPI''s'!AE8=".",IF(OR('Summary, hourly ad costs'!AE8=-9999,'Summary, hourly ad costs'!AE8=0), ".", 'Predicted PPIs'!DH7*('Summary, hourly ad costs'!O8/'Summary, hourly ad costs'!AE8)/('Summary, hourly ad costs'!O7/'Summary, hourly ad costs'!AE7)/(1-CR7)), 'Summary, PPI''s'!AE8))</f>
        <v>110.051</v>
      </c>
      <c r="DI8" s="5">
        <f>IF(DI7=".", ".", IF('Summary, PPI''s'!AF8=".",IF(OR('Summary, hourly ad costs'!AF8=-9999,'Summary, hourly ad costs'!AF8=0), ".", 'Predicted PPIs'!DI7*('Summary, hourly ad costs'!P8/'Summary, hourly ad costs'!AF8)/('Summary, hourly ad costs'!P7/'Summary, hourly ad costs'!AF7)/(1-CS7)), 'Summary, PPI''s'!AF8))</f>
        <v>106.708</v>
      </c>
      <c r="DK8" s="4">
        <v>107.489</v>
      </c>
      <c r="DM8" s="5">
        <f t="shared" si="16"/>
        <v>-2.4206278077615884E-2</v>
      </c>
      <c r="DN8" s="5">
        <f t="shared" si="17"/>
        <v>-2.4206278077615884E-2</v>
      </c>
      <c r="DO8" s="5">
        <f t="shared" si="18"/>
        <v>-2.0017116670273505E-2</v>
      </c>
      <c r="DP8" s="5">
        <f t="shared" si="19"/>
        <v>-1.9181167130948973E-2</v>
      </c>
      <c r="DQ8" s="5">
        <f t="shared" si="20"/>
        <v>-8.8014511289381536E-3</v>
      </c>
      <c r="DR8" s="5">
        <f t="shared" si="21"/>
        <v>-2.1990912405054019E-2</v>
      </c>
      <c r="DS8" s="5">
        <f t="shared" si="22"/>
        <v>-4.0295291278913403E-4</v>
      </c>
      <c r="DT8" s="5">
        <f t="shared" si="23"/>
        <v>-8.5468130718870383E-2</v>
      </c>
      <c r="DU8" s="5">
        <f t="shared" si="24"/>
        <v>-5.2226738995857391E-2</v>
      </c>
      <c r="DV8" s="5">
        <f t="shared" si="25"/>
        <v>-1.3189711981845931E-2</v>
      </c>
      <c r="DW8" s="5">
        <f t="shared" si="26"/>
        <v>9.9681829693226698E-2</v>
      </c>
      <c r="DX8" s="5">
        <f t="shared" si="27"/>
        <v>-0.1601015376924344</v>
      </c>
      <c r="DY8" s="5">
        <f t="shared" si="28"/>
        <v>-9.8422785801397517E-3</v>
      </c>
      <c r="DZ8" s="5">
        <f t="shared" si="29"/>
        <v>2.963492930361511E-2</v>
      </c>
      <c r="EA8" s="5">
        <f t="shared" si="30"/>
        <v>3.7773240777005945E-4</v>
      </c>
      <c r="EC8" s="1">
        <f t="shared" si="35"/>
        <v>99.578554281141649</v>
      </c>
      <c r="ED8" s="1">
        <f t="shared" si="36"/>
        <v>99.578554281141649</v>
      </c>
      <c r="EE8" s="1">
        <f t="shared" si="37"/>
        <v>102.81371117934265</v>
      </c>
      <c r="EF8" s="1">
        <f t="shared" si="38"/>
        <v>102.70127342725388</v>
      </c>
      <c r="EG8" s="1">
        <f t="shared" si="39"/>
        <v>106.6806705383253</v>
      </c>
      <c r="EH8" s="1">
        <f t="shared" si="40"/>
        <v>102.00862094243909</v>
      </c>
      <c r="EI8" s="1">
        <f t="shared" si="41"/>
        <v>105.26600000000001</v>
      </c>
      <c r="EJ8" s="1">
        <f t="shared" si="42"/>
        <v>95.190212837271687</v>
      </c>
      <c r="EK8" s="1">
        <f t="shared" si="43"/>
        <v>92.581233421750653</v>
      </c>
      <c r="EL8" s="1">
        <f t="shared" si="44"/>
        <v>101.6262860935944</v>
      </c>
      <c r="EM8" s="1">
        <f t="shared" si="45"/>
        <v>93.646616541353382</v>
      </c>
      <c r="EN8" s="1">
        <f t="shared" si="46"/>
        <v>82.112177867609887</v>
      </c>
      <c r="EO8" s="1">
        <f t="shared" si="47"/>
        <v>105.00383926286158</v>
      </c>
      <c r="EP8" s="1">
        <f t="shared" si="48"/>
        <v>110.051</v>
      </c>
      <c r="EQ8" s="1">
        <f t="shared" si="49"/>
        <v>106.708</v>
      </c>
      <c r="ES8" s="1">
        <f>IF(EF$26=".", 0, 'Summary, PPI''s'!E8)+IF(EG$26=".", 0, 'Summary, PPI''s'!F8)+IF(EH$26=".", 0, 'Summary, PPI''s'!G8)+IF(EI$26=".", 0, 'Summary, PPI''s'!H8)+IF(EJ$26=".", 0, 'Summary, PPI''s'!I8)+IF(EK$26=".", 0, 'Summary, PPI''s'!J8)+IF(EL$26=".", 0, 'Summary, PPI''s'!K8)+IF(EM$26=".", 0, 'Summary, PPI''s'!L8)+IF(EN$26=".", 0, 'Summary, PPI''s'!M8)+IF(EC$26=".", 0, 'Summary, PPI''s'!B8)+IF(ED$26=".", 0, 'Summary, PPI''s'!C8)+IF(EE$26=".", 0, 'Summary, PPI''s'!D8)+IF(EO$26=".", 0, 'Summary, PPI''s'!N8)+IF(EP$26=".", 0, 'Summary, PPI''s'!O8)+IF(EQ$26=".", 0, 'Summary, PPI''s'!P8)</f>
        <v>377419316.86971819</v>
      </c>
      <c r="ET8" s="1">
        <f>'Summary, hourly ad costs'!E8+'Summary, hourly ad costs'!F8+'Summary, hourly ad costs'!H8+'Summary, hourly ad costs'!I8+'Summary, hourly ad costs'!J8+'Summary, hourly ad costs'!K8+'Summary, hourly ad costs'!L8+'Summary, hourly ad costs'!M8+'Summary, hourly ad costs'!B8</f>
        <v>210851639.32314545</v>
      </c>
      <c r="EV8" s="13">
        <f>EV7*IF(EF$26=".", 1, (EF8/EF7)^(('Summary, PPI''s'!$E8+'Summary, PPI''s'!$E7)/('Predicted PPIs'!ES8+'Predicted PPIs'!ES7)))*IF(EG$26=".", 1, (EG8/EG7)^(('Summary, PPI''s'!$F8+'Summary, PPI''s'!$F7)/('Predicted PPIs'!ES8+'Predicted PPIs'!ES7)))*IF(EH$26=".", 1, (EH8/EH7)^(('Summary, PPI''s'!$G8+'Summary, PPI''s'!$G7)/('Predicted PPIs'!ES8+'Predicted PPIs'!ES7)))*IF(EI$26=".", 1, (EI8/EI7)^(('Summary, PPI''s'!$H8+'Summary, PPI''s'!$H7)/('Predicted PPIs'!ES8+'Predicted PPIs'!ES7)))*IF(EJ$26=".", 1, (EJ8/EJ7)^(('Summary, PPI''s'!$I8+'Summary, PPI''s'!$I7)/('Predicted PPIs'!ES8+'Predicted PPIs'!ES7)))*IF(EK$26=".", 1, (EK8/EK7)^(('Summary, PPI''s'!$J8+'Summary, PPI''s'!$J7)/('Predicted PPIs'!ES8+'Predicted PPIs'!ES7)))*IF(EL$26=".", 1, (EL8/EL7)^(('Summary, PPI''s'!$K8+'Summary, PPI''s'!$K7)/('Predicted PPIs'!ES8+'Predicted PPIs'!ES7)))*IF(EM$26=".", 1, (EM8/EM7)^(('Summary, PPI''s'!$L8+'Summary, PPI''s'!$L7)/('Predicted PPIs'!ES8+'Predicted PPIs'!ES7)))*IF(EN$26=".", 1, (EN8/EN7)^(('Summary, PPI''s'!$M8+'Summary, PPI''s'!$M7)/('Predicted PPIs'!ES8+'Predicted PPIs'!ES7)))*IF(EC$26=".", 1, (EC8/EC7)^(('Summary, PPI''s'!$B8+'Summary, PPI''s'!$B7)/('Predicted PPIs'!ES8+'Predicted PPIs'!ES7)))*IF(ED$26=".", 1, (ED8/ED7)^(('Summary, PPI''s'!$C8+'Summary, PPI''s'!$C7)/('Predicted PPIs'!ES8+'Predicted PPIs'!ES7)))*IF(EE$26=".", 1, (EE8/EE7)^(('Summary, PPI''s'!$D8+'Summary, PPI''s'!$D7)/('Predicted PPIs'!ES8+'Predicted PPIs'!ES7)))*IF(EO$26=".", 1, (EO8/EO7)^(('Summary, PPI''s'!$N8+'Summary, PPI''s'!$N7)/('Predicted PPIs'!ES8+'Predicted PPIs'!ES7)))*IF(EP$26=".", 1, (EP8/EP7)^(('Summary, PPI''s'!$O8+'Summary, PPI''s'!$O7)/('Predicted PPIs'!ES8+'Predicted PPIs'!ES7)))*IF(EQ$26=".", 1, (EQ8/EQ7)^(('Summary, PPI''s'!$P8+'Summary, PPI''s'!$P7)/('Predicted PPIs'!ES8+'Predicted PPIs'!ES7)))</f>
        <v>107.85177925194385</v>
      </c>
      <c r="EW8" s="13">
        <f>EW7*IF(EF$26=".", 1, (EF8/EF7)^(('Summary, PPI''s'!$E8+'Summary, PPI''s'!$E7)/('Predicted PPIs'!ET8+'Predicted PPIs'!ET7)))*IF(EG$26=".", 1, (EG8/EG7)^(('Summary, PPI''s'!$F8+'Summary, PPI''s'!$F7)/('Predicted PPIs'!ET8+'Predicted PPIs'!ET7)))*IF(EH$26=".", 1, (EH8/EH7)^(('Summary, PPI''s'!$G8+'Summary, PPI''s'!$G7)/('Predicted PPIs'!ET8+'Predicted PPIs'!ET7)))*IF(EK$26=".", 1, (EK8/EK7)^(('Summary, PPI''s'!$J8+'Summary, PPI''s'!$J7)/('Predicted PPIs'!ET8+'Predicted PPIs'!ET7)))*IF(EL$26=".", 1, (EL8/EL7)^(('Summary, PPI''s'!$K8+'Summary, PPI''s'!$K7)/('Predicted PPIs'!ET8+'Predicted PPIs'!ET7)))*IF(EM$26=".", 1, (EM8/EM7)^(('Summary, PPI''s'!$L8+'Summary, PPI''s'!$L7)/('Predicted PPIs'!ET8+'Predicted PPIs'!ET7)))*IF(EN$26=".", 1, (EN8/EN7)^(('Summary, PPI''s'!$M8+'Summary, PPI''s'!$M7)/('Predicted PPIs'!ET8+'Predicted PPIs'!ET7)))*IF(EC$26=".", 1, (EC8/EC7)^(('Summary, PPI''s'!$B8+'Summary, PPI''s'!$B7)/('Predicted PPIs'!ET8+'Predicted PPIs'!ET7)))</f>
        <v>116.56629571644173</v>
      </c>
      <c r="EY8" s="2"/>
    </row>
    <row r="9" spans="1:155" x14ac:dyDescent="0.3">
      <c r="A9" s="4">
        <v>2014</v>
      </c>
      <c r="B9" s="10">
        <f>IF(B8=".", ".", IF('Summary, PPI''s'!R9=".",IF(OR('Summary, hourly ad costs'!R9=-9999,'Summary, hourly ad costs'!R9=0), ".", 'Predicted PPIs'!B8*('Summary, hourly ad costs'!B9/'Summary, hourly ad costs'!R9)/('Summary, hourly ad costs'!B8/'Summary, hourly ad costs'!R8)), 'Summary, PPI''s'!R9))</f>
        <v>99.775940250733512</v>
      </c>
      <c r="C9" s="10">
        <f>IF(C8=".", ".", IF('Summary, PPI''s'!S9=".",IF(OR('Summary, hourly ad costs'!S9=-9999,'Summary, hourly ad costs'!S9=0), ".", 'Predicted PPIs'!C8*('Summary, hourly ad costs'!C9/'Summary, hourly ad costs'!S9)/('Summary, hourly ad costs'!C8/'Summary, hourly ad costs'!S8)), 'Summary, PPI''s'!S9))</f>
        <v>99.775940250733512</v>
      </c>
      <c r="D9" s="10">
        <f>IF(D8=".", ".", IF('Summary, PPI''s'!T9=".",IF(OR('Summary, hourly ad costs'!T9=-9999,'Summary, hourly ad costs'!T9=0), ".", 'Predicted PPIs'!D8*('Summary, hourly ad costs'!D9/'Summary, hourly ad costs'!T9)/('Summary, hourly ad costs'!D8/'Summary, hourly ad costs'!T8)), 'Summary, PPI''s'!T9))</f>
        <v>102.57713796748378</v>
      </c>
      <c r="E9" s="10">
        <f>IF(E8=".", ".", IF('Summary, PPI''s'!U9=".",IF(OR('Summary, hourly ad costs'!U9=-9999,'Summary, hourly ad costs'!U9=0), ".", 'Predicted PPIs'!E8*('Summary, hourly ad costs'!E9/'Summary, hourly ad costs'!U9)/('Summary, hourly ad costs'!E8/'Summary, hourly ad costs'!U8)), 'Summary, PPI''s'!U9))</f>
        <v>102.37762829462282</v>
      </c>
      <c r="F9" s="10">
        <f>IF(F8=".", ".", IF('Summary, PPI''s'!V9=".",IF(OR('Summary, hourly ad costs'!V9=-9999,'Summary, hourly ad costs'!V9=0), ".", 'Predicted PPIs'!F8*('Summary, hourly ad costs'!F9/'Summary, hourly ad costs'!V9)/('Summary, hourly ad costs'!F8/'Summary, hourly ad costs'!V8)), 'Summary, PPI''s'!V9))</f>
        <v>105.23085794307836</v>
      </c>
      <c r="G9" s="10">
        <f>IF(G8=".", ".", IF('Summary, PPI''s'!W9=".",IF(OR('Summary, hourly ad costs'!W9=-9999,'Summary, hourly ad costs'!W9=0), ".", 'Predicted PPIs'!G8*('Summary, hourly ad costs'!G9/'Summary, hourly ad costs'!W9)/('Summary, hourly ad costs'!G8/'Summary, hourly ad costs'!W8)), 'Summary, PPI''s'!W9))</f>
        <v>101.97929800897286</v>
      </c>
      <c r="H9" s="10">
        <f>IF(H8=".", ".", IF('Summary, PPI''s'!X9=".",IF(OR('Summary, hourly ad costs'!X9=-9999,'Summary, hourly ad costs'!X9=0), ".", 'Predicted PPIs'!H8*('Summary, hourly ad costs'!H9/'Summary, hourly ad costs'!X9)/('Summary, hourly ad costs'!H8/'Summary, hourly ad costs'!X8)), 'Summary, PPI''s'!X9))</f>
        <v>102.96299999999999</v>
      </c>
      <c r="I9" s="10">
        <f>IF(I8=".", ".", IF('Summary, PPI''s'!Y9=".",IF(OR('Summary, hourly ad costs'!Y9=-9999,'Summary, hourly ad costs'!Y9=0), ".", 'Predicted PPIs'!I8*('Summary, hourly ad costs'!I9/'Summary, hourly ad costs'!Y9)/('Summary, hourly ad costs'!I8/'Summary, hourly ad costs'!Y8)), 'Summary, PPI''s'!Y9))</f>
        <v>101.7680576504106</v>
      </c>
      <c r="J9" s="10">
        <f>IF(J8=".", ".", IF('Summary, PPI''s'!Z9=".",IF(OR('Summary, hourly ad costs'!Z9=-9999,'Summary, hourly ad costs'!Z9=0), ".", 'Predicted PPIs'!J8*('Summary, hourly ad costs'!J9/'Summary, hourly ad costs'!Z9)/('Summary, hourly ad costs'!J8/'Summary, hourly ad costs'!Z8)), 'Summary, PPI''s'!Z9))</f>
        <v>95.50729442970821</v>
      </c>
      <c r="K9" s="10">
        <f>IF(K8=".", ".", IF('Summary, PPI''s'!AA9=".",IF(OR('Summary, hourly ad costs'!AA9=-9999,'Summary, hourly ad costs'!AA9=0), ".", 'Predicted PPIs'!K8*('Summary, hourly ad costs'!K9/'Summary, hourly ad costs'!AA9)/('Summary, hourly ad costs'!K8/'Summary, hourly ad costs'!AA8)), 'Summary, PPI''s'!AA9))</f>
        <v>100.69094529764959</v>
      </c>
      <c r="L9" s="10">
        <f>IF(L8=".", ".", IF('Summary, PPI''s'!AB9=".",IF(OR('Summary, hourly ad costs'!AB9=-9999,'Summary, hourly ad costs'!AB9=0), ".", 'Predicted PPIs'!L8*('Summary, hourly ad costs'!L9/'Summary, hourly ad costs'!AB9)/('Summary, hourly ad costs'!L8/'Summary, hourly ad costs'!AB8)), 'Summary, PPI''s'!AB9))</f>
        <v>83.261278195488714</v>
      </c>
      <c r="M9" s="10">
        <f>IF(M8=".", ".", IF('Summary, PPI''s'!AC9=".",IF(OR('Summary, hourly ad costs'!AC9=-9999,'Summary, hourly ad costs'!AC9=0), ".", 'Predicted PPIs'!M8*('Summary, hourly ad costs'!M9/'Summary, hourly ad costs'!AC9)/('Summary, hourly ad costs'!M8/'Summary, hourly ad costs'!AC8)), 'Summary, PPI''s'!AC9))</f>
        <v>95.586996799730528</v>
      </c>
      <c r="N9" s="10">
        <f>IF(N8=".", ".", IF('Summary, PPI''s'!AD9=".",IF(OR('Summary, hourly ad costs'!AD9=-9999,'Summary, hourly ad costs'!AD9=0), ".", 'Predicted PPIs'!N8*('Summary, hourly ad costs'!N9/'Summary, hourly ad costs'!AD9)/('Summary, hourly ad costs'!N8/'Summary, hourly ad costs'!AD8)), 'Summary, PPI''s'!AD9))</f>
        <v>103.68569234706938</v>
      </c>
      <c r="O9" s="10">
        <f>IF(O8=".", ".", IF('Summary, PPI''s'!AE9=".",IF(OR('Summary, hourly ad costs'!AE9=-9999,'Summary, hourly ad costs'!AE9=0), ".", 'Predicted PPIs'!O8*('Summary, hourly ad costs'!O9/'Summary, hourly ad costs'!AE9)/('Summary, hourly ad costs'!O8/'Summary, hourly ad costs'!AE8)), 'Summary, PPI''s'!AE9))</f>
        <v>104.503</v>
      </c>
      <c r="P9" s="10">
        <f>IF(P8=".", ".", IF('Summary, PPI''s'!AF9=".",IF(OR('Summary, hourly ad costs'!AF9=-9999,'Summary, hourly ad costs'!AF9=0), ".", 'Predicted PPIs'!P8*('Summary, hourly ad costs'!P9/'Summary, hourly ad costs'!AF9)/('Summary, hourly ad costs'!P8/'Summary, hourly ad costs'!AF8)), 'Summary, PPI''s'!AF9))</f>
        <v>104.292</v>
      </c>
      <c r="R9" s="1">
        <f>IF(E$26=".", 0, 'Summary, PPI''s'!E9)+IF(F$26=".", 0, 'Summary, PPI''s'!F9)+IF(G$26=".", 0, 'Summary, PPI''s'!G9)+IF(H$26=".", 0, 'Summary, PPI''s'!H9)+IF(I$26=".", 0, 'Summary, PPI''s'!I9)+IF(J$26=".", 0, 'Summary, PPI''s'!J9)+IF(K$26=".", 0, 'Summary, PPI''s'!K9)+IF(L$26=".", 0, 'Summary, PPI''s'!L9)+IF(M$26=".", 0, 'Summary, PPI''s'!M9)+IF(B$26=".", 0, 'Summary, PPI''s'!B9)+IF(C$26=".", 0, 'Summary, PPI''s'!C9)+IF(D$26=".", 0, 'Summary, PPI''s'!D9)+IF(N$26=".", 0, 'Summary, PPI''s'!N9)+IF(O$26=".", 0, 'Summary, PPI''s'!O9)+IF(P$26=".", 0, 'Summary, PPI''s'!P9)</f>
        <v>353209391.75156981</v>
      </c>
      <c r="S9" s="1">
        <f>IF(E$36=".", 0, 'Summary, PPI''s'!E9)+IF(F$36=".", 0, 'Summary, PPI''s'!F9)+IF(G$36=".", 0, 'Summary, PPI''s'!G9)+IF(H$36=".", 0, 'Summary, PPI''s'!H9)+IF(I$36=".", 0, 'Summary, PPI''s'!I9)+IF(J$36=".", 0, 'Summary, PPI''s'!J9)+IF(K$36=".", 0, 'Summary, PPI''s'!K9)+IF(L$36=".", 0, 'Summary, PPI''s'!L9)+IF(M$36=".", 0, 'Summary, PPI''s'!M9)+IF(B$36=".", 0, 'Summary, PPI''s'!B9)+IF(C$36=".", 0, 'Summary, PPI''s'!C9)+IF(D$36=".", 0, 'Summary, PPI''s'!D9)+IF(N$36=".", 0, 'Summary, PPI''s'!N9)+IF(O$36=".", 0, 'Summary, PPI''s'!O9)+IF(P$36=".", 0, 'Summary, PPI''s'!P9)</f>
        <v>295652714.57318825</v>
      </c>
      <c r="T9" s="1">
        <f>IF(E$46=".", 0, 'Summary, PPI''s'!E9)+IF(F$46=".", 0, 'Summary, PPI''s'!F9)+IF(G$46=".", 0, 'Summary, PPI''s'!G9)+IF(H$46=".", 0, 'Summary, PPI''s'!H9)+IF(I$46=".", 0, 'Summary, PPI''s'!I9)+IF(J$46=".", 0, 'Summary, PPI''s'!J9)+IF(K$46=".", 0, 'Summary, PPI''s'!K9)+IF(L$46=".", 0, 'Summary, PPI''s'!L9)+IF(M$46=".", 0, 'Summary, PPI''s'!M9)+IF(B$46=".", 0, 'Summary, PPI''s'!B9)+IF(C$46=".", 0, 'Summary, PPI''s'!C9)+IF(D$46=".", 0, 'Summary, PPI''s'!D9)+IF(N$46=".", 0, 'Summary, PPI''s'!N9)+IF(O$46=".", 0, 'Summary, PPI''s'!O9)+IF(P$46=".", 0, 'Summary, PPI''s'!P9)</f>
        <v>169968069.16115847</v>
      </c>
      <c r="U9" s="1">
        <f>IF(E$60=".", 0, 'Summary, PPI''s'!E9)+IF(F$60=".", 0, 'Summary, PPI''s'!F9)+IF(G$60=".", 0, 'Summary, PPI''s'!G9)+IF(H$60=".", 0, 'Summary, PPI''s'!H9)+IF(I$60=".", 0, 'Summary, PPI''s'!I9)+IF(J$60=".", 0, 'Summary, PPI''s'!J9)+IF(K$60=".", 0, 'Summary, PPI''s'!K9)+IF(L$60=".", 0, 'Summary, PPI''s'!L9)+IF(M$60=".", 0, 'Summary, PPI''s'!M9)+IF(B$60=".", 0, 'Summary, PPI''s'!B9)+IF(C$60=".", 0, 'Summary, PPI''s'!C9)+IF(D$60=".", 0, 'Summary, PPI''s'!D9)+IF(N$60=".", 0, 'Summary, PPI''s'!N9)+IF(O$60=".", 0, 'Summary, PPI''s'!O9)+IF(P$60=".", 0, 'Summary, PPI''s'!P9)</f>
        <v>100840254.86672036</v>
      </c>
      <c r="V9" s="1">
        <f>IF(E$73=".", 0, 'Summary, PPI''s'!E9)+IF(F$73=".", 0, 'Summary, PPI''s'!F9)+IF(G$73=".", 0, 'Summary, PPI''s'!G9)+IF(H$73=".", 0, 'Summary, PPI''s'!H9)+IF(I$73=".", 0, 'Summary, PPI''s'!I9)+IF(J$73=".", 0, 'Summary, PPI''s'!J9)+IF(K$73=".", 0, 'Summary, PPI''s'!K9)+IF(L$73=".", 0, 'Summary, PPI''s'!L9)+IF(M$73=".", 0, 'Summary, PPI''s'!M9)+IF(B$73=".", 0, 'Summary, PPI''s'!B9)+IF(C$73=".", 0, 'Summary, PPI''s'!C9)+IF(D$73=".", 0, 'Summary, PPI''s'!D9)+IF(N$73=".", 0, 'Summary, PPI''s'!N9)+IF(O$73=".", 0, 'Summary, PPI''s'!O9)+IF(P$73=".", 0, 'Summary, PPI''s'!P9)</f>
        <v>87307393.478769869</v>
      </c>
      <c r="W9" s="1">
        <f>IF(E$94=".",0,'Summary, PPI''s'!E9)+IF(F$94=".",0,'Summary, PPI''s'!F9)+IF(G$94=".",0,'Summary, PPI''s'!G9)+IF(H$94=".",0,'Summary, PPI''s'!H9)+IF(I$94=".",0,'Summary, PPI''s'!I9)+IF(J$94=".",0,'Summary, PPI''s'!J9)+IF(K$94=".",0,'Summary, PPI''s'!K9)+IF(L$94=".",0,'Summary, PPI''s'!L9)+IF(M$94=".",0,'Summary, PPI''s'!M9)+IF(B$94=".",0,'Summary, PPI''s'!B9)+IF(C$94=".",0,'Summary, PPI''s'!C9)+IF(D$94=".",0,'Summary, PPI''s'!D9)+IF(N$94=".",0,'Summary, PPI''s'!N9)+IF(O$94=".",0,'Summary, PPI''s'!O9)+IF(P$94=".",0,'Summary, PPI''s'!P9)</f>
        <v>48699885.032668971</v>
      </c>
      <c r="X9" s="1">
        <f>IF(E$123=".", 0, 'Summary, PPI''s'!E9)+IF(F$123=".", 0, 'Summary, PPI''s'!F9)+IF(G$123=".", 0, 'Summary, PPI''s'!G9)+IF(H$123=".", 0, 'Summary, PPI''s'!H9)+IF(I$123=".", 0, 'Summary, PPI''s'!I9)+IF(J$123=".", 0, 'Summary, PPI''s'!J9)+IF(K$123=".", 0, 'Summary, PPI''s'!K9)+IF(L$123=".", 0, 'Summary, PPI''s'!L9)+IF(M$123=".", 0, 'Summary, PPI''s'!M9)+IF(B$123=".", 0, 'Summary, PPI''s'!B9)+IF(C$123=".", 0, 'Summary, PPI''s'!C9)+IF(D$123=".", 0, 'Summary, PPI''s'!D9)+IF(N$123=".", 0, 'Summary, PPI''s'!N9)+IF(O$123=".", 0, 'Summary, PPI''s'!O9)+IF(P$123=".", 0, 'Summary, PPI''s'!P9)</f>
        <v>35120671.353140704</v>
      </c>
      <c r="Z9" s="4">
        <f>Z8*IF(E$26=".", 1, (E9/E8)^(('Summary, PPI''s'!$E9+'Summary, PPI''s'!$E8)/('Predicted PPIs'!R9+'Predicted PPIs'!R8)))*IF(F$26=".", 1, (F9/F8)^(('Summary, PPI''s'!$F9+'Summary, PPI''s'!$F8)/('Predicted PPIs'!R9+'Predicted PPIs'!R8)))*IF(G$26=".", 1, (G9/G8)^(('Summary, PPI''s'!$G9+'Summary, PPI''s'!$G8)/('Predicted PPIs'!R9+'Predicted PPIs'!R8)))*IF(H$26=".", 1, (H9/H8)^(('Summary, PPI''s'!$H9+'Summary, PPI''s'!$H8)/('Predicted PPIs'!R9+'Predicted PPIs'!R8)))*IF(I$26=".", 1, (I9/I8)^(('Summary, PPI''s'!$I9+'Summary, PPI''s'!$I8)/('Predicted PPIs'!R9+'Predicted PPIs'!R8)))*IF(J$26=".", 1, (J9/J8)^(('Summary, PPI''s'!$J9+'Summary, PPI''s'!$J8)/('Predicted PPIs'!R9+'Predicted PPIs'!R8)))*IF(K$26=".", 1, (K9/K8)^(('Summary, PPI''s'!$K9+'Summary, PPI''s'!$K8)/('Predicted PPIs'!R9+'Predicted PPIs'!R8)))*IF(L$26=".", 1, (L9/L8)^(('Summary, PPI''s'!$L9+'Summary, PPI''s'!$L8)/('Predicted PPIs'!R9+'Predicted PPIs'!R8)))*IF(M$26=".", 1, (M9/M8)^(('Summary, PPI''s'!$M9+'Summary, PPI''s'!$M8)/('Predicted PPIs'!R9+'Predicted PPIs'!R8)))*IF(B$26=".", 1, (B9/B8)^(('Summary, PPI''s'!$B9+'Summary, PPI''s'!$B8)/('Predicted PPIs'!R9+'Predicted PPIs'!R8)))*IF(C$26=".", 1, (C9/C8)^(('Summary, PPI''s'!$C9+'Summary, PPI''s'!$C8)/('Predicted PPIs'!R9+'Predicted PPIs'!R8)))*IF(D$26=".", 1, (D9/D8)^(('Summary, PPI''s'!$D9+'Summary, PPI''s'!$D8)/('Predicted PPIs'!R9+'Predicted PPIs'!R8)))*IF(N$26=".", 1, (N9/N8)^(('Summary, PPI''s'!$N9+'Summary, PPI''s'!$N8)/('Predicted PPIs'!R9+'Predicted PPIs'!R8)))*IF(O$26=".", 1, (O9/O8)^(('Summary, PPI''s'!$O9+'Summary, PPI''s'!$O8)/('Predicted PPIs'!R9+'Predicted PPIs'!R8)))*IF(P$26=".", 1, (P9/P8)^(('Summary, PPI''s'!$P9+'Summary, PPI''s'!$P8)/('Predicted PPIs'!R9+'Predicted PPIs'!R8)))</f>
        <v>107.8786764795681</v>
      </c>
      <c r="AA9" s="4">
        <f>AA8*IF(E$36=".", 1, (E9/E8)^(('Summary, PPI''s'!$E9+'Summary, PPI''s'!$E8)/('Predicted PPIs'!S9+'Predicted PPIs'!S8)))*IF(F$36=".", 1, (F9/F8)^(('Summary, PPI''s'!$F9+'Summary, PPI''s'!$F8)/('Predicted PPIs'!S9+'Predicted PPIs'!S8)))*IF(G$36=".", 1, (G9/G8)^(('Summary, PPI''s'!$G9+'Summary, PPI''s'!$G8)/('Predicted PPIs'!S9+'Predicted PPIs'!S8)))*IF(H$36=".", 1, (H9/H8)^(('Summary, PPI''s'!$H9+'Summary, PPI''s'!$H8)/('Predicted PPIs'!S9+'Predicted PPIs'!S8)))*IF(I$36=".", 1, (I9/I8)^(('Summary, PPI''s'!$I9+'Summary, PPI''s'!$I8)/('Predicted PPIs'!S9+'Predicted PPIs'!S8)))*IF(J$36=".", 1, (J9/J8)^(('Summary, PPI''s'!$J9+'Summary, PPI''s'!$J8)/('Predicted PPIs'!S9+'Predicted PPIs'!S8)))*IF(K$36=".", 1, (K9/K8)^(('Summary, PPI''s'!$K9+'Summary, PPI''s'!$K8)/('Predicted PPIs'!S9+'Predicted PPIs'!S8)))*IF(L$36=".", 1, (L9/L8)^(('Summary, PPI''s'!$L9+'Summary, PPI''s'!$L8)/('Predicted PPIs'!S9+'Predicted PPIs'!S8)))*IF(M$36=".", 1, (M9/M8)^(('Summary, PPI''s'!$M9+'Summary, PPI''s'!$M8)/('Predicted PPIs'!S9+'Predicted PPIs'!S8)))*IF(B$36=".", 1, (B9/B8)^(('Summary, PPI''s'!$B9+'Summary, PPI''s'!$B8)/('Predicted PPIs'!S9+'Predicted PPIs'!S8)))*IF(C$36=".", 1, (C9/C8)^(('Summary, PPI''s'!$C9+'Summary, PPI''s'!$C8)/('Predicted PPIs'!S9+'Predicted PPIs'!S8)))*IF(D$36=".", 1, (D9/D8)^(('Summary, PPI''s'!$D9+'Summary, PPI''s'!$D8)/('Predicted PPIs'!S9+'Predicted PPIs'!S8)))*IF(N$36=".", 1, (N9/N8)^(('Summary, PPI''s'!$N9+'Summary, PPI''s'!$N8)/('Predicted PPIs'!S9+'Predicted PPIs'!S8)))*IF(O$36=".", 1, (O9/O8)^(('Summary, PPI''s'!$O9+'Summary, PPI''s'!$O8)/('Predicted PPIs'!S9+'Predicted PPIs'!S8)))*IF(P$36=".", 1, (P9/P8)^(('Summary, PPI''s'!$P9+'Summary, PPI''s'!$P8)/('Predicted PPIs'!S9+'Predicted PPIs'!S8)))</f>
        <v>99.119134003182126</v>
      </c>
      <c r="AB9" s="4">
        <f>AB8*IF(E$46=".", 1, (E9/E8)^(('Summary, PPI''s'!$E9+'Summary, PPI''s'!$E8)/('Predicted PPIs'!T9+'Predicted PPIs'!T8)))*IF(F$46=".", 1, (F9/F8)^(('Summary, PPI''s'!$F9+'Summary, PPI''s'!$F8)/('Predicted PPIs'!T9+'Predicted PPIs'!T8)))*IF(G$46=".", 1, (G9/G8)^(('Summary, PPI''s'!$G9+'Summary, PPI''s'!$G8)/('Predicted PPIs'!T9+'Predicted PPIs'!T8)))*IF(H$46=".", 1, (H9/H8)^(('Summary, PPI''s'!$H9+'Summary, PPI''s'!$H8)/('Predicted PPIs'!T9+'Predicted PPIs'!T8)))*IF(I$46=".", 1, (I9/I8)^(('Summary, PPI''s'!$I9+'Summary, PPI''s'!$I8)/('Predicted PPIs'!T9+'Predicted PPIs'!T8)))*IF(J$46=".", 1, (J9/J8)^(('Summary, PPI''s'!$J9+'Summary, PPI''s'!$J8)/('Predicted PPIs'!T9+'Predicted PPIs'!T8)))*IF(K$46=".", 1, (K9/K8)^(('Summary, PPI''s'!$K9+'Summary, PPI''s'!$K8)/('Predicted PPIs'!T9+'Predicted PPIs'!T8)))*IF(L$46=".", 1, (L9/L8)^(('Summary, PPI''s'!$L9+'Summary, PPI''s'!$L8)/('Predicted PPIs'!T9+'Predicted PPIs'!T8)))*IF(M$46=".", 1, (M9/M8)^(('Summary, PPI''s'!$M9+'Summary, PPI''s'!$M8)/('Predicted PPIs'!T9+'Predicted PPIs'!T8)))*IF(B$46=".", 1, (B9/B8)^(('Summary, PPI''s'!$B9+'Summary, PPI''s'!$B8)/('Predicted PPIs'!T9+'Predicted PPIs'!T8)))*IF(C$46=".", 1, (C9/C8)^(('Summary, PPI''s'!$C9+'Summary, PPI''s'!$C8)/('Predicted PPIs'!T9+'Predicted PPIs'!T8)))*IF(D$46=".", 1, (D9/D8)^(('Summary, PPI''s'!$D9+'Summary, PPI''s'!$D8)/('Predicted PPIs'!T9+'Predicted PPIs'!T8)))*IF(N$46=".", 1, (N9/N8)^(('Summary, PPI''s'!$N9+'Summary, PPI''s'!$N8)/('Predicted PPIs'!T9+'Predicted PPIs'!T8)))*IF(O$46=".", 1, (O9/O8)^(('Summary, PPI''s'!$O9+'Summary, PPI''s'!$O8)/('Predicted PPIs'!T9+'Predicted PPIs'!T8)))*IF(P$46=".", 1, (P9/P8)^(('Summary, PPI''s'!$P9+'Summary, PPI''s'!$P8)/('Predicted PPIs'!T9+'Predicted PPIs'!T8)))</f>
        <v>100.49725966360323</v>
      </c>
      <c r="AC9" s="4">
        <f>AC8*IF(E$60=".",1,(E9/E8)^(('Summary, PPI''s'!$E9+'Summary, PPI''s'!$E8)/('Predicted PPIs'!U9+'Predicted PPIs'!U8)))*IF(F$60=".",1,(F9/F8)^(('Summary, PPI''s'!$F9+'Summary, PPI''s'!$F8)/('Predicted PPIs'!U9+'Predicted PPIs'!U8)))*IF(G$60=".",1,(G9/G8)^(('Summary, PPI''s'!$G9+'Summary, PPI''s'!$G8)/('Predicted PPIs'!U9+'Predicted PPIs'!U8)))*IF(H$60=".",1,(H9/H8)^(('Summary, PPI''s'!$H9+'Summary, PPI''s'!$H8)/('Predicted PPIs'!U9+'Predicted PPIs'!U8)))*IF(I$60=".",1,(I9/I8)^(('Summary, PPI''s'!$I9+'Summary, PPI''s'!$I8)/('Predicted PPIs'!U9+'Predicted PPIs'!U8)))*IF(J$60=".",1,(J9/J8)^(('Summary, PPI''s'!$J9+'Summary, PPI''s'!$J8)/('Predicted PPIs'!U9+'Predicted PPIs'!U8)))*IF(K$60=".",1,(K9/K8)^(('Summary, PPI''s'!$K9+'Summary, PPI''s'!$K8)/('Predicted PPIs'!U9+'Predicted PPIs'!U8)))*IF(L$60=".",1,(L9/L8)^(('Summary, PPI''s'!$L9+'Summary, PPI''s'!$L8)/('Predicted PPIs'!U9+'Predicted PPIs'!U8)))*IF(M$60=".",1,(M9/M8)^(('Summary, PPI''s'!$M9+'Summary, PPI''s'!$M8)/('Predicted PPIs'!U9+'Predicted PPIs'!U8)))*IF(B$60=".",1,(B9/B8)^(('Summary, PPI''s'!$B9+'Summary, PPI''s'!$B8)/('Predicted PPIs'!U9+'Predicted PPIs'!U8)))*IF(C$60=".",1,(C9/C8)^(('Summary, PPI''s'!$C9+'Summary, PPI''s'!$C8)/('Predicted PPIs'!U9+'Predicted PPIs'!U8)))*IF(D$60=".",1,(D9/D8)^(('Summary, PPI''s'!$D9+'Summary, PPI''s'!$D8)/('Predicted PPIs'!U9+'Predicted PPIs'!U8)))*IF(N$60=".",1,(N9/N8)^(('Summary, PPI''s'!$N9+'Summary, PPI''s'!$N8)/('Predicted PPIs'!U9+'Predicted PPIs'!U8)))*IF(O$60=".",1,(O9/O8)^(('Summary, PPI''s'!$O9+'Summary, PPI''s'!$O8)/('Predicted PPIs'!U9+'Predicted PPIs'!U8)))*IF(P$60=".",1,(P9/P8)^(('Summary, PPI''s'!$P9+'Summary, PPI''s'!$P8)/('Predicted PPIs'!U9+'Predicted PPIs'!U8)))</f>
        <v>104.23428441629456</v>
      </c>
      <c r="AD9" s="4">
        <f>AD8*IF(E$73=".", 1, (E9/E8)^(('Summary, PPI''s'!$E9+'Summary, PPI''s'!$E8)/('Predicted PPIs'!V9+'Predicted PPIs'!V8)))*IF(F$73=".", 1, (F9/F8)^(('Summary, PPI''s'!$F9+'Summary, PPI''s'!$F8)/('Predicted PPIs'!V9+'Predicted PPIs'!V8)))*IF(G$73=".", 1, (G9/G8)^(('Summary, PPI''s'!$G9+'Summary, PPI''s'!$G8)/('Predicted PPIs'!V9+'Predicted PPIs'!V8)))*IF(H$73=".", 1, (H9/H8)^(('Summary, PPI''s'!$H9+'Summary, PPI''s'!$H8)/('Predicted PPIs'!V9+'Predicted PPIs'!V8)))*IF(I$73=".", 1, (I9/I8)^(('Summary, PPI''s'!$I9+'Summary, PPI''s'!$I8)/('Predicted PPIs'!V9+'Predicted PPIs'!V8)))*IF(J$73=".", 1, (J9/J8)^(('Summary, PPI''s'!$J9+'Summary, PPI''s'!$J8)/('Predicted PPIs'!V9+'Predicted PPIs'!V8)))*IF(K$73=".", 1, (K9/K8)^(('Summary, PPI''s'!$K9+'Summary, PPI''s'!$K8)/('Predicted PPIs'!V9+'Predicted PPIs'!V8)))*IF(L$73=".", 1, (L9/L8)^(('Summary, PPI''s'!$L9+'Summary, PPI''s'!$L8)/('Predicted PPIs'!V9+'Predicted PPIs'!V8)))*IF(M$73=".", 1, (M9/M8)^(('Summary, PPI''s'!$M9+'Summary, PPI''s'!$M8)/('Predicted PPIs'!V9+'Predicted PPIs'!V8)))*IF(B$73=".", 1, (B9/B8)^(('Summary, PPI''s'!$B9+'Summary, PPI''s'!$B8)/('Predicted PPIs'!V9+'Predicted PPIs'!V8)))*IF(C$73=".", 1, (C9/C8)^(('Summary, PPI''s'!$C9+'Summary, PPI''s'!$C8)/('Predicted PPIs'!V9+'Predicted PPIs'!V8)))*IF(D$73=".", 1, (D9/D8)^(('Summary, PPI''s'!$D9+'Summary, PPI''s'!$D8)/('Predicted PPIs'!V9+'Predicted PPIs'!V8)))*IF(N$73=".", 1, (N9/N8)^(('Summary, PPI''s'!$N9+'Summary, PPI''s'!$N8)/('Predicted PPIs'!V9+'Predicted PPIs'!V8)))*IF(O$73=".", 1, (O9/O8)^(('Summary, PPI''s'!$O9+'Summary, PPI''s'!$O8)/('Predicted PPIs'!V9+'Predicted PPIs'!V8)))*IF(P$73=".", 1, (P9/P8)^(('Summary, PPI''s'!$P9+'Summary, PPI''s'!$P8)/('Predicted PPIs'!V9+'Predicted PPIs'!V8)))</f>
        <v>104.83129171327758</v>
      </c>
      <c r="AE9" s="4">
        <f>AE8*IF(E$94=".", 1, (E9/E8)^(('Summary, PPI''s'!$E9+'Summary, PPI''s'!$E8)/('Predicted PPIs'!W9+'Predicted PPIs'!W8)))*IF(F$94=".", 1, (F9/F8)^(('Summary, PPI''s'!$F9+'Summary, PPI''s'!$F8)/('Predicted PPIs'!W9+'Predicted PPIs'!W8)))*IF(G$94=".", 1, (G9/G8)^(('Summary, PPI''s'!$G9+'Summary, PPI''s'!$G8)/('Predicted PPIs'!W9+'Predicted PPIs'!W8)))*IF(H$94=".", 1, (H9/H8)^(('Summary, PPI''s'!$H9+'Summary, PPI''s'!$H8)/('Predicted PPIs'!W9+'Predicted PPIs'!W8)))*IF(I$94=".", 1, (I9/I8)^(('Summary, PPI''s'!$I9+'Summary, PPI''s'!$I8)/('Predicted PPIs'!W9+'Predicted PPIs'!W8)))*IF(J$94=".", 1, (J9/J8)^(('Summary, PPI''s'!$J9+'Summary, PPI''s'!$J8)/('Predicted PPIs'!W9+'Predicted PPIs'!W8)))*IF(K$94=".", 1, (K9/K8)^(('Summary, PPI''s'!$K9+'Summary, PPI''s'!$K8)/('Predicted PPIs'!W9+'Predicted PPIs'!W8)))*IF(L$94=".", 1, (L9/L8)^(('Summary, PPI''s'!$L9+'Summary, PPI''s'!$L8)/('Predicted PPIs'!W9+'Predicted PPIs'!W8)))*IF(M$94=".", 1, (M9/M8)^(('Summary, PPI''s'!$M9+'Summary, PPI''s'!$M8)/('Predicted PPIs'!W9+'Predicted PPIs'!W8)))*IF(B$94=".", 1, (B9/B8)^(('Summary, PPI''s'!$B9+'Summary, PPI''s'!$B8)/('Predicted PPIs'!W9+'Predicted PPIs'!W8)))*IF(C$94=".", 1, (C9/C8)^(('Summary, PPI''s'!$C9+'Summary, PPI''s'!$C8)/('Predicted PPIs'!W9+'Predicted PPIs'!W8)))*IF(D$94=".", 1, (D9/D8)^(('Summary, PPI''s'!$D9+'Summary, PPI''s'!$D8)/('Predicted PPIs'!W9+'Predicted PPIs'!W8)))*IF(N$94=".", 1, (N9/N8)^(('Summary, PPI''s'!$N9+'Summary, PPI''s'!$N8)/('Predicted PPIs'!W9+'Predicted PPIs'!W8)))*IF(O$94=".", 1, (O9/O8)^(('Summary, PPI''s'!$O9+'Summary, PPI''s'!$O8)/('Predicted PPIs'!W9+'Predicted PPIs'!W8)))*IF(P$94=".", 1, (P9/P8)^(('Summary, PPI''s'!$P9+'Summary, PPI''s'!$P8)/('Predicted PPIs'!W9+'Predicted PPIs'!W8)))</f>
        <v>103.51844986332671</v>
      </c>
      <c r="AF9" s="4">
        <f>AF8*IF(E$123=".", 1, (E9/E8)^(('Summary, PPI''s'!$E9+'Summary, PPI''s'!$E8)/('Predicted PPIs'!X9+'Predicted PPIs'!X8)))*IF(F$123=".", 1, (F9/F8)^(('Summary, PPI''s'!$F9+'Summary, PPI''s'!$F8)/('Predicted PPIs'!X9+'Predicted PPIs'!X8)))*IF(G$123=".", 1, (G9/G8)^(('Summary, PPI''s'!$G9+'Summary, PPI''s'!$G8)/('Predicted PPIs'!X9+'Predicted PPIs'!X8)))*IF(H$123=".", 1, (H9/H8)^(('Summary, PPI''s'!$H9+'Summary, PPI''s'!$H8)/('Predicted PPIs'!X9+'Predicted PPIs'!X8)))*IF(I$123=".", 1, (I9/I8)^(('Summary, PPI''s'!$I9+'Summary, PPI''s'!$I8)/('Predicted PPIs'!X9+'Predicted PPIs'!X8)))*IF(J$123=".", 1, (J9/J8)^(('Summary, PPI''s'!$J9+'Summary, PPI''s'!$J8)/('Predicted PPIs'!X9+'Predicted PPIs'!X8)))*IF(K$123=".", 1, (K9/K8)^(('Summary, PPI''s'!$K9+'Summary, PPI''s'!$K8)/('Predicted PPIs'!X9+'Predicted PPIs'!X8)))*IF(L$123=".", 1, (L9/L8)^(('Summary, PPI''s'!$L9+'Summary, PPI''s'!$L8)/('Predicted PPIs'!X9+'Predicted PPIs'!X8)))*IF(M$123=".", 1, (M9/M8)^(('Summary, PPI''s'!$M9+'Summary, PPI''s'!$M8)/('Predicted PPIs'!X9+'Predicted PPIs'!X8)))*IF(B$123=".", 1, (B9/B8)^(('Summary, PPI''s'!$B9+'Summary, PPI''s'!$B8)/('Predicted PPIs'!X9+'Predicted PPIs'!X8)))*IF(C$123=".", 1, (C9/C8)^(('Summary, PPI''s'!$C9+'Summary, PPI''s'!$C8)/('Predicted PPIs'!X9+'Predicted PPIs'!X8)))*IF(D$123=".", 1, (D9/D8)^(('Summary, PPI''s'!$D9+'Summary, PPI''s'!$D8)/('Predicted PPIs'!X9+'Predicted PPIs'!X8)))*IF(N$123=".", 1, (N9/N8)^(('Summary, PPI''s'!$N9+'Summary, PPI''s'!$N8)/('Predicted PPIs'!X9+'Predicted PPIs'!X8)))*IF(O$123=".", 1, (O9/O8)^(('Summary, PPI''s'!$O9+'Summary, PPI''s'!$O8)/('Predicted PPIs'!X9+'Predicted PPIs'!X8)))*IF(P$123=".", 1, (P9/P8)^(('Summary, PPI''s'!$P9+'Summary, PPI''s'!$P8)/('Predicted PPIs'!X9+'Predicted PPIs'!X8)))</f>
        <v>101.22852427474199</v>
      </c>
      <c r="AH9" s="13">
        <f t="shared" si="32"/>
        <v>107.8786764795681</v>
      </c>
      <c r="AJ9" s="4">
        <v>11847.7</v>
      </c>
      <c r="AK9" s="4">
        <v>-0.58799999999999997</v>
      </c>
      <c r="AL9" s="4">
        <v>-1369.702</v>
      </c>
      <c r="AM9" s="4">
        <v>-19.803000000000001</v>
      </c>
      <c r="AN9" s="4">
        <v>12984.7</v>
      </c>
      <c r="AO9" s="4">
        <v>2937.1</v>
      </c>
      <c r="AP9" s="4">
        <f>1258.342+0.004+0.262+17.036-1346.77</f>
        <v>-71.125999999999976</v>
      </c>
      <c r="AQ9" s="4">
        <f>1201.438+22.735+13.628+47.641-1777.109</f>
        <v>-491.66699999999992</v>
      </c>
      <c r="AR9" s="4">
        <v>-54.793999999999997</v>
      </c>
      <c r="AS9" s="4">
        <v>-73.414000000000001</v>
      </c>
      <c r="AT9" s="4">
        <v>102.887</v>
      </c>
      <c r="AU9" s="4">
        <v>115.264</v>
      </c>
      <c r="AV9" s="4">
        <v>104.905</v>
      </c>
      <c r="AW9" s="4">
        <v>102.611</v>
      </c>
      <c r="AX9" s="4">
        <v>102.66800000000001</v>
      </c>
      <c r="AY9" s="4">
        <v>103.172</v>
      </c>
      <c r="AZ9" s="4">
        <v>107.19799999999999</v>
      </c>
      <c r="BA9" s="4">
        <v>103.64100000000001</v>
      </c>
      <c r="BB9" s="4">
        <v>100.002</v>
      </c>
      <c r="BC9" s="4">
        <v>100.98</v>
      </c>
      <c r="BG9" s="4">
        <f t="shared" si="33"/>
        <v>107.03777801762719</v>
      </c>
      <c r="BI9" s="4">
        <v>318673411</v>
      </c>
      <c r="BJ9" s="4">
        <f>'[2]Ordinary Experience'!$E$417</f>
        <v>19.335896133932749</v>
      </c>
      <c r="BL9" s="4">
        <f t="shared" si="0"/>
        <v>105.06224363161262</v>
      </c>
      <c r="BM9" s="4">
        <f t="shared" si="34"/>
        <v>2.976222674200435E-2</v>
      </c>
      <c r="BO9" s="4">
        <f>IF(OR('Summary, hourly ad costs'!R9=-9999,'Summary, PPI''s'!R9="."),".",(('Summary, hourly ad costs'!B9/'Summary, hourly ad costs'!R9)*100/('Summary, hourly ad costs'!B$11/'Summary, hourly ad costs'!R$11))/('Summary, PPI''s'!R9))</f>
        <v>0.99570057716670779</v>
      </c>
      <c r="BP9" s="4" t="str">
        <f>IF(OR('Summary, hourly ad costs'!S9=-9999,'Summary, PPI''s'!S9="."),".",(('Summary, hourly ad costs'!C9/'Summary, hourly ad costs'!S9)*100/('Summary, hourly ad costs'!C$11/'Summary, hourly ad costs'!S$11))/('Summary, PPI''s'!S9))</f>
        <v>.</v>
      </c>
      <c r="BQ9" s="4" t="str">
        <f>IF(OR('Summary, hourly ad costs'!T9=-9999,'Summary, PPI''s'!T9="."),".",(('Summary, hourly ad costs'!D9/'Summary, hourly ad costs'!T9)*100/('Summary, hourly ad costs'!D$11/'Summary, hourly ad costs'!T$11))/('Summary, PPI''s'!T9))</f>
        <v>.</v>
      </c>
      <c r="BR9" s="4">
        <f>IF(OR('Summary, hourly ad costs'!U9=-9999,'Summary, PPI''s'!U9="."),".",(('Summary, hourly ad costs'!E9/'Summary, hourly ad costs'!U9)*100/('Summary, hourly ad costs'!E$11/'Summary, hourly ad costs'!U$11))/('Summary, PPI''s'!U9))</f>
        <v>0.83773067897420994</v>
      </c>
      <c r="BS9" s="4">
        <f>IF(OR('Summary, hourly ad costs'!V9=-9999,'Summary, PPI''s'!V9="."),".",(('Summary, hourly ad costs'!F9/'Summary, hourly ad costs'!V9)*100/('Summary, hourly ad costs'!F$11/'Summary, hourly ad costs'!V$11))/('Summary, PPI''s'!V9))</f>
        <v>0.79691686008576501</v>
      </c>
      <c r="BT9" s="4" t="str">
        <f>IF(OR('Summary, hourly ad costs'!W9=-9999,'Summary, PPI''s'!W9="."),".",(('Summary, hourly ad costs'!G9/'Summary, hourly ad costs'!W9)*100/('Summary, hourly ad costs'!G$11/'Summary, hourly ad costs'!W$11))/('Summary, PPI''s'!W9))</f>
        <v>.</v>
      </c>
      <c r="BU9" s="4">
        <f>IF(OR('Summary, hourly ad costs'!X9=-9999,'Summary, PPI''s'!X9="."),".",(('Summary, hourly ad costs'!H9/'Summary, hourly ad costs'!X9)*100/('Summary, hourly ad costs'!H$11/'Summary, hourly ad costs'!X$11))/('Summary, PPI''s'!X9))</f>
        <v>1.045873664361237</v>
      </c>
      <c r="BV9" s="4">
        <f>IF(OR('Summary, hourly ad costs'!Y9=-9999,'Summary, PPI''s'!Y9="."),".",(('Summary, hourly ad costs'!I9/'Summary, hourly ad costs'!Y9)*100/('Summary, hourly ad costs'!I$11/'Summary, hourly ad costs'!Y$11))/('Summary, PPI''s'!Y9))</f>
        <v>0.90507436580654832</v>
      </c>
      <c r="BW9" s="4">
        <f>IF(OR('Summary, hourly ad costs'!Z9=-9999,'Summary, PPI''s'!Z9="."),".",(('Summary, hourly ad costs'!J9/'Summary, hourly ad costs'!Z9)*100/('Summary, hourly ad costs'!J$11/'Summary, hourly ad costs'!Z$11))/('Summary, PPI''s'!Z9))</f>
        <v>1.2810151151133158</v>
      </c>
      <c r="BX9" s="4">
        <f>IF(OR('Summary, hourly ad costs'!AA9=-9999,'Summary, PPI''s'!AA9="."),".",(('Summary, hourly ad costs'!K9/'Summary, hourly ad costs'!AA9)*100/('Summary, hourly ad costs'!K$11/'Summary, hourly ad costs'!AA$11))/('Summary, PPI''s'!AA9))</f>
        <v>0.95181758320203624</v>
      </c>
      <c r="BY9" s="4">
        <f>IF(OR('Summary, hourly ad costs'!AB9=-9999,'Summary, PPI''s'!AB9="."),".",(('Summary, hourly ad costs'!L9/'Summary, hourly ad costs'!AB9)*100/('Summary, hourly ad costs'!L$11/'Summary, hourly ad costs'!AB$11))/('Summary, PPI''s'!AB9))</f>
        <v>1.3582829588769192</v>
      </c>
      <c r="BZ9" s="4">
        <f>IF(OR('Summary, hourly ad costs'!AC9=-9999,'Summary, PPI''s'!AC9="."),".",(('Summary, hourly ad costs'!M9/'Summary, hourly ad costs'!AC9)*100/('Summary, hourly ad costs'!M$11/'Summary, hourly ad costs'!AC$11))/('Summary, PPI''s'!AC9))</f>
        <v>0.96804621718138761</v>
      </c>
      <c r="CA9" s="4" t="str">
        <f>IF(OR('Summary, hourly ad costs'!AD9=-9999,'Summary, PPI''s'!AD9="."),".",(('Summary, hourly ad costs'!N9/'Summary, hourly ad costs'!AD9)*100/('Summary, hourly ad costs'!N$11/'Summary, hourly ad costs'!AD$11))/('Summary, PPI''s'!AD9))</f>
        <v>.</v>
      </c>
      <c r="CB9" s="4" t="str">
        <f>IF(OR('Summary, hourly ad costs'!AE9=-9999,'Summary, PPI''s'!AE9="."),".",(('Summary, hourly ad costs'!O9/'Summary, hourly ad costs'!AE9)*100/('Summary, hourly ad costs'!O$11/'Summary, hourly ad costs'!AE$11))/('Summary, PPI''s'!AE9))</f>
        <v>.</v>
      </c>
      <c r="CC9" s="4" t="str">
        <f>IF(OR('Summary, hourly ad costs'!AF9=-9999,'Summary, PPI''s'!AF9="."),".",(('Summary, hourly ad costs'!P9/'Summary, hourly ad costs'!AF9)*100/('Summary, hourly ad costs'!P$11/'Summary, hourly ad costs'!AF$11))/('Summary, PPI''s'!AF9))</f>
        <v>.</v>
      </c>
      <c r="CE9" s="4">
        <f t="shared" si="1"/>
        <v>-2.810778639895839E-2</v>
      </c>
      <c r="CF9" s="4" t="str">
        <f t="shared" si="2"/>
        <v>.</v>
      </c>
      <c r="CG9" s="4" t="str">
        <f t="shared" si="3"/>
        <v>.</v>
      </c>
      <c r="CH9" s="4">
        <f t="shared" si="4"/>
        <v>-8.0646113744317072E-2</v>
      </c>
      <c r="CI9" s="4">
        <f t="shared" si="5"/>
        <v>-0.12549953774713707</v>
      </c>
      <c r="CJ9" s="4" t="str">
        <f t="shared" si="6"/>
        <v>.</v>
      </c>
      <c r="CK9" s="4">
        <f t="shared" si="7"/>
        <v>2.2664976663336667E-2</v>
      </c>
      <c r="CL9" s="4">
        <f t="shared" si="8"/>
        <v>-1.5568163472251428E-2</v>
      </c>
      <c r="CM9" s="4">
        <f t="shared" si="9"/>
        <v>0.1671251039285031</v>
      </c>
      <c r="CN9" s="4">
        <f t="shared" si="10"/>
        <v>-7.2206594952572978E-4</v>
      </c>
      <c r="CO9" s="4">
        <f t="shared" si="11"/>
        <v>0.16495720856417728</v>
      </c>
      <c r="CP9" s="4">
        <f t="shared" si="12"/>
        <v>4.9521279779738192E-2</v>
      </c>
      <c r="CQ9" s="4" t="str">
        <f t="shared" si="13"/>
        <v>.</v>
      </c>
      <c r="CR9" s="4" t="str">
        <f t="shared" si="14"/>
        <v>.</v>
      </c>
      <c r="CS9" s="4" t="str">
        <f t="shared" si="15"/>
        <v>.</v>
      </c>
      <c r="CU9" s="5">
        <f>IF(CU8=".", ".", IF('Summary, PPI''s'!R9=".",IF(OR('Summary, hourly ad costs'!R9=-9999,'Summary, hourly ad costs'!R9=0), ".", 'Predicted PPIs'!CU8*('Summary, hourly ad costs'!B9/'Summary, hourly ad costs'!R9)/('Summary, hourly ad costs'!B8/'Summary, hourly ad costs'!R8)/(1-CE8)), 'Summary, PPI''s'!R9))</f>
        <v>99.775940250733512</v>
      </c>
      <c r="CV9" s="5">
        <f>IF(CV8=".", ".", IF('Summary, PPI''s'!S9=".",IF(OR('Summary, hourly ad costs'!S9=-9999,'Summary, hourly ad costs'!S9=0), ".", 'Predicted PPIs'!CV8*('Summary, hourly ad costs'!C9/'Summary, hourly ad costs'!S9)/('Summary, hourly ad costs'!C8/'Summary, hourly ad costs'!S8)/(1-CF8)), 'Summary, PPI''s'!S9))</f>
        <v>99.775940250733512</v>
      </c>
      <c r="CW9" s="5">
        <f>IF(CW8=".", ".", IF('Summary, PPI''s'!T9=".",IF(OR('Summary, hourly ad costs'!T9=-9999,'Summary, hourly ad costs'!T9=0), ".", 'Predicted PPIs'!CW8*('Summary, hourly ad costs'!D9/'Summary, hourly ad costs'!T9)/('Summary, hourly ad costs'!D8/'Summary, hourly ad costs'!T8)/(1-CG8)), 'Summary, PPI''s'!T9))</f>
        <v>102.57713796748378</v>
      </c>
      <c r="CX9" s="5">
        <f>IF(CX8=".", ".", IF('Summary, PPI''s'!U9=".",IF(OR('Summary, hourly ad costs'!U9=-9999,'Summary, hourly ad costs'!U9=0), ".", 'Predicted PPIs'!CX8*('Summary, hourly ad costs'!E9/'Summary, hourly ad costs'!U9)/('Summary, hourly ad costs'!E8/'Summary, hourly ad costs'!U8)/(1-CH8)), 'Summary, PPI''s'!U9))</f>
        <v>102.37762829462282</v>
      </c>
      <c r="CY9" s="5">
        <f>IF(CY8=".", ".", IF('Summary, PPI''s'!V9=".",IF(OR('Summary, hourly ad costs'!V9=-9999,'Summary, hourly ad costs'!V9=0), ".", 'Predicted PPIs'!CY8*('Summary, hourly ad costs'!F9/'Summary, hourly ad costs'!V9)/('Summary, hourly ad costs'!F8/'Summary, hourly ad costs'!V8)/(1-CI8)), 'Summary, PPI''s'!V9))</f>
        <v>105.23085794307836</v>
      </c>
      <c r="CZ9" s="5">
        <f>IF(CZ8=".", ".", IF('Summary, PPI''s'!W9=".",IF(OR('Summary, hourly ad costs'!W9=-9999,'Summary, hourly ad costs'!W9=0), ".", 'Predicted PPIs'!CZ8*('Summary, hourly ad costs'!G9/'Summary, hourly ad costs'!W9)/('Summary, hourly ad costs'!G8/'Summary, hourly ad costs'!W8)/(1-CJ8)), 'Summary, PPI''s'!W9))</f>
        <v>101.97929800897286</v>
      </c>
      <c r="DA9" s="5">
        <f>IF(DA8=".", ".", IF('Summary, PPI''s'!X9=".",IF(OR('Summary, hourly ad costs'!X9=-9999,'Summary, hourly ad costs'!X9=0), ".", 'Predicted PPIs'!DA8*('Summary, hourly ad costs'!H9/'Summary, hourly ad costs'!X9)/('Summary, hourly ad costs'!H8/'Summary, hourly ad costs'!X8)/(1-CK8)), 'Summary, PPI''s'!X9))</f>
        <v>102.96299999999999</v>
      </c>
      <c r="DB9" s="5">
        <f>IF(DB8=".", ".", IF('Summary, PPI''s'!Y9=".",IF(OR('Summary, hourly ad costs'!Y9=-9999,'Summary, hourly ad costs'!Y9=0), ".", 'Predicted PPIs'!DB8*('Summary, hourly ad costs'!I9/'Summary, hourly ad costs'!Y9)/('Summary, hourly ad costs'!I8/'Summary, hourly ad costs'!Y8)/(1-CL8)), 'Summary, PPI''s'!Y9))</f>
        <v>101.7680576504106</v>
      </c>
      <c r="DC9" s="5">
        <f>IF(DC8=".", ".", IF('Summary, PPI''s'!Z9=".",IF(OR('Summary, hourly ad costs'!Z9=-9999,'Summary, hourly ad costs'!Z9=0), ".", 'Predicted PPIs'!DC8*('Summary, hourly ad costs'!J9/'Summary, hourly ad costs'!Z9)/('Summary, hourly ad costs'!J8/'Summary, hourly ad costs'!Z8)/(1-CM8)), 'Summary, PPI''s'!Z9))</f>
        <v>95.50729442970821</v>
      </c>
      <c r="DD9" s="5">
        <f>IF(DD8=".", ".", IF('Summary, PPI''s'!AA9=".",IF(OR('Summary, hourly ad costs'!AA9=-9999,'Summary, hourly ad costs'!AA9=0), ".", 'Predicted PPIs'!DD8*('Summary, hourly ad costs'!K9/'Summary, hourly ad costs'!AA9)/('Summary, hourly ad costs'!K8/'Summary, hourly ad costs'!AA8)/(1-CN8)), 'Summary, PPI''s'!AA9))</f>
        <v>100.69094529764959</v>
      </c>
      <c r="DE9" s="5">
        <f>IF(DE8=".", ".", IF('Summary, PPI''s'!AB9=".",IF(OR('Summary, hourly ad costs'!AB9=-9999,'Summary, hourly ad costs'!AB9=0), ".", 'Predicted PPIs'!DE8*('Summary, hourly ad costs'!L9/'Summary, hourly ad costs'!AB9)/('Summary, hourly ad costs'!L8/'Summary, hourly ad costs'!AB8)/(1-CO8)), 'Summary, PPI''s'!AB9))</f>
        <v>83.261278195488714</v>
      </c>
      <c r="DF9" s="5">
        <f>IF(DF8=".", ".", IF('Summary, PPI''s'!AC9=".",IF(OR('Summary, hourly ad costs'!AC9=-9999,'Summary, hourly ad costs'!AC9=0), ".", 'Predicted PPIs'!DF8*('Summary, hourly ad costs'!M9/'Summary, hourly ad costs'!AC9)/('Summary, hourly ad costs'!M8/'Summary, hourly ad costs'!AC8)/(1-CP8)), 'Summary, PPI''s'!AC9))</f>
        <v>95.586996799730528</v>
      </c>
      <c r="DG9" s="5">
        <f>IF(DG8=".", ".", IF('Summary, PPI''s'!AD9=".",IF(OR('Summary, hourly ad costs'!AD9=-9999,'Summary, hourly ad costs'!AD9=0), ".", 'Predicted PPIs'!DG8*('Summary, hourly ad costs'!N9/'Summary, hourly ad costs'!AD9)/('Summary, hourly ad costs'!N8/'Summary, hourly ad costs'!AD8)/(1-CQ8)), 'Summary, PPI''s'!AD9))</f>
        <v>103.68569234706938</v>
      </c>
      <c r="DH9" s="5">
        <f>IF(DH8=".", ".", IF('Summary, PPI''s'!AE9=".",IF(OR('Summary, hourly ad costs'!AE9=-9999,'Summary, hourly ad costs'!AE9=0), ".", 'Predicted PPIs'!DH8*('Summary, hourly ad costs'!O9/'Summary, hourly ad costs'!AE9)/('Summary, hourly ad costs'!O8/'Summary, hourly ad costs'!AE8)/(1-CR8)), 'Summary, PPI''s'!AE9))</f>
        <v>104.503</v>
      </c>
      <c r="DI9" s="5">
        <f>IF(DI8=".", ".", IF('Summary, PPI''s'!AF9=".",IF(OR('Summary, hourly ad costs'!AF9=-9999,'Summary, hourly ad costs'!AF9=0), ".", 'Predicted PPIs'!DI8*('Summary, hourly ad costs'!P9/'Summary, hourly ad costs'!AF9)/('Summary, hourly ad costs'!P8/'Summary, hourly ad costs'!AF8)/(1-CS8)), 'Summary, PPI''s'!AF9))</f>
        <v>104.292</v>
      </c>
      <c r="DK9" s="4">
        <v>105.095</v>
      </c>
      <c r="DM9" s="5">
        <f t="shared" si="16"/>
        <v>-2.5485222830138099E-2</v>
      </c>
      <c r="DN9" s="5">
        <f t="shared" si="17"/>
        <v>-2.5485222830138099E-2</v>
      </c>
      <c r="DO9" s="5">
        <f t="shared" si="18"/>
        <v>-1.1393652499447793E-2</v>
      </c>
      <c r="DP9" s="5">
        <f t="shared" si="19"/>
        <v>-1.6239626502663196E-3</v>
      </c>
      <c r="DQ9" s="5">
        <f t="shared" si="20"/>
        <v>1.5627293212749915E-3</v>
      </c>
      <c r="DR9" s="5">
        <f t="shared" si="21"/>
        <v>-2.3373281357928932E-2</v>
      </c>
      <c r="DS9" s="5">
        <f t="shared" si="22"/>
        <v>-5.5744808200804963E-3</v>
      </c>
      <c r="DT9" s="5">
        <f t="shared" si="23"/>
        <v>-3.5739607432056064E-2</v>
      </c>
      <c r="DU9" s="5">
        <f t="shared" si="24"/>
        <v>-3.2940228028020324E-2</v>
      </c>
      <c r="DV9" s="5">
        <f t="shared" si="25"/>
        <v>-8.5079652085685575E-3</v>
      </c>
      <c r="DW9" s="5">
        <f t="shared" si="26"/>
        <v>-3.5448410346729076E-2</v>
      </c>
      <c r="DX9" s="5">
        <f t="shared" si="27"/>
        <v>-6.8659668281695563E-2</v>
      </c>
      <c r="DY9" s="5">
        <f t="shared" si="28"/>
        <v>-2.2865200189379209E-3</v>
      </c>
      <c r="DZ9" s="5">
        <f t="shared" si="29"/>
        <v>-8.1584777801591013E-4</v>
      </c>
      <c r="EA9" s="5">
        <f t="shared" si="30"/>
        <v>-1.6216927216353705E-3</v>
      </c>
      <c r="EC9" s="1">
        <f t="shared" si="35"/>
        <v>99.775940250733512</v>
      </c>
      <c r="ED9" s="1">
        <f t="shared" si="36"/>
        <v>99.775940250733512</v>
      </c>
      <c r="EE9" s="1">
        <f t="shared" si="37"/>
        <v>102.57713796748378</v>
      </c>
      <c r="EF9" s="1">
        <f t="shared" si="38"/>
        <v>102.37762829462282</v>
      </c>
      <c r="EG9" s="1">
        <f t="shared" si="39"/>
        <v>105.23085794307836</v>
      </c>
      <c r="EH9" s="1">
        <f t="shared" si="40"/>
        <v>101.97929800897286</v>
      </c>
      <c r="EI9" s="1">
        <f t="shared" si="41"/>
        <v>102.96299999999999</v>
      </c>
      <c r="EJ9" s="1">
        <f t="shared" si="42"/>
        <v>101.7680576504106</v>
      </c>
      <c r="EK9" s="1">
        <f t="shared" si="43"/>
        <v>95.50729442970821</v>
      </c>
      <c r="EL9" s="1">
        <f t="shared" si="44"/>
        <v>100.69094529764959</v>
      </c>
      <c r="EM9" s="1">
        <f t="shared" si="45"/>
        <v>83.261278195488714</v>
      </c>
      <c r="EN9" s="1">
        <f t="shared" si="46"/>
        <v>95.586996799730528</v>
      </c>
      <c r="EO9" s="1">
        <f t="shared" si="47"/>
        <v>103.68569234706938</v>
      </c>
      <c r="EP9" s="1">
        <f t="shared" si="48"/>
        <v>104.503</v>
      </c>
      <c r="EQ9" s="1">
        <f t="shared" si="49"/>
        <v>104.292</v>
      </c>
      <c r="ES9" s="1">
        <f>IF(EF$26=".", 0, 'Summary, PPI''s'!E9)+IF(EG$26=".", 0, 'Summary, PPI''s'!F9)+IF(EH$26=".", 0, 'Summary, PPI''s'!G9)+IF(EI$26=".", 0, 'Summary, PPI''s'!H9)+IF(EJ$26=".", 0, 'Summary, PPI''s'!I9)+IF(EK$26=".", 0, 'Summary, PPI''s'!J9)+IF(EL$26=".", 0, 'Summary, PPI''s'!K9)+IF(EM$26=".", 0, 'Summary, PPI''s'!L9)+IF(EN$26=".", 0, 'Summary, PPI''s'!M9)+IF(EC$26=".", 0, 'Summary, PPI''s'!B9)+IF(ED$26=".", 0, 'Summary, PPI''s'!C9)+IF(EE$26=".", 0, 'Summary, PPI''s'!D9)+IF(EO$26=".", 0, 'Summary, PPI''s'!N9)+IF(EP$26=".", 0, 'Summary, PPI''s'!O9)+IF(EQ$26=".", 0, 'Summary, PPI''s'!P9)</f>
        <v>353209391.75156981</v>
      </c>
      <c r="ET9" s="1">
        <f>'Summary, hourly ad costs'!E9+'Summary, hourly ad costs'!F9+'Summary, hourly ad costs'!H9+'Summary, hourly ad costs'!I9+'Summary, hourly ad costs'!J9+'Summary, hourly ad costs'!K9+'Summary, hourly ad costs'!L9+'Summary, hourly ad costs'!M9+'Summary, hourly ad costs'!B9</f>
        <v>190013311.88822603</v>
      </c>
      <c r="EV9" s="13">
        <f>EV8*IF(EF$26=".", 1, (EF9/EF8)^(('Summary, PPI''s'!$E9+'Summary, PPI''s'!$E8)/('Predicted PPIs'!ES9+'Predicted PPIs'!ES8)))*IF(EG$26=".", 1, (EG9/EG8)^(('Summary, PPI''s'!$F9+'Summary, PPI''s'!$F8)/('Predicted PPIs'!ES9+'Predicted PPIs'!ES8)))*IF(EH$26=".", 1, (EH9/EH8)^(('Summary, PPI''s'!$G9+'Summary, PPI''s'!$G8)/('Predicted PPIs'!ES9+'Predicted PPIs'!ES8)))*IF(EI$26=".", 1, (EI9/EI8)^(('Summary, PPI''s'!$H9+'Summary, PPI''s'!$H8)/('Predicted PPIs'!ES9+'Predicted PPIs'!ES8)))*IF(EJ$26=".", 1, (EJ9/EJ8)^(('Summary, PPI''s'!$I9+'Summary, PPI''s'!$I8)/('Predicted PPIs'!ES9+'Predicted PPIs'!ES8)))*IF(EK$26=".", 1, (EK9/EK8)^(('Summary, PPI''s'!$J9+'Summary, PPI''s'!$J8)/('Predicted PPIs'!ES9+'Predicted PPIs'!ES8)))*IF(EL$26=".", 1, (EL9/EL8)^(('Summary, PPI''s'!$K9+'Summary, PPI''s'!$K8)/('Predicted PPIs'!ES9+'Predicted PPIs'!ES8)))*IF(EM$26=".", 1, (EM9/EM8)^(('Summary, PPI''s'!$L9+'Summary, PPI''s'!$L8)/('Predicted PPIs'!ES9+'Predicted PPIs'!ES8)))*IF(EN$26=".", 1, (EN9/EN8)^(('Summary, PPI''s'!$M9+'Summary, PPI''s'!$M8)/('Predicted PPIs'!ES9+'Predicted PPIs'!ES8)))*IF(EC$26=".", 1, (EC9/EC8)^(('Summary, PPI''s'!$B9+'Summary, PPI''s'!$B8)/('Predicted PPIs'!ES9+'Predicted PPIs'!ES8)))*IF(ED$26=".", 1, (ED9/ED8)^(('Summary, PPI''s'!$C9+'Summary, PPI''s'!$C8)/('Predicted PPIs'!ES9+'Predicted PPIs'!ES8)))*IF(EE$26=".", 1, (EE9/EE8)^(('Summary, PPI''s'!$D9+'Summary, PPI''s'!$D8)/('Predicted PPIs'!ES9+'Predicted PPIs'!ES8)))*IF(EO$26=".", 1, (EO9/EO8)^(('Summary, PPI''s'!$N9+'Summary, PPI''s'!$N8)/('Predicted PPIs'!ES9+'Predicted PPIs'!ES8)))*IF(EP$26=".", 1, (EP9/EP8)^(('Summary, PPI''s'!$O9+'Summary, PPI''s'!$O8)/('Predicted PPIs'!ES9+'Predicted PPIs'!ES8)))*IF(EQ$26=".", 1, (EQ9/EQ8)^(('Summary, PPI''s'!$P9+'Summary, PPI''s'!$P8)/('Predicted PPIs'!ES9+'Predicted PPIs'!ES8)))</f>
        <v>107.8786764795681</v>
      </c>
      <c r="EW9" s="13">
        <f>EW8*IF(EF$26=".", 1, (EF9/EF8)^(('Summary, PPI''s'!$E9+'Summary, PPI''s'!$E8)/('Predicted PPIs'!ET9+'Predicted PPIs'!ET8)))*IF(EG$26=".", 1, (EG9/EG8)^(('Summary, PPI''s'!$F9+'Summary, PPI''s'!$F8)/('Predicted PPIs'!ET9+'Predicted PPIs'!ET8)))*IF(EH$26=".", 1, (EH9/EH8)^(('Summary, PPI''s'!$G9+'Summary, PPI''s'!$G8)/('Predicted PPIs'!ET9+'Predicted PPIs'!ET8)))*IF(EK$26=".", 1, (EK9/EK8)^(('Summary, PPI''s'!$J9+'Summary, PPI''s'!$J8)/('Predicted PPIs'!ET9+'Predicted PPIs'!ET8)))*IF(EL$26=".", 1, (EL9/EL8)^(('Summary, PPI''s'!$K9+'Summary, PPI''s'!$K8)/('Predicted PPIs'!ET9+'Predicted PPIs'!ET8)))*IF(EM$26=".", 1, (EM9/EM8)^(('Summary, PPI''s'!$L9+'Summary, PPI''s'!$L8)/('Predicted PPIs'!ET9+'Predicted PPIs'!ET8)))*IF(EN$26=".", 1, (EN9/EN8)^(('Summary, PPI''s'!$M9+'Summary, PPI''s'!$M8)/('Predicted PPIs'!ET9+'Predicted PPIs'!ET8)))*IF(EC$26=".", 1, (EC9/EC8)^(('Summary, PPI''s'!$B9+'Summary, PPI''s'!$B8)/('Predicted PPIs'!ET9+'Predicted PPIs'!ET8)))</f>
        <v>117.54445994930896</v>
      </c>
      <c r="EY9" s="2"/>
    </row>
    <row r="10" spans="1:155" x14ac:dyDescent="0.3">
      <c r="A10" s="4">
        <v>2013</v>
      </c>
      <c r="B10" s="10">
        <f>IF(B9=".", ".", IF('Summary, PPI''s'!R10=".",IF(OR('Summary, hourly ad costs'!R10=-9999,'Summary, hourly ad costs'!R10=0), ".", 'Predicted PPIs'!B9*('Summary, hourly ad costs'!B10/'Summary, hourly ad costs'!R10)/('Summary, hourly ad costs'!B9/'Summary, hourly ad costs'!R9)), 'Summary, PPI''s'!R10))</f>
        <v>100.0266737796746</v>
      </c>
      <c r="C10" s="10">
        <f>IF(C9=".", ".", IF('Summary, PPI''s'!S10=".",IF(OR('Summary, hourly ad costs'!S10=-9999,'Summary, hourly ad costs'!S10=0), ".", 'Predicted PPIs'!C9*('Summary, hourly ad costs'!C10/'Summary, hourly ad costs'!S10)/('Summary, hourly ad costs'!C9/'Summary, hourly ad costs'!S9)), 'Summary, PPI''s'!S10))</f>
        <v>100.0266737796746</v>
      </c>
      <c r="D10" s="10">
        <f>IF(D9=".", ".", IF('Summary, PPI''s'!T10=".",IF(OR('Summary, hourly ad costs'!T10=-9999,'Summary, hourly ad costs'!T10=0), ".", 'Predicted PPIs'!D9*('Summary, hourly ad costs'!D10/'Summary, hourly ad costs'!T10)/('Summary, hourly ad costs'!D9/'Summary, hourly ad costs'!T9)), 'Summary, PPI''s'!T10))</f>
        <v>101.36910454522577</v>
      </c>
      <c r="E10" s="10">
        <f>IF(E9=".", ".", IF('Summary, PPI''s'!U10=".",IF(OR('Summary, hourly ad costs'!U10=-9999,'Summary, hourly ad costs'!U10=0), ".", 'Predicted PPIs'!E9*('Summary, hourly ad costs'!E10/'Summary, hourly ad costs'!U10)/('Summary, hourly ad costs'!E9/'Summary, hourly ad costs'!U9)), 'Summary, PPI''s'!U10))</f>
        <v>100.18191817912594</v>
      </c>
      <c r="F10" s="10">
        <f>IF(F9=".", ".", IF('Summary, PPI''s'!V10=".",IF(OR('Summary, hourly ad costs'!V10=-9999,'Summary, hourly ad costs'!V10=0), ".", 'Predicted PPIs'!F9*('Summary, hourly ad costs'!F10/'Summary, hourly ad costs'!V10)/('Summary, hourly ad costs'!F9/'Summary, hourly ad costs'!V9)), 'Summary, PPI''s'!V10))</f>
        <v>102.6463198649038</v>
      </c>
      <c r="G10" s="10">
        <f>IF(G9=".", ".", IF('Summary, PPI''s'!W10=".",IF(OR('Summary, hourly ad costs'!W10=-9999,'Summary, hourly ad costs'!W10=0), ".", 'Predicted PPIs'!G9*('Summary, hourly ad costs'!G10/'Summary, hourly ad costs'!W10)/('Summary, hourly ad costs'!G9/'Summary, hourly ad costs'!W9)), 'Summary, PPI''s'!W10))</f>
        <v>102.01448552913234</v>
      </c>
      <c r="H10" s="10">
        <f>IF(H9=".", ".", IF('Summary, PPI''s'!X10=".",IF(OR('Summary, hourly ad costs'!X10=-9999,'Summary, hourly ad costs'!X10=0), ".", 'Predicted PPIs'!H9*('Summary, hourly ad costs'!H10/'Summary, hourly ad costs'!X10)/('Summary, hourly ad costs'!H9/'Summary, hourly ad costs'!X9)), 'Summary, PPI''s'!X10))</f>
        <v>101.155</v>
      </c>
      <c r="I10" s="10">
        <f>IF(I9=".", ".", IF('Summary, PPI''s'!Y10=".",IF(OR('Summary, hourly ad costs'!Y10=-9999,'Summary, hourly ad costs'!Y10=0), ".", 'Predicted PPIs'!I9*('Summary, hourly ad costs'!I10/'Summary, hourly ad costs'!Y10)/('Summary, hourly ad costs'!I9/'Summary, hourly ad costs'!Y9)), 'Summary, PPI''s'!Y10))</f>
        <v>103.10876487347078</v>
      </c>
      <c r="J10" s="10">
        <f>IF(J9=".", ".", IF('Summary, PPI''s'!Z10=".",IF(OR('Summary, hourly ad costs'!Z10=-9999,'Summary, hourly ad costs'!Z10=0), ".", 'Predicted PPIs'!J9*('Summary, hourly ad costs'!J10/'Summary, hourly ad costs'!Z10)/('Summary, hourly ad costs'!J9/'Summary, hourly ad costs'!Z9)), 'Summary, PPI''s'!Z10))</f>
        <v>96.485411140583537</v>
      </c>
      <c r="K10" s="10">
        <f>IF(K9=".", ".", IF('Summary, PPI''s'!AA10=".",IF(OR('Summary, hourly ad costs'!AA10=-9999,'Summary, hourly ad costs'!AA10=0), ".", 'Predicted PPIs'!K9*('Summary, hourly ad costs'!K10/'Summary, hourly ad costs'!AA10)/('Summary, hourly ad costs'!K9/'Summary, hourly ad costs'!AA9)), 'Summary, PPI''s'!AA10))</f>
        <v>99.215520622755918</v>
      </c>
      <c r="L10" s="10">
        <f>IF(L9=".", ".", IF('Summary, PPI''s'!AB10=".",IF(OR('Summary, hourly ad costs'!AB10=-9999,'Summary, hourly ad costs'!AB10=0), ".", 'Predicted PPIs'!L9*('Summary, hourly ad costs'!L10/'Summary, hourly ad costs'!AB10)/('Summary, hourly ad costs'!L9/'Summary, hourly ad costs'!AB9)), 'Summary, PPI''s'!AB10))</f>
        <v>84.332706766917283</v>
      </c>
      <c r="M10" s="10">
        <f>IF(M9=".", ".", IF('Summary, PPI''s'!AC10=".",IF(OR('Summary, hourly ad costs'!AC10=-9999,'Summary, hourly ad costs'!AC10=0), ".", 'Predicted PPIs'!M9*('Summary, hourly ad costs'!M10/'Summary, hourly ad costs'!AC10)/('Summary, hourly ad costs'!M9/'Summary, hourly ad costs'!AC9)), 'Summary, PPI''s'!AC10))</f>
        <v>100.2694963786424</v>
      </c>
      <c r="N10" s="10">
        <f>IF(N9=".", ".", IF('Summary, PPI''s'!AD10=".",IF(OR('Summary, hourly ad costs'!AD10=-9999,'Summary, hourly ad costs'!AD10=0), ".", 'Predicted PPIs'!N9*('Summary, hourly ad costs'!N10/'Summary, hourly ad costs'!AD10)/('Summary, hourly ad costs'!N9/'Summary, hourly ad costs'!AD9)), 'Summary, PPI''s'!AD10))</f>
        <v>101.52930637317635</v>
      </c>
      <c r="O10" s="10">
        <f>IF(O9=".", ".", IF('Summary, PPI''s'!AE10=".",IF(OR('Summary, hourly ad costs'!AE10=-9999,'Summary, hourly ad costs'!AE10=0), ".", 'Predicted PPIs'!O9*('Summary, hourly ad costs'!O10/'Summary, hourly ad costs'!AE10)/('Summary, hourly ad costs'!O9/'Summary, hourly ad costs'!AE9)), 'Summary, PPI''s'!AE10))</f>
        <v>102.179</v>
      </c>
      <c r="P10" s="10">
        <f>IF(P9=".", ".", IF('Summary, PPI''s'!AF10=".",IF(OR('Summary, hourly ad costs'!AF10=-9999,'Summary, hourly ad costs'!AF10=0), ".", 'Predicted PPIs'!P9*('Summary, hourly ad costs'!P10/'Summary, hourly ad costs'!AF10)/('Summary, hourly ad costs'!P9/'Summary, hourly ad costs'!AF9)), 'Summary, PPI''s'!AF10))</f>
        <v>102.05500000000001</v>
      </c>
      <c r="R10" s="1">
        <f>IF(E$26=".", 0, 'Summary, PPI''s'!E10)+IF(F$26=".", 0, 'Summary, PPI''s'!F10)+IF(G$26=".", 0, 'Summary, PPI''s'!G10)+IF(H$26=".", 0, 'Summary, PPI''s'!H10)+IF(I$26=".", 0, 'Summary, PPI''s'!I10)+IF(J$26=".", 0, 'Summary, PPI''s'!J10)+IF(K$26=".", 0, 'Summary, PPI''s'!K10)+IF(L$26=".", 0, 'Summary, PPI''s'!L10)+IF(M$26=".", 0, 'Summary, PPI''s'!M10)+IF(B$26=".", 0, 'Summary, PPI''s'!B10)+IF(C$26=".", 0, 'Summary, PPI''s'!C10)+IF(D$26=".", 0, 'Summary, PPI''s'!D10)+IF(N$26=".", 0, 'Summary, PPI''s'!N10)+IF(O$26=".", 0, 'Summary, PPI''s'!O10)+IF(P$26=".", 0, 'Summary, PPI''s'!P10)</f>
        <v>338230653.9874199</v>
      </c>
      <c r="S10" s="1">
        <f>IF(E$36=".", 0, 'Summary, PPI''s'!E10)+IF(F$36=".", 0, 'Summary, PPI''s'!F10)+IF(G$36=".", 0, 'Summary, PPI''s'!G10)+IF(H$36=".", 0, 'Summary, PPI''s'!H10)+IF(I$36=".", 0, 'Summary, PPI''s'!I10)+IF(J$36=".", 0, 'Summary, PPI''s'!J10)+IF(K$36=".", 0, 'Summary, PPI''s'!K10)+IF(L$36=".", 0, 'Summary, PPI''s'!L10)+IF(M$36=".", 0, 'Summary, PPI''s'!M10)+IF(B$36=".", 0, 'Summary, PPI''s'!B10)+IF(C$36=".", 0, 'Summary, PPI''s'!C10)+IF(D$36=".", 0, 'Summary, PPI''s'!D10)+IF(N$36=".", 0, 'Summary, PPI''s'!N10)+IF(O$36=".", 0, 'Summary, PPI''s'!O10)+IF(P$36=".", 0, 'Summary, PPI''s'!P10)</f>
        <v>285794033.06691492</v>
      </c>
      <c r="T10" s="1">
        <f>IF(E$46=".", 0, 'Summary, PPI''s'!E10)+IF(F$46=".", 0, 'Summary, PPI''s'!F10)+IF(G$46=".", 0, 'Summary, PPI''s'!G10)+IF(H$46=".", 0, 'Summary, PPI''s'!H10)+IF(I$46=".", 0, 'Summary, PPI''s'!I10)+IF(J$46=".", 0, 'Summary, PPI''s'!J10)+IF(K$46=".", 0, 'Summary, PPI''s'!K10)+IF(L$46=".", 0, 'Summary, PPI''s'!L10)+IF(M$46=".", 0, 'Summary, PPI''s'!M10)+IF(B$46=".", 0, 'Summary, PPI''s'!B10)+IF(C$46=".", 0, 'Summary, PPI''s'!C10)+IF(D$46=".", 0, 'Summary, PPI''s'!D10)+IF(N$46=".", 0, 'Summary, PPI''s'!N10)+IF(O$46=".", 0, 'Summary, PPI''s'!O10)+IF(P$46=".", 0, 'Summary, PPI''s'!P10)</f>
        <v>165177572.04036945</v>
      </c>
      <c r="U10" s="1">
        <f>IF(E$60=".", 0, 'Summary, PPI''s'!E10)+IF(F$60=".", 0, 'Summary, PPI''s'!F10)+IF(G$60=".", 0, 'Summary, PPI''s'!G10)+IF(H$60=".", 0, 'Summary, PPI''s'!H10)+IF(I$60=".", 0, 'Summary, PPI''s'!I10)+IF(J$60=".", 0, 'Summary, PPI''s'!J10)+IF(K$60=".", 0, 'Summary, PPI''s'!K10)+IF(L$60=".", 0, 'Summary, PPI''s'!L10)+IF(M$60=".", 0, 'Summary, PPI''s'!M10)+IF(B$60=".", 0, 'Summary, PPI''s'!B10)+IF(C$60=".", 0, 'Summary, PPI''s'!C10)+IF(D$60=".", 0, 'Summary, PPI''s'!D10)+IF(N$60=".", 0, 'Summary, PPI''s'!N10)+IF(O$60=".", 0, 'Summary, PPI''s'!O10)+IF(P$60=".", 0, 'Summary, PPI''s'!P10)</f>
        <v>100194153.63758628</v>
      </c>
      <c r="V10" s="1">
        <f>IF(E$73=".", 0, 'Summary, PPI''s'!E10)+IF(F$73=".", 0, 'Summary, PPI''s'!F10)+IF(G$73=".", 0, 'Summary, PPI''s'!G10)+IF(H$73=".", 0, 'Summary, PPI''s'!H10)+IF(I$73=".", 0, 'Summary, PPI''s'!I10)+IF(J$73=".", 0, 'Summary, PPI''s'!J10)+IF(K$73=".", 0, 'Summary, PPI''s'!K10)+IF(L$73=".", 0, 'Summary, PPI''s'!L10)+IF(M$73=".", 0, 'Summary, PPI''s'!M10)+IF(B$73=".", 0, 'Summary, PPI''s'!B10)+IF(C$73=".", 0, 'Summary, PPI''s'!C10)+IF(D$73=".", 0, 'Summary, PPI''s'!D10)+IF(N$73=".", 0, 'Summary, PPI''s'!N10)+IF(O$73=".", 0, 'Summary, PPI''s'!O10)+IF(P$73=".", 0, 'Summary, PPI''s'!P10)</f>
        <v>86737741.265704155</v>
      </c>
      <c r="W10" s="1">
        <f>IF(E$94=".",0,'Summary, PPI''s'!E10)+IF(F$94=".",0,'Summary, PPI''s'!F10)+IF(G$94=".",0,'Summary, PPI''s'!G10)+IF(H$94=".",0,'Summary, PPI''s'!H10)+IF(I$94=".",0,'Summary, PPI''s'!I10)+IF(J$94=".",0,'Summary, PPI''s'!J10)+IF(K$94=".",0,'Summary, PPI''s'!K10)+IF(L$94=".",0,'Summary, PPI''s'!L10)+IF(M$94=".",0,'Summary, PPI''s'!M10)+IF(B$94=".",0,'Summary, PPI''s'!B10)+IF(C$94=".",0,'Summary, PPI''s'!C10)+IF(D$94=".",0,'Summary, PPI''s'!D10)+IF(N$94=".",0,'Summary, PPI''s'!N10)+IF(O$94=".",0,'Summary, PPI''s'!O10)+IF(P$94=".",0,'Summary, PPI''s'!P10)</f>
        <v>51754352.965934664</v>
      </c>
      <c r="X10" s="1">
        <f>IF(E$123=".", 0, 'Summary, PPI''s'!E10)+IF(F$123=".", 0, 'Summary, PPI''s'!F10)+IF(G$123=".", 0, 'Summary, PPI''s'!G10)+IF(H$123=".", 0, 'Summary, PPI''s'!H10)+IF(I$123=".", 0, 'Summary, PPI''s'!I10)+IF(J$123=".", 0, 'Summary, PPI''s'!J10)+IF(K$123=".", 0, 'Summary, PPI''s'!K10)+IF(L$123=".", 0, 'Summary, PPI''s'!L10)+IF(M$123=".", 0, 'Summary, PPI''s'!M10)+IF(B$123=".", 0, 'Summary, PPI''s'!B10)+IF(C$123=".", 0, 'Summary, PPI''s'!C10)+IF(D$123=".", 0, 'Summary, PPI''s'!D10)+IF(N$123=".", 0, 'Summary, PPI''s'!N10)+IF(O$123=".", 0, 'Summary, PPI''s'!O10)+IF(P$123=".", 0, 'Summary, PPI''s'!P10)</f>
        <v>37445703.274494573</v>
      </c>
      <c r="Z10" s="4">
        <f>Z9*IF(E$26=".", 1, (E10/E9)^(('Summary, PPI''s'!$E10+'Summary, PPI''s'!$E9)/('Predicted PPIs'!R10+'Predicted PPIs'!R9)))*IF(F$26=".", 1, (F10/F9)^(('Summary, PPI''s'!$F10+'Summary, PPI''s'!$F9)/('Predicted PPIs'!R10+'Predicted PPIs'!R9)))*IF(G$26=".", 1, (G10/G9)^(('Summary, PPI''s'!$G10+'Summary, PPI''s'!$G9)/('Predicted PPIs'!R10+'Predicted PPIs'!R9)))*IF(H$26=".", 1, (H10/H9)^(('Summary, PPI''s'!$H10+'Summary, PPI''s'!$H9)/('Predicted PPIs'!R10+'Predicted PPIs'!R9)))*IF(I$26=".", 1, (I10/I9)^(('Summary, PPI''s'!$I10+'Summary, PPI''s'!$I9)/('Predicted PPIs'!R10+'Predicted PPIs'!R9)))*IF(J$26=".", 1, (J10/J9)^(('Summary, PPI''s'!$J10+'Summary, PPI''s'!$J9)/('Predicted PPIs'!R10+'Predicted PPIs'!R9)))*IF(K$26=".", 1, (K10/K9)^(('Summary, PPI''s'!$K10+'Summary, PPI''s'!$K9)/('Predicted PPIs'!R10+'Predicted PPIs'!R9)))*IF(L$26=".", 1, (L10/L9)^(('Summary, PPI''s'!$L10+'Summary, PPI''s'!$L9)/('Predicted PPIs'!R10+'Predicted PPIs'!R9)))*IF(M$26=".", 1, (M10/M9)^(('Summary, PPI''s'!$M10+'Summary, PPI''s'!$M9)/('Predicted PPIs'!R10+'Predicted PPIs'!R9)))*IF(B$26=".", 1, (B10/B9)^(('Summary, PPI''s'!$B10+'Summary, PPI''s'!$B9)/('Predicted PPIs'!R10+'Predicted PPIs'!R9)))*IF(C$26=".", 1, (C10/C9)^(('Summary, PPI''s'!$C10+'Summary, PPI''s'!$C9)/('Predicted PPIs'!R10+'Predicted PPIs'!R9)))*IF(D$26=".", 1, (D10/D9)^(('Summary, PPI''s'!$D10+'Summary, PPI''s'!$D9)/('Predicted PPIs'!R10+'Predicted PPIs'!R9)))*IF(N$26=".", 1, (N10/N9)^(('Summary, PPI''s'!$N10+'Summary, PPI''s'!$N9)/('Predicted PPIs'!R10+'Predicted PPIs'!R9)))*IF(O$26=".", 1, (O10/O9)^(('Summary, PPI''s'!$O10+'Summary, PPI''s'!$O9)/('Predicted PPIs'!R10+'Predicted PPIs'!R9)))*IF(P$26=".", 1, (P10/P9)^(('Summary, PPI''s'!$P10+'Summary, PPI''s'!$P9)/('Predicted PPIs'!R10+'Predicted PPIs'!R9)))</f>
        <v>107.23243375882953</v>
      </c>
      <c r="AA10" s="4">
        <f>AA9*IF(E$36=".", 1, (E10/E9)^(('Summary, PPI''s'!$E10+'Summary, PPI''s'!$E9)/('Predicted PPIs'!S10+'Predicted PPIs'!S9)))*IF(F$36=".", 1, (F10/F9)^(('Summary, PPI''s'!$F10+'Summary, PPI''s'!$F9)/('Predicted PPIs'!S10+'Predicted PPIs'!S9)))*IF(G$36=".", 1, (G10/G9)^(('Summary, PPI''s'!$G10+'Summary, PPI''s'!$G9)/('Predicted PPIs'!S10+'Predicted PPIs'!S9)))*IF(H$36=".", 1, (H10/H9)^(('Summary, PPI''s'!$H10+'Summary, PPI''s'!$H9)/('Predicted PPIs'!S10+'Predicted PPIs'!S9)))*IF(I$36=".", 1, (I10/I9)^(('Summary, PPI''s'!$I10+'Summary, PPI''s'!$I9)/('Predicted PPIs'!S10+'Predicted PPIs'!S9)))*IF(J$36=".", 1, (J10/J9)^(('Summary, PPI''s'!$J10+'Summary, PPI''s'!$J9)/('Predicted PPIs'!S10+'Predicted PPIs'!S9)))*IF(K$36=".", 1, (K10/K9)^(('Summary, PPI''s'!$K10+'Summary, PPI''s'!$K9)/('Predicted PPIs'!S10+'Predicted PPIs'!S9)))*IF(L$36=".", 1, (L10/L9)^(('Summary, PPI''s'!$L10+'Summary, PPI''s'!$L9)/('Predicted PPIs'!S10+'Predicted PPIs'!S9)))*IF(M$36=".", 1, (M10/M9)^(('Summary, PPI''s'!$M10+'Summary, PPI''s'!$M9)/('Predicted PPIs'!S10+'Predicted PPIs'!S9)))*IF(B$36=".", 1, (B10/B9)^(('Summary, PPI''s'!$B10+'Summary, PPI''s'!$B9)/('Predicted PPIs'!S10+'Predicted PPIs'!S9)))*IF(C$36=".", 1, (C10/C9)^(('Summary, PPI''s'!$C10+'Summary, PPI''s'!$C9)/('Predicted PPIs'!S10+'Predicted PPIs'!S9)))*IF(D$36=".", 1, (D10/D9)^(('Summary, PPI''s'!$D10+'Summary, PPI''s'!$D9)/('Predicted PPIs'!S10+'Predicted PPIs'!S9)))*IF(N$36=".", 1, (N10/N9)^(('Summary, PPI''s'!$N10+'Summary, PPI''s'!$N9)/('Predicted PPIs'!S10+'Predicted PPIs'!S9)))*IF(O$36=".", 1, (O10/O9)^(('Summary, PPI''s'!$O10+'Summary, PPI''s'!$O9)/('Predicted PPIs'!S10+'Predicted PPIs'!S9)))*IF(P$36=".", 1, (P10/P9)^(('Summary, PPI''s'!$P10+'Summary, PPI''s'!$P9)/('Predicted PPIs'!S10+'Predicted PPIs'!S9)))</f>
        <v>97.847270974832412</v>
      </c>
      <c r="AB10" s="4">
        <f>AB9*IF(E$46=".", 1, (E10/E9)^(('Summary, PPI''s'!$E10+'Summary, PPI''s'!$E9)/('Predicted PPIs'!T10+'Predicted PPIs'!T9)))*IF(F$46=".", 1, (F10/F9)^(('Summary, PPI''s'!$F10+'Summary, PPI''s'!$F9)/('Predicted PPIs'!T10+'Predicted PPIs'!T9)))*IF(G$46=".", 1, (G10/G9)^(('Summary, PPI''s'!$G10+'Summary, PPI''s'!$G9)/('Predicted PPIs'!T10+'Predicted PPIs'!T9)))*IF(H$46=".", 1, (H10/H9)^(('Summary, PPI''s'!$H10+'Summary, PPI''s'!$H9)/('Predicted PPIs'!T10+'Predicted PPIs'!T9)))*IF(I$46=".", 1, (I10/I9)^(('Summary, PPI''s'!$I10+'Summary, PPI''s'!$I9)/('Predicted PPIs'!T10+'Predicted PPIs'!T9)))*IF(J$46=".", 1, (J10/J9)^(('Summary, PPI''s'!$J10+'Summary, PPI''s'!$J9)/('Predicted PPIs'!T10+'Predicted PPIs'!T9)))*IF(K$46=".", 1, (K10/K9)^(('Summary, PPI''s'!$K10+'Summary, PPI''s'!$K9)/('Predicted PPIs'!T10+'Predicted PPIs'!T9)))*IF(L$46=".", 1, (L10/L9)^(('Summary, PPI''s'!$L10+'Summary, PPI''s'!$L9)/('Predicted PPIs'!T10+'Predicted PPIs'!T9)))*IF(M$46=".", 1, (M10/M9)^(('Summary, PPI''s'!$M10+'Summary, PPI''s'!$M9)/('Predicted PPIs'!T10+'Predicted PPIs'!T9)))*IF(B$46=".", 1, (B10/B9)^(('Summary, PPI''s'!$B10+'Summary, PPI''s'!$B9)/('Predicted PPIs'!T10+'Predicted PPIs'!T9)))*IF(C$46=".", 1, (C10/C9)^(('Summary, PPI''s'!$C10+'Summary, PPI''s'!$C9)/('Predicted PPIs'!T10+'Predicted PPIs'!T9)))*IF(D$46=".", 1, (D10/D9)^(('Summary, PPI''s'!$D10+'Summary, PPI''s'!$D9)/('Predicted PPIs'!T10+'Predicted PPIs'!T9)))*IF(N$46=".", 1, (N10/N9)^(('Summary, PPI''s'!$N10+'Summary, PPI''s'!$N9)/('Predicted PPIs'!T10+'Predicted PPIs'!T9)))*IF(O$46=".", 1, (O10/O9)^(('Summary, PPI''s'!$O10+'Summary, PPI''s'!$O9)/('Predicted PPIs'!T10+'Predicted PPIs'!T9)))*IF(P$46=".", 1, (P10/P9)^(('Summary, PPI''s'!$P10+'Summary, PPI''s'!$P9)/('Predicted PPIs'!T10+'Predicted PPIs'!T9)))</f>
        <v>99.80109756551947</v>
      </c>
      <c r="AC10" s="4">
        <f>AC9*IF(E$60=".",1,(E10/E9)^(('Summary, PPI''s'!$E10+'Summary, PPI''s'!$E9)/('Predicted PPIs'!U10+'Predicted PPIs'!U9)))*IF(F$60=".",1,(F10/F9)^(('Summary, PPI''s'!$F10+'Summary, PPI''s'!$F9)/('Predicted PPIs'!U10+'Predicted PPIs'!U9)))*IF(G$60=".",1,(G10/G9)^(('Summary, PPI''s'!$G10+'Summary, PPI''s'!$G9)/('Predicted PPIs'!U10+'Predicted PPIs'!U9)))*IF(H$60=".",1,(H10/H9)^(('Summary, PPI''s'!$H10+'Summary, PPI''s'!$H9)/('Predicted PPIs'!U10+'Predicted PPIs'!U9)))*IF(I$60=".",1,(I10/I9)^(('Summary, PPI''s'!$I10+'Summary, PPI''s'!$I9)/('Predicted PPIs'!U10+'Predicted PPIs'!U9)))*IF(J$60=".",1,(J10/J9)^(('Summary, PPI''s'!$J10+'Summary, PPI''s'!$J9)/('Predicted PPIs'!U10+'Predicted PPIs'!U9)))*IF(K$60=".",1,(K10/K9)^(('Summary, PPI''s'!$K10+'Summary, PPI''s'!$K9)/('Predicted PPIs'!U10+'Predicted PPIs'!U9)))*IF(L$60=".",1,(L10/L9)^(('Summary, PPI''s'!$L10+'Summary, PPI''s'!$L9)/('Predicted PPIs'!U10+'Predicted PPIs'!U9)))*IF(M$60=".",1,(M10/M9)^(('Summary, PPI''s'!$M10+'Summary, PPI''s'!$M9)/('Predicted PPIs'!U10+'Predicted PPIs'!U9)))*IF(B$60=".",1,(B10/B9)^(('Summary, PPI''s'!$B10+'Summary, PPI''s'!$B9)/('Predicted PPIs'!U10+'Predicted PPIs'!U9)))*IF(C$60=".",1,(C10/C9)^(('Summary, PPI''s'!$C10+'Summary, PPI''s'!$C9)/('Predicted PPIs'!U10+'Predicted PPIs'!U9)))*IF(D$60=".",1,(D10/D9)^(('Summary, PPI''s'!$D10+'Summary, PPI''s'!$D9)/('Predicted PPIs'!U10+'Predicted PPIs'!U9)))*IF(N$60=".",1,(N10/N9)^(('Summary, PPI''s'!$N10+'Summary, PPI''s'!$N9)/('Predicted PPIs'!U10+'Predicted PPIs'!U9)))*IF(O$60=".",1,(O10/O9)^(('Summary, PPI''s'!$O10+'Summary, PPI''s'!$O9)/('Predicted PPIs'!U10+'Predicted PPIs'!U9)))*IF(P$60=".",1,(P10/P9)^(('Summary, PPI''s'!$P10+'Summary, PPI''s'!$P9)/('Predicted PPIs'!U10+'Predicted PPIs'!U9)))</f>
        <v>104.14410931628623</v>
      </c>
      <c r="AD10" s="4">
        <f>AD9*IF(E$73=".", 1, (E10/E9)^(('Summary, PPI''s'!$E10+'Summary, PPI''s'!$E9)/('Predicted PPIs'!V10+'Predicted PPIs'!V9)))*IF(F$73=".", 1, (F10/F9)^(('Summary, PPI''s'!$F10+'Summary, PPI''s'!$F9)/('Predicted PPIs'!V10+'Predicted PPIs'!V9)))*IF(G$73=".", 1, (G10/G9)^(('Summary, PPI''s'!$G10+'Summary, PPI''s'!$G9)/('Predicted PPIs'!V10+'Predicted PPIs'!V9)))*IF(H$73=".", 1, (H10/H9)^(('Summary, PPI''s'!$H10+'Summary, PPI''s'!$H9)/('Predicted PPIs'!V10+'Predicted PPIs'!V9)))*IF(I$73=".", 1, (I10/I9)^(('Summary, PPI''s'!$I10+'Summary, PPI''s'!$I9)/('Predicted PPIs'!V10+'Predicted PPIs'!V9)))*IF(J$73=".", 1, (J10/J9)^(('Summary, PPI''s'!$J10+'Summary, PPI''s'!$J9)/('Predicted PPIs'!V10+'Predicted PPIs'!V9)))*IF(K$73=".", 1, (K10/K9)^(('Summary, PPI''s'!$K10+'Summary, PPI''s'!$K9)/('Predicted PPIs'!V10+'Predicted PPIs'!V9)))*IF(L$73=".", 1, (L10/L9)^(('Summary, PPI''s'!$L10+'Summary, PPI''s'!$L9)/('Predicted PPIs'!V10+'Predicted PPIs'!V9)))*IF(M$73=".", 1, (M10/M9)^(('Summary, PPI''s'!$M10+'Summary, PPI''s'!$M9)/('Predicted PPIs'!V10+'Predicted PPIs'!V9)))*IF(B$73=".", 1, (B10/B9)^(('Summary, PPI''s'!$B10+'Summary, PPI''s'!$B9)/('Predicted PPIs'!V10+'Predicted PPIs'!V9)))*IF(C$73=".", 1, (C10/C9)^(('Summary, PPI''s'!$C10+'Summary, PPI''s'!$C9)/('Predicted PPIs'!V10+'Predicted PPIs'!V9)))*IF(D$73=".", 1, (D10/D9)^(('Summary, PPI''s'!$D10+'Summary, PPI''s'!$D9)/('Predicted PPIs'!V10+'Predicted PPIs'!V9)))*IF(N$73=".", 1, (N10/N9)^(('Summary, PPI''s'!$N10+'Summary, PPI''s'!$N9)/('Predicted PPIs'!V10+'Predicted PPIs'!V9)))*IF(O$73=".", 1, (O10/O9)^(('Summary, PPI''s'!$O10+'Summary, PPI''s'!$O9)/('Predicted PPIs'!V10+'Predicted PPIs'!V9)))*IF(P$73=".", 1, (P10/P9)^(('Summary, PPI''s'!$P10+'Summary, PPI''s'!$P9)/('Predicted PPIs'!V10+'Predicted PPIs'!V9)))</f>
        <v>104.69867284101556</v>
      </c>
      <c r="AE10" s="4">
        <f>AE9*IF(E$94=".", 1, (E10/E9)^(('Summary, PPI''s'!$E10+'Summary, PPI''s'!$E9)/('Predicted PPIs'!W10+'Predicted PPIs'!W9)))*IF(F$94=".", 1, (F10/F9)^(('Summary, PPI''s'!$F10+'Summary, PPI''s'!$F9)/('Predicted PPIs'!W10+'Predicted PPIs'!W9)))*IF(G$94=".", 1, (G10/G9)^(('Summary, PPI''s'!$G10+'Summary, PPI''s'!$G9)/('Predicted PPIs'!W10+'Predicted PPIs'!W9)))*IF(H$94=".", 1, (H10/H9)^(('Summary, PPI''s'!$H10+'Summary, PPI''s'!$H9)/('Predicted PPIs'!W10+'Predicted PPIs'!W9)))*IF(I$94=".", 1, (I10/I9)^(('Summary, PPI''s'!$I10+'Summary, PPI''s'!$I9)/('Predicted PPIs'!W10+'Predicted PPIs'!W9)))*IF(J$94=".", 1, (J10/J9)^(('Summary, PPI''s'!$J10+'Summary, PPI''s'!$J9)/('Predicted PPIs'!W10+'Predicted PPIs'!W9)))*IF(K$94=".", 1, (K10/K9)^(('Summary, PPI''s'!$K10+'Summary, PPI''s'!$K9)/('Predicted PPIs'!W10+'Predicted PPIs'!W9)))*IF(L$94=".", 1, (L10/L9)^(('Summary, PPI''s'!$L10+'Summary, PPI''s'!$L9)/('Predicted PPIs'!W10+'Predicted PPIs'!W9)))*IF(M$94=".", 1, (M10/M9)^(('Summary, PPI''s'!$M10+'Summary, PPI''s'!$M9)/('Predicted PPIs'!W10+'Predicted PPIs'!W9)))*IF(B$94=".", 1, (B10/B9)^(('Summary, PPI''s'!$B10+'Summary, PPI''s'!$B9)/('Predicted PPIs'!W10+'Predicted PPIs'!W9)))*IF(C$94=".", 1, (C10/C9)^(('Summary, PPI''s'!$C10+'Summary, PPI''s'!$C9)/('Predicted PPIs'!W10+'Predicted PPIs'!W9)))*IF(D$94=".", 1, (D10/D9)^(('Summary, PPI''s'!$D10+'Summary, PPI''s'!$D9)/('Predicted PPIs'!W10+'Predicted PPIs'!W9)))*IF(N$94=".", 1, (N10/N9)^(('Summary, PPI''s'!$N10+'Summary, PPI''s'!$N9)/('Predicted PPIs'!W10+'Predicted PPIs'!W9)))*IF(O$94=".", 1, (O10/O9)^(('Summary, PPI''s'!$O10+'Summary, PPI''s'!$O9)/('Predicted PPIs'!W10+'Predicted PPIs'!W9)))*IF(P$94=".", 1, (P10/P9)^(('Summary, PPI''s'!$P10+'Summary, PPI''s'!$P9)/('Predicted PPIs'!W10+'Predicted PPIs'!W9)))</f>
        <v>102.52351861353524</v>
      </c>
      <c r="AF10" s="4">
        <f>AF9*IF(E$123=".", 1, (E10/E9)^(('Summary, PPI''s'!$E10+'Summary, PPI''s'!$E9)/('Predicted PPIs'!X10+'Predicted PPIs'!X9)))*IF(F$123=".", 1, (F10/F9)^(('Summary, PPI''s'!$F10+'Summary, PPI''s'!$F9)/('Predicted PPIs'!X10+'Predicted PPIs'!X9)))*IF(G$123=".", 1, (G10/G9)^(('Summary, PPI''s'!$G10+'Summary, PPI''s'!$G9)/('Predicted PPIs'!X10+'Predicted PPIs'!X9)))*IF(H$123=".", 1, (H10/H9)^(('Summary, PPI''s'!$H10+'Summary, PPI''s'!$H9)/('Predicted PPIs'!X10+'Predicted PPIs'!X9)))*IF(I$123=".", 1, (I10/I9)^(('Summary, PPI''s'!$I10+'Summary, PPI''s'!$I9)/('Predicted PPIs'!X10+'Predicted PPIs'!X9)))*IF(J$123=".", 1, (J10/J9)^(('Summary, PPI''s'!$J10+'Summary, PPI''s'!$J9)/('Predicted PPIs'!X10+'Predicted PPIs'!X9)))*IF(K$123=".", 1, (K10/K9)^(('Summary, PPI''s'!$K10+'Summary, PPI''s'!$K9)/('Predicted PPIs'!X10+'Predicted PPIs'!X9)))*IF(L$123=".", 1, (L10/L9)^(('Summary, PPI''s'!$L10+'Summary, PPI''s'!$L9)/('Predicted PPIs'!X10+'Predicted PPIs'!X9)))*IF(M$123=".", 1, (M10/M9)^(('Summary, PPI''s'!$M10+'Summary, PPI''s'!$M9)/('Predicted PPIs'!X10+'Predicted PPIs'!X9)))*IF(B$123=".", 1, (B10/B9)^(('Summary, PPI''s'!$B10+'Summary, PPI''s'!$B9)/('Predicted PPIs'!X10+'Predicted PPIs'!X9)))*IF(C$123=".", 1, (C10/C9)^(('Summary, PPI''s'!$C10+'Summary, PPI''s'!$C9)/('Predicted PPIs'!X10+'Predicted PPIs'!X9)))*IF(D$123=".", 1, (D10/D9)^(('Summary, PPI''s'!$D10+'Summary, PPI''s'!$D9)/('Predicted PPIs'!X10+'Predicted PPIs'!X9)))*IF(N$123=".", 1, (N10/N9)^(('Summary, PPI''s'!$N10+'Summary, PPI''s'!$N9)/('Predicted PPIs'!X10+'Predicted PPIs'!X9)))*IF(O$123=".", 1, (O10/O9)^(('Summary, PPI''s'!$O10+'Summary, PPI''s'!$O9)/('Predicted PPIs'!X10+'Predicted PPIs'!X9)))*IF(P$123=".", 1, (P10/P9)^(('Summary, PPI''s'!$P10+'Summary, PPI''s'!$P9)/('Predicted PPIs'!X10+'Predicted PPIs'!X9)))</f>
        <v>99.383048375202819</v>
      </c>
      <c r="AH10" s="13">
        <f t="shared" si="32"/>
        <v>107.23243375882953</v>
      </c>
      <c r="AJ10" s="4">
        <v>11363.5</v>
      </c>
      <c r="AK10" s="4">
        <v>-0.48899999999999999</v>
      </c>
      <c r="AL10" s="4">
        <v>-1337.271</v>
      </c>
      <c r="AM10" s="4">
        <v>-19.399000000000001</v>
      </c>
      <c r="AN10" s="4">
        <v>12292.4</v>
      </c>
      <c r="AO10" s="4">
        <v>2701.4</v>
      </c>
      <c r="AP10" s="4">
        <f>1155.22+0.004+0.304+14.698-1231.765</f>
        <v>-61.538999999999987</v>
      </c>
      <c r="AQ10" s="4">
        <f>1131.457+22.545+13.011+47.057-1678.165</f>
        <v>-464.0949999999998</v>
      </c>
      <c r="AR10" s="4">
        <v>-52.67</v>
      </c>
      <c r="AS10" s="4">
        <v>-70.323999999999998</v>
      </c>
      <c r="AT10" s="4">
        <v>101.354</v>
      </c>
      <c r="AU10" s="4">
        <v>104.886</v>
      </c>
      <c r="AV10" s="4">
        <v>102.208</v>
      </c>
      <c r="AW10" s="4">
        <v>100.184</v>
      </c>
      <c r="AX10" s="4">
        <v>101.102</v>
      </c>
      <c r="AY10" s="4">
        <v>101.09099999999999</v>
      </c>
      <c r="AZ10" s="4">
        <v>101.455</v>
      </c>
      <c r="BA10" s="4">
        <v>101.233</v>
      </c>
      <c r="BB10" s="4">
        <v>100.127</v>
      </c>
      <c r="BC10" s="4">
        <v>100.023</v>
      </c>
      <c r="BG10" s="4">
        <f>BG11*((AJ10/AT10)/(AJ11/AT11))^((AJ10+AJ11)/SUM(AJ10:AS11))*((AK10/AU10)/(AK11/AU11))^((AK10+AK11)/SUM(AJ10:AS11))*((AL10/AV10)/(AL11/AV11))^((AL10+AL11)/SUM(AJ10:AS11))*((AM10/AW10)/(AM11/AW11))^((AM10+AM11)/SUM(AJ10:AS11))*((AN10/AX10)/(AN11/AX11))^((AN10+AN11)/SUM(AJ10:AS11))*((AO10/AY10)/(AO11/AY11))^((AO10+AO11)/SUM(AJ10:AS11))*((AP10/AZ10)/(AP11/AZ11))^((AP10+AP11)/SUM(AJ10:AS11))*((AQ10/BA10)/(AQ11/BA11))^((AQ10+AQ11)/SUM(AJ10:AS11))*((AR10/BB10)/(AR11/BB11))^((AR10+AR11)/SUM(AJ10:AS11))*((AS10/BC10)/(AS11/BC11))^((AS10+AS11)/SUM(AJ10:AS11))</f>
        <v>102.997929048099</v>
      </c>
      <c r="BI10" s="4">
        <v>316400538</v>
      </c>
      <c r="BJ10" s="4">
        <f>'[2]Ordinary Experience'!$E$416</f>
        <v>19.496030756999655</v>
      </c>
      <c r="BL10" s="4">
        <f t="shared" si="0"/>
        <v>102.02573070097164</v>
      </c>
      <c r="BM10" s="4">
        <f t="shared" si="34"/>
        <v>2.0257307009716286E-2</v>
      </c>
      <c r="BO10" s="4">
        <f>IF(OR('Summary, hourly ad costs'!R10=-9999,'Summary, PPI''s'!R10="."),".",(('Summary, hourly ad costs'!B10/'Summary, hourly ad costs'!R10)*100/('Summary, hourly ad costs'!B$11/'Summary, hourly ad costs'!R$11))/('Summary, PPI''s'!R10))</f>
        <v>1.0244969176956895</v>
      </c>
      <c r="BP10" s="4" t="str">
        <f>IF(OR('Summary, hourly ad costs'!S10=-9999,'Summary, PPI''s'!S10="."),".",(('Summary, hourly ad costs'!C10/'Summary, hourly ad costs'!S10)*100/('Summary, hourly ad costs'!C$11/'Summary, hourly ad costs'!S$11))/('Summary, PPI''s'!S10))</f>
        <v>.</v>
      </c>
      <c r="BQ10" s="4" t="str">
        <f>IF(OR('Summary, hourly ad costs'!T10=-9999,'Summary, PPI''s'!T10="."),".",(('Summary, hourly ad costs'!D10/'Summary, hourly ad costs'!T10)*100/('Summary, hourly ad costs'!D$11/'Summary, hourly ad costs'!T$11))/('Summary, PPI''s'!T10))</f>
        <v>.</v>
      </c>
      <c r="BR10" s="4">
        <f>IF(OR('Summary, hourly ad costs'!U10=-9999,'Summary, PPI''s'!U10="."),".",(('Summary, hourly ad costs'!E10/'Summary, hourly ad costs'!U10)*100/('Summary, hourly ad costs'!E$11/'Summary, hourly ad costs'!U$11))/('Summary, PPI''s'!U10))</f>
        <v>0.9112167702755839</v>
      </c>
      <c r="BS10" s="4">
        <f>IF(OR('Summary, hourly ad costs'!V10=-9999,'Summary, PPI''s'!V10="."),".",(('Summary, hourly ad costs'!F10/'Summary, hourly ad costs'!V10)*100/('Summary, hourly ad costs'!F$11/'Summary, hourly ad costs'!V$11))/('Summary, PPI''s'!V10))</f>
        <v>0.91128237717881899</v>
      </c>
      <c r="BT10" s="4" t="str">
        <f>IF(OR('Summary, hourly ad costs'!W10=-9999,'Summary, PPI''s'!W10="."),".",(('Summary, hourly ad costs'!G10/'Summary, hourly ad costs'!W10)*100/('Summary, hourly ad costs'!G$11/'Summary, hourly ad costs'!W$11))/('Summary, PPI''s'!W10))</f>
        <v>.</v>
      </c>
      <c r="BU10" s="4">
        <f>IF(OR('Summary, hourly ad costs'!X10=-9999,'Summary, PPI''s'!X10="."),".",(('Summary, hourly ad costs'!H10/'Summary, hourly ad costs'!X10)*100/('Summary, hourly ad costs'!H$11/'Summary, hourly ad costs'!X$11))/('Summary, PPI''s'!X10))</f>
        <v>1.0226943214322481</v>
      </c>
      <c r="BV10" s="4">
        <f>IF(OR('Summary, hourly ad costs'!Y10=-9999,'Summary, PPI''s'!Y10="."),".",(('Summary, hourly ad costs'!I10/'Summary, hourly ad costs'!Y10)*100/('Summary, hourly ad costs'!I$11/'Summary, hourly ad costs'!Y$11))/('Summary, PPI''s'!Y10))</f>
        <v>0.91938754134455158</v>
      </c>
      <c r="BW10" s="4">
        <f>IF(OR('Summary, hourly ad costs'!Z10=-9999,'Summary, PPI''s'!Z10="."),".",(('Summary, hourly ad costs'!J10/'Summary, hourly ad costs'!Z10)*100/('Summary, hourly ad costs'!J$11/'Summary, hourly ad costs'!Z$11))/('Summary, PPI''s'!Z10))</f>
        <v>1.0975816652400525</v>
      </c>
      <c r="BX10" s="4">
        <f>IF(OR('Summary, hourly ad costs'!AA10=-9999,'Summary, PPI''s'!AA10="."),".",(('Summary, hourly ad costs'!K10/'Summary, hourly ad costs'!AA10)*100/('Summary, hourly ad costs'!K$11/'Summary, hourly ad costs'!AA$11))/('Summary, PPI''s'!AA10))</f>
        <v>0.95250535488554</v>
      </c>
      <c r="BY10" s="4">
        <f>IF(OR('Summary, hourly ad costs'!AB10=-9999,'Summary, PPI''s'!AB10="."),".",(('Summary, hourly ad costs'!L10/'Summary, hourly ad costs'!AB10)*100/('Summary, hourly ad costs'!L$11/'Summary, hourly ad costs'!AB$11))/('Summary, PPI''s'!AB10))</f>
        <v>1.1659509455725143</v>
      </c>
      <c r="BZ10" s="4">
        <f>IF(OR('Summary, hourly ad costs'!AC10=-9999,'Summary, PPI''s'!AC10="."),".",(('Summary, hourly ad costs'!M10/'Summary, hourly ad costs'!AC10)*100/('Summary, hourly ad costs'!M$11/'Summary, hourly ad costs'!AC$11))/('Summary, PPI''s'!AC10))</f>
        <v>0.92236930859043686</v>
      </c>
      <c r="CA10" s="4" t="str">
        <f>IF(OR('Summary, hourly ad costs'!AD10=-9999,'Summary, PPI''s'!AD10="."),".",(('Summary, hourly ad costs'!N10/'Summary, hourly ad costs'!AD10)*100/('Summary, hourly ad costs'!N$11/'Summary, hourly ad costs'!AD$11))/('Summary, PPI''s'!AD10))</f>
        <v>.</v>
      </c>
      <c r="CB10" s="4" t="str">
        <f>IF(OR('Summary, hourly ad costs'!AE10=-9999,'Summary, PPI''s'!AE10="."),".",(('Summary, hourly ad costs'!O10/'Summary, hourly ad costs'!AE10)*100/('Summary, hourly ad costs'!O$11/'Summary, hourly ad costs'!AE$11))/('Summary, PPI''s'!AE10))</f>
        <v>.</v>
      </c>
      <c r="CC10" s="4" t="str">
        <f>IF(OR('Summary, hourly ad costs'!AF10=-9999,'Summary, PPI''s'!AF10="."),".",(('Summary, hourly ad costs'!P10/'Summary, hourly ad costs'!AF10)*100/('Summary, hourly ad costs'!P$11/'Summary, hourly ad costs'!AF$11))/('Summary, PPI''s'!AF10))</f>
        <v>.</v>
      </c>
      <c r="CE10" s="4">
        <f t="shared" si="1"/>
        <v>2.4496917695689513E-2</v>
      </c>
      <c r="CF10" s="4" t="str">
        <f t="shared" si="2"/>
        <v>.</v>
      </c>
      <c r="CG10" s="4" t="str">
        <f t="shared" si="3"/>
        <v>.</v>
      </c>
      <c r="CH10" s="4">
        <f t="shared" si="4"/>
        <v>-8.8783229724416102E-2</v>
      </c>
      <c r="CI10" s="4">
        <f t="shared" si="5"/>
        <v>-8.871762282118123E-2</v>
      </c>
      <c r="CJ10" s="4" t="str">
        <f t="shared" si="6"/>
        <v>.</v>
      </c>
      <c r="CK10" s="4">
        <f t="shared" si="7"/>
        <v>2.2694321432248143E-2</v>
      </c>
      <c r="CL10" s="4">
        <f t="shared" si="8"/>
        <v>-8.0612458655448416E-2</v>
      </c>
      <c r="CM10" s="4">
        <f t="shared" si="9"/>
        <v>9.7581665240052518E-2</v>
      </c>
      <c r="CN10" s="4">
        <f t="shared" si="10"/>
        <v>-4.7494645114459999E-2</v>
      </c>
      <c r="CO10" s="4">
        <f t="shared" si="11"/>
        <v>0.16595094557251455</v>
      </c>
      <c r="CP10" s="4">
        <f t="shared" si="12"/>
        <v>-7.7630691409563135E-2</v>
      </c>
      <c r="CQ10" s="4" t="str">
        <f t="shared" si="13"/>
        <v>.</v>
      </c>
      <c r="CR10" s="4" t="str">
        <f t="shared" si="14"/>
        <v>.</v>
      </c>
      <c r="CS10" s="4" t="str">
        <f t="shared" si="15"/>
        <v>.</v>
      </c>
      <c r="CU10" s="5">
        <f>IF(CU9=".", ".", IF('Summary, PPI''s'!R10=".",IF(OR('Summary, hourly ad costs'!R10=-9999,'Summary, hourly ad costs'!R10=0), ".", 'Predicted PPIs'!CU9*('Summary, hourly ad costs'!B10/'Summary, hourly ad costs'!R10)/('Summary, hourly ad costs'!B9/'Summary, hourly ad costs'!R9)/(1-CE9)), 'Summary, PPI''s'!R10))</f>
        <v>100.0266737796746</v>
      </c>
      <c r="CV10" s="5">
        <f>IF(CV9=".", ".", IF('Summary, PPI''s'!S10=".",IF(OR('Summary, hourly ad costs'!S10=-9999,'Summary, hourly ad costs'!S10=0), ".", 'Predicted PPIs'!CV9*('Summary, hourly ad costs'!C10/'Summary, hourly ad costs'!S10)/('Summary, hourly ad costs'!C9/'Summary, hourly ad costs'!S9)/(1-CF9)), 'Summary, PPI''s'!S10))</f>
        <v>100.0266737796746</v>
      </c>
      <c r="CW10" s="5">
        <f>IF(CW9=".", ".", IF('Summary, PPI''s'!T10=".",IF(OR('Summary, hourly ad costs'!T10=-9999,'Summary, hourly ad costs'!T10=0), ".", 'Predicted PPIs'!CW9*('Summary, hourly ad costs'!D10/'Summary, hourly ad costs'!T10)/('Summary, hourly ad costs'!D9/'Summary, hourly ad costs'!T9)/(1-CG9)), 'Summary, PPI''s'!T10))</f>
        <v>101.36910454522577</v>
      </c>
      <c r="CX10" s="5">
        <f>IF(CX9=".", ".", IF('Summary, PPI''s'!U10=".",IF(OR('Summary, hourly ad costs'!U10=-9999,'Summary, hourly ad costs'!U10=0), ".", 'Predicted PPIs'!CX9*('Summary, hourly ad costs'!E10/'Summary, hourly ad costs'!U10)/('Summary, hourly ad costs'!E9/'Summary, hourly ad costs'!U9)/(1-CH9)), 'Summary, PPI''s'!U10))</f>
        <v>100.18191817912594</v>
      </c>
      <c r="CY10" s="5">
        <f>IF(CY9=".", ".", IF('Summary, PPI''s'!V10=".",IF(OR('Summary, hourly ad costs'!V10=-9999,'Summary, hourly ad costs'!V10=0), ".", 'Predicted PPIs'!CY9*('Summary, hourly ad costs'!F10/'Summary, hourly ad costs'!V10)/('Summary, hourly ad costs'!F9/'Summary, hourly ad costs'!V9)/(1-CI9)), 'Summary, PPI''s'!V10))</f>
        <v>102.6463198649038</v>
      </c>
      <c r="CZ10" s="5">
        <f>IF(CZ9=".", ".", IF('Summary, PPI''s'!W10=".",IF(OR('Summary, hourly ad costs'!W10=-9999,'Summary, hourly ad costs'!W10=0), ".", 'Predicted PPIs'!CZ9*('Summary, hourly ad costs'!G10/'Summary, hourly ad costs'!W10)/('Summary, hourly ad costs'!G9/'Summary, hourly ad costs'!W9)/(1-CJ9)), 'Summary, PPI''s'!W10))</f>
        <v>102.01448552913234</v>
      </c>
      <c r="DA10" s="5">
        <f>IF(DA9=".", ".", IF('Summary, PPI''s'!X10=".",IF(OR('Summary, hourly ad costs'!X10=-9999,'Summary, hourly ad costs'!X10=0), ".", 'Predicted PPIs'!DA9*('Summary, hourly ad costs'!H10/'Summary, hourly ad costs'!X10)/('Summary, hourly ad costs'!H9/'Summary, hourly ad costs'!X9)/(1-CK9)), 'Summary, PPI''s'!X10))</f>
        <v>101.155</v>
      </c>
      <c r="DB10" s="5">
        <f>IF(DB9=".", ".", IF('Summary, PPI''s'!Y10=".",IF(OR('Summary, hourly ad costs'!Y10=-9999,'Summary, hourly ad costs'!Y10=0), ".", 'Predicted PPIs'!DB9*('Summary, hourly ad costs'!I10/'Summary, hourly ad costs'!Y10)/('Summary, hourly ad costs'!I9/'Summary, hourly ad costs'!Y9)/(1-CL9)), 'Summary, PPI''s'!Y10))</f>
        <v>103.10876487347078</v>
      </c>
      <c r="DC10" s="5">
        <f>IF(DC9=".", ".", IF('Summary, PPI''s'!Z10=".",IF(OR('Summary, hourly ad costs'!Z10=-9999,'Summary, hourly ad costs'!Z10=0), ".", 'Predicted PPIs'!DC9*('Summary, hourly ad costs'!J10/'Summary, hourly ad costs'!Z10)/('Summary, hourly ad costs'!J9/'Summary, hourly ad costs'!Z9)/(1-CM9)), 'Summary, PPI''s'!Z10))</f>
        <v>96.485411140583537</v>
      </c>
      <c r="DD10" s="5">
        <f>IF(DD9=".", ".", IF('Summary, PPI''s'!AA10=".",IF(OR('Summary, hourly ad costs'!AA10=-9999,'Summary, hourly ad costs'!AA10=0), ".", 'Predicted PPIs'!DD9*('Summary, hourly ad costs'!K10/'Summary, hourly ad costs'!AA10)/('Summary, hourly ad costs'!K9/'Summary, hourly ad costs'!AA9)/(1-CN9)), 'Summary, PPI''s'!AA10))</f>
        <v>99.215520622755918</v>
      </c>
      <c r="DE10" s="5">
        <f>IF(DE9=".", ".", IF('Summary, PPI''s'!AB10=".",IF(OR('Summary, hourly ad costs'!AB10=-9999,'Summary, hourly ad costs'!AB10=0), ".", 'Predicted PPIs'!DE9*('Summary, hourly ad costs'!L10/'Summary, hourly ad costs'!AB10)/('Summary, hourly ad costs'!L9/'Summary, hourly ad costs'!AB9)/(1-CO9)), 'Summary, PPI''s'!AB10))</f>
        <v>84.332706766917283</v>
      </c>
      <c r="DF10" s="5">
        <f>IF(DF9=".", ".", IF('Summary, PPI''s'!AC10=".",IF(OR('Summary, hourly ad costs'!AC10=-9999,'Summary, hourly ad costs'!AC10=0), ".", 'Predicted PPIs'!DF9*('Summary, hourly ad costs'!M10/'Summary, hourly ad costs'!AC10)/('Summary, hourly ad costs'!M9/'Summary, hourly ad costs'!AC9)/(1-CP9)), 'Summary, PPI''s'!AC10))</f>
        <v>100.2694963786424</v>
      </c>
      <c r="DG10" s="5">
        <f>IF(DG9=".", ".", IF('Summary, PPI''s'!AD10=".",IF(OR('Summary, hourly ad costs'!AD10=-9999,'Summary, hourly ad costs'!AD10=0), ".", 'Predicted PPIs'!DG9*('Summary, hourly ad costs'!N10/'Summary, hourly ad costs'!AD10)/('Summary, hourly ad costs'!N9/'Summary, hourly ad costs'!AD9)/(1-CQ9)), 'Summary, PPI''s'!AD10))</f>
        <v>101.52930637317635</v>
      </c>
      <c r="DH10" s="5">
        <f>IF(DH9=".", ".", IF('Summary, PPI''s'!AE10=".",IF(OR('Summary, hourly ad costs'!AE10=-9999,'Summary, hourly ad costs'!AE10=0), ".", 'Predicted PPIs'!DH9*('Summary, hourly ad costs'!O10/'Summary, hourly ad costs'!AE10)/('Summary, hourly ad costs'!O9/'Summary, hourly ad costs'!AE9)/(1-CR9)), 'Summary, PPI''s'!AE10))</f>
        <v>102.179</v>
      </c>
      <c r="DI10" s="5">
        <f>IF(DI9=".", ".", IF('Summary, PPI''s'!AF10=".",IF(OR('Summary, hourly ad costs'!AF10=-9999,'Summary, hourly ad costs'!AF10=0), ".", 'Predicted PPIs'!DI9*('Summary, hourly ad costs'!P10/'Summary, hourly ad costs'!AF10)/('Summary, hourly ad costs'!P9/'Summary, hourly ad costs'!AF9)/(1-CS9)), 'Summary, PPI''s'!AF10))</f>
        <v>102.05500000000001</v>
      </c>
      <c r="DK10" s="4">
        <v>102.67400000000001</v>
      </c>
      <c r="DM10" s="5">
        <f t="shared" si="16"/>
        <v>-2.5783803302933617E-2</v>
      </c>
      <c r="DN10" s="5">
        <f t="shared" si="17"/>
        <v>-2.5783803302933617E-2</v>
      </c>
      <c r="DO10" s="5">
        <f t="shared" si="18"/>
        <v>-1.2709112869609296E-2</v>
      </c>
      <c r="DP10" s="5">
        <f t="shared" si="19"/>
        <v>-2.4271790529969195E-2</v>
      </c>
      <c r="DQ10" s="5">
        <f t="shared" si="20"/>
        <v>-2.695924488789192E-4</v>
      </c>
      <c r="DR10" s="5">
        <f t="shared" si="21"/>
        <v>-6.4233834356084429E-3</v>
      </c>
      <c r="DS10" s="5">
        <f t="shared" si="22"/>
        <v>-1.4794397802754378E-2</v>
      </c>
      <c r="DT10" s="5">
        <f t="shared" si="23"/>
        <v>4.2344203349511389E-3</v>
      </c>
      <c r="DU10" s="5">
        <f t="shared" si="24"/>
        <v>-6.0274157619421342E-2</v>
      </c>
      <c r="DV10" s="5">
        <f t="shared" si="25"/>
        <v>-3.3684081434872448E-2</v>
      </c>
      <c r="DW10" s="5">
        <f t="shared" si="26"/>
        <v>-0.17863620033389904</v>
      </c>
      <c r="DX10" s="5">
        <f t="shared" si="27"/>
        <v>-2.3418817045772089E-2</v>
      </c>
      <c r="DY10" s="5">
        <f t="shared" si="28"/>
        <v>-1.1148816904217762E-2</v>
      </c>
      <c r="DZ10" s="5">
        <f t="shared" si="29"/>
        <v>-4.821084208270876E-3</v>
      </c>
      <c r="EA10" s="5">
        <f t="shared" si="30"/>
        <v>-6.0287901513528253E-3</v>
      </c>
      <c r="EC10" s="1">
        <f t="shared" si="35"/>
        <v>100.0266737796746</v>
      </c>
      <c r="ED10" s="1">
        <f t="shared" si="36"/>
        <v>100.0266737796746</v>
      </c>
      <c r="EE10" s="1">
        <f t="shared" si="37"/>
        <v>101.36910454522577</v>
      </c>
      <c r="EF10" s="1">
        <f t="shared" si="38"/>
        <v>100.18191817912594</v>
      </c>
      <c r="EG10" s="1">
        <f t="shared" si="39"/>
        <v>102.6463198649038</v>
      </c>
      <c r="EH10" s="1">
        <f t="shared" si="40"/>
        <v>102.01448552913234</v>
      </c>
      <c r="EI10" s="1">
        <f t="shared" si="41"/>
        <v>101.155</v>
      </c>
      <c r="EJ10" s="1">
        <f t="shared" si="42"/>
        <v>103.10876487347078</v>
      </c>
      <c r="EK10" s="1">
        <f t="shared" si="43"/>
        <v>96.485411140583537</v>
      </c>
      <c r="EL10" s="1">
        <f t="shared" si="44"/>
        <v>99.215520622755918</v>
      </c>
      <c r="EM10" s="1">
        <f t="shared" si="45"/>
        <v>84.332706766917283</v>
      </c>
      <c r="EN10" s="1">
        <f t="shared" si="46"/>
        <v>100.2694963786424</v>
      </c>
      <c r="EO10" s="1">
        <f t="shared" si="47"/>
        <v>101.52930637317635</v>
      </c>
      <c r="EP10" s="1">
        <f t="shared" si="48"/>
        <v>102.179</v>
      </c>
      <c r="EQ10" s="1">
        <f t="shared" si="49"/>
        <v>102.05500000000001</v>
      </c>
      <c r="ES10" s="1">
        <f>IF(EF$26=".", 0, 'Summary, PPI''s'!E10)+IF(EG$26=".", 0, 'Summary, PPI''s'!F10)+IF(EH$26=".", 0, 'Summary, PPI''s'!G10)+IF(EI$26=".", 0, 'Summary, PPI''s'!H10)+IF(EJ$26=".", 0, 'Summary, PPI''s'!I10)+IF(EK$26=".", 0, 'Summary, PPI''s'!J10)+IF(EL$26=".", 0, 'Summary, PPI''s'!K10)+IF(EM$26=".", 0, 'Summary, PPI''s'!L10)+IF(EN$26=".", 0, 'Summary, PPI''s'!M10)+IF(EC$26=".", 0, 'Summary, PPI''s'!B10)+IF(ED$26=".", 0, 'Summary, PPI''s'!C10)+IF(EE$26=".", 0, 'Summary, PPI''s'!D10)+IF(EO$26=".", 0, 'Summary, PPI''s'!N10)+IF(EP$26=".", 0, 'Summary, PPI''s'!O10)+IF(EQ$26=".", 0, 'Summary, PPI''s'!P10)</f>
        <v>338230653.9874199</v>
      </c>
      <c r="ET10" s="1">
        <f>'Summary, hourly ad costs'!E10+'Summary, hourly ad costs'!F10+'Summary, hourly ad costs'!H10+'Summary, hourly ad costs'!I10+'Summary, hourly ad costs'!J10+'Summary, hourly ad costs'!K10+'Summary, hourly ad costs'!L10+'Summary, hourly ad costs'!M10+'Summary, hourly ad costs'!B10</f>
        <v>181600104.52742416</v>
      </c>
      <c r="EV10" s="13">
        <f>EV9*IF(EF$26=".", 1, (EF10/EF9)^(('Summary, PPI''s'!$E10+'Summary, PPI''s'!$E9)/('Predicted PPIs'!ES10+'Predicted PPIs'!ES9)))*IF(EG$26=".", 1, (EG10/EG9)^(('Summary, PPI''s'!$F10+'Summary, PPI''s'!$F9)/('Predicted PPIs'!ES10+'Predicted PPIs'!ES9)))*IF(EH$26=".", 1, (EH10/EH9)^(('Summary, PPI''s'!$G10+'Summary, PPI''s'!$G9)/('Predicted PPIs'!ES10+'Predicted PPIs'!ES9)))*IF(EI$26=".", 1, (EI10/EI9)^(('Summary, PPI''s'!$H10+'Summary, PPI''s'!$H9)/('Predicted PPIs'!ES10+'Predicted PPIs'!ES9)))*IF(EJ$26=".", 1, (EJ10/EJ9)^(('Summary, PPI''s'!$I10+'Summary, PPI''s'!$I9)/('Predicted PPIs'!ES10+'Predicted PPIs'!ES9)))*IF(EK$26=".", 1, (EK10/EK9)^(('Summary, PPI''s'!$J10+'Summary, PPI''s'!$J9)/('Predicted PPIs'!ES10+'Predicted PPIs'!ES9)))*IF(EL$26=".", 1, (EL10/EL9)^(('Summary, PPI''s'!$K10+'Summary, PPI''s'!$K9)/('Predicted PPIs'!ES10+'Predicted PPIs'!ES9)))*IF(EM$26=".", 1, (EM10/EM9)^(('Summary, PPI''s'!$L10+'Summary, PPI''s'!$L9)/('Predicted PPIs'!ES10+'Predicted PPIs'!ES9)))*IF(EN$26=".", 1, (EN10/EN9)^(('Summary, PPI''s'!$M10+'Summary, PPI''s'!$M9)/('Predicted PPIs'!ES10+'Predicted PPIs'!ES9)))*IF(EC$26=".", 1, (EC10/EC9)^(('Summary, PPI''s'!$B10+'Summary, PPI''s'!$B9)/('Predicted PPIs'!ES10+'Predicted PPIs'!ES9)))*IF(ED$26=".", 1, (ED10/ED9)^(('Summary, PPI''s'!$C10+'Summary, PPI''s'!$C9)/('Predicted PPIs'!ES10+'Predicted PPIs'!ES9)))*IF(EE$26=".", 1, (EE10/EE9)^(('Summary, PPI''s'!$D10+'Summary, PPI''s'!$D9)/('Predicted PPIs'!ES10+'Predicted PPIs'!ES9)))*IF(EO$26=".", 1, (EO10/EO9)^(('Summary, PPI''s'!$N10+'Summary, PPI''s'!$N9)/('Predicted PPIs'!ES10+'Predicted PPIs'!ES9)))*IF(EP$26=".", 1, (EP10/EP9)^(('Summary, PPI''s'!$O10+'Summary, PPI''s'!$O9)/('Predicted PPIs'!ES10+'Predicted PPIs'!ES9)))*IF(EQ$26=".", 1, (EQ10/EQ9)^(('Summary, PPI''s'!$P10+'Summary, PPI''s'!$P9)/('Predicted PPIs'!ES10+'Predicted PPIs'!ES9)))</f>
        <v>107.23243375882953</v>
      </c>
      <c r="EW10" s="13">
        <f>EW9*IF(EF$26=".", 1, (EF10/EF9)^(('Summary, PPI''s'!$E10+'Summary, PPI''s'!$E9)/('Predicted PPIs'!ET10+'Predicted PPIs'!ET9)))*IF(EG$26=".", 1, (EG10/EG9)^(('Summary, PPI''s'!$F10+'Summary, PPI''s'!$F9)/('Predicted PPIs'!ET10+'Predicted PPIs'!ET9)))*IF(EH$26=".", 1, (EH10/EH9)^(('Summary, PPI''s'!$G10+'Summary, PPI''s'!$G9)/('Predicted PPIs'!ET10+'Predicted PPIs'!ET9)))*IF(EK$26=".", 1, (EK10/EK9)^(('Summary, PPI''s'!$J10+'Summary, PPI''s'!$J9)/('Predicted PPIs'!ET10+'Predicted PPIs'!ET9)))*IF(EL$26=".", 1, (EL10/EL9)^(('Summary, PPI''s'!$K10+'Summary, PPI''s'!$K9)/('Predicted PPIs'!ET10+'Predicted PPIs'!ET9)))*IF(EM$26=".", 1, (EM10/EM9)^(('Summary, PPI''s'!$L10+'Summary, PPI''s'!$L9)/('Predicted PPIs'!ET10+'Predicted PPIs'!ET9)))*IF(EN$26=".", 1, (EN10/EN9)^(('Summary, PPI''s'!$M10+'Summary, PPI''s'!$M9)/('Predicted PPIs'!ET10+'Predicted PPIs'!ET9)))*IF(EC$26=".", 1, (EC10/EC9)^(('Summary, PPI''s'!$B10+'Summary, PPI''s'!$B9)/('Predicted PPIs'!ET10+'Predicted PPIs'!ET9)))</f>
        <v>118.0472216612162</v>
      </c>
      <c r="EY10" s="2"/>
    </row>
    <row r="11" spans="1:155" x14ac:dyDescent="0.3">
      <c r="A11" s="4">
        <v>2012</v>
      </c>
      <c r="B11" s="10">
        <f>IF(B10=".", ".", IF('Summary, PPI''s'!R11=".",IF(OR('Summary, hourly ad costs'!R11=-9999,'Summary, hourly ad costs'!R11=0), ".", 'Predicted PPIs'!B10*('Summary, hourly ad costs'!B11/'Summary, hourly ad costs'!R11)/('Summary, hourly ad costs'!B10/'Summary, hourly ad costs'!R10)), 'Summary, PPI''s'!R11))</f>
        <v>100</v>
      </c>
      <c r="C11" s="10">
        <f>IF(C10=".", ".", IF('Summary, PPI''s'!S11=".",IF(OR('Summary, hourly ad costs'!S11=-9999,'Summary, hourly ad costs'!S11=0), ".", 'Predicted PPIs'!C10*('Summary, hourly ad costs'!C11/'Summary, hourly ad costs'!S11)/('Summary, hourly ad costs'!C10/'Summary, hourly ad costs'!S10)), 'Summary, PPI''s'!S11))</f>
        <v>100</v>
      </c>
      <c r="D11" s="10">
        <f>IF(D10=".", ".", IF('Summary, PPI''s'!T11=".",IF(OR('Summary, hourly ad costs'!T11=-9999,'Summary, hourly ad costs'!T11=0), ".", 'Predicted PPIs'!D10*('Summary, hourly ad costs'!D11/'Summary, hourly ad costs'!T11)/('Summary, hourly ad costs'!D10/'Summary, hourly ad costs'!T10)), 'Summary, PPI''s'!T11))</f>
        <v>100.00000000000001</v>
      </c>
      <c r="E11" s="10">
        <f>IF(E10=".", ".", IF('Summary, PPI''s'!U11=".",IF(OR('Summary, hourly ad costs'!U11=-9999,'Summary, hourly ad costs'!U11=0), ".", 'Predicted PPIs'!E10*('Summary, hourly ad costs'!E11/'Summary, hourly ad costs'!U11)/('Summary, hourly ad costs'!E10/'Summary, hourly ad costs'!U10)), 'Summary, PPI''s'!U11))</f>
        <v>100</v>
      </c>
      <c r="F11" s="10">
        <f>IF(F10=".", ".", IF('Summary, PPI''s'!V11=".",IF(OR('Summary, hourly ad costs'!V11=-9999,'Summary, hourly ad costs'!V11=0), ".", 'Predicted PPIs'!F10*('Summary, hourly ad costs'!F11/'Summary, hourly ad costs'!V11)/('Summary, hourly ad costs'!F10/'Summary, hourly ad costs'!V10)), 'Summary, PPI''s'!V11))</f>
        <v>99.999999999999986</v>
      </c>
      <c r="G11" s="10">
        <f>IF(G10=".", ".", IF('Summary, PPI''s'!W11=".",IF(OR('Summary, hourly ad costs'!W11=-9999,'Summary, hourly ad costs'!W11=0), ".", 'Predicted PPIs'!G10*('Summary, hourly ad costs'!G11/'Summary, hourly ad costs'!W11)/('Summary, hourly ad costs'!G10/'Summary, hourly ad costs'!W10)), 'Summary, PPI''s'!W11))</f>
        <v>100</v>
      </c>
      <c r="H11" s="10">
        <f>IF(H10=".", ".", IF('Summary, PPI''s'!X11=".",IF(OR('Summary, hourly ad costs'!X11=-9999,'Summary, hourly ad costs'!X11=0), ".", 'Predicted PPIs'!H10*('Summary, hourly ad costs'!H11/'Summary, hourly ad costs'!X11)/('Summary, hourly ad costs'!H10/'Summary, hourly ad costs'!X10)), 'Summary, PPI''s'!X11))</f>
        <v>100</v>
      </c>
      <c r="I11" s="10">
        <f>IF(I10=".", ".", IF('Summary, PPI''s'!Y11=".",IF(OR('Summary, hourly ad costs'!Y11=-9999,'Summary, hourly ad costs'!Y11=0), ".", 'Predicted PPIs'!I10*('Summary, hourly ad costs'!I11/'Summary, hourly ad costs'!Y11)/('Summary, hourly ad costs'!I10/'Summary, hourly ad costs'!Y10)), 'Summary, PPI''s'!Y11))</f>
        <v>100</v>
      </c>
      <c r="J11" s="10">
        <f>IF(J10=".", ".", IF('Summary, PPI''s'!Z11=".",IF(OR('Summary, hourly ad costs'!Z11=-9999,'Summary, hourly ad costs'!Z11=0), ".", 'Predicted PPIs'!J10*('Summary, hourly ad costs'!J11/'Summary, hourly ad costs'!Z11)/('Summary, hourly ad costs'!J10/'Summary, hourly ad costs'!Z10)), 'Summary, PPI''s'!Z11))</f>
        <v>100</v>
      </c>
      <c r="K11" s="10">
        <f>IF(K10=".", ".", IF('Summary, PPI''s'!AA11=".",IF(OR('Summary, hourly ad costs'!AA11=-9999,'Summary, hourly ad costs'!AA11=0), ".", 'Predicted PPIs'!K10*('Summary, hourly ad costs'!K11/'Summary, hourly ad costs'!AA11)/('Summary, hourly ad costs'!K10/'Summary, hourly ad costs'!AA10)), 'Summary, PPI''s'!AA11))</f>
        <v>100</v>
      </c>
      <c r="L11" s="10">
        <f>IF(L10=".", ".", IF('Summary, PPI''s'!AB11=".",IF(OR('Summary, hourly ad costs'!AB11=-9999,'Summary, hourly ad costs'!AB11=0), ".", 'Predicted PPIs'!L10*('Summary, hourly ad costs'!L11/'Summary, hourly ad costs'!AB11)/('Summary, hourly ad costs'!L10/'Summary, hourly ad costs'!AB10)), 'Summary, PPI''s'!AB11))</f>
        <v>100.00000000000001</v>
      </c>
      <c r="M11" s="10">
        <f>IF(M10=".", ".", IF('Summary, PPI''s'!AC11=".",IF(OR('Summary, hourly ad costs'!AC11=-9999,'Summary, hourly ad costs'!AC11=0), ".", 'Predicted PPIs'!M10*('Summary, hourly ad costs'!M11/'Summary, hourly ad costs'!AC11)/('Summary, hourly ad costs'!M10/'Summary, hourly ad costs'!AC10)), 'Summary, PPI''s'!AC11))</f>
        <v>100</v>
      </c>
      <c r="N11" s="10">
        <f>IF(N10=".", ".", IF('Summary, PPI''s'!AD11=".",IF(OR('Summary, hourly ad costs'!AD11=-9999,'Summary, hourly ad costs'!AD11=0), ".", 'Predicted PPIs'!N10*('Summary, hourly ad costs'!N11/'Summary, hourly ad costs'!AD11)/('Summary, hourly ad costs'!N10/'Summary, hourly ad costs'!AD10)), 'Summary, PPI''s'!AD11))</f>
        <v>100</v>
      </c>
      <c r="O11" s="10">
        <f>IF(O10=".", ".", IF('Summary, PPI''s'!AE11=".",IF(OR('Summary, hourly ad costs'!AE11=-9999,'Summary, hourly ad costs'!AE11=0), ".", 'Predicted PPIs'!O10*('Summary, hourly ad costs'!O11/'Summary, hourly ad costs'!AE11)/('Summary, hourly ad costs'!O10/'Summary, hourly ad costs'!AE10)), 'Summary, PPI''s'!AE11))</f>
        <v>100</v>
      </c>
      <c r="P11" s="10">
        <f>IF(P10=".", ".", IF('Summary, PPI''s'!AF11=".",IF(OR('Summary, hourly ad costs'!AF11=-9999,'Summary, hourly ad costs'!AF11=0), ".", 'Predicted PPIs'!P10*('Summary, hourly ad costs'!P11/'Summary, hourly ad costs'!AF11)/('Summary, hourly ad costs'!P10/'Summary, hourly ad costs'!AF10)), 'Summary, PPI''s'!AF11))</f>
        <v>100</v>
      </c>
      <c r="R11" s="1">
        <f>IF(E$26=".", 0, 'Summary, PPI''s'!E11)+IF(F$26=".", 0, 'Summary, PPI''s'!F11)+IF(G$26=".", 0, 'Summary, PPI''s'!G11)+IF(H$26=".", 0, 'Summary, PPI''s'!H11)+IF(I$26=".", 0, 'Summary, PPI''s'!I11)+IF(J$26=".", 0, 'Summary, PPI''s'!J11)+IF(K$26=".", 0, 'Summary, PPI''s'!K11)+IF(L$26=".", 0, 'Summary, PPI''s'!L11)+IF(M$26=".", 0, 'Summary, PPI''s'!M11)+IF(B$26=".", 0, 'Summary, PPI''s'!B11)+IF(C$26=".", 0, 'Summary, PPI''s'!C11)+IF(D$26=".", 0, 'Summary, PPI''s'!D11)+IF(N$26=".", 0, 'Summary, PPI''s'!N11)+IF(O$26=".", 0, 'Summary, PPI''s'!O11)+IF(P$26=".", 0, 'Summary, PPI''s'!P11)</f>
        <v>331948195.00430095</v>
      </c>
      <c r="S11" s="1">
        <f>IF(E$36=".", 0, 'Summary, PPI''s'!E11)+IF(F$36=".", 0, 'Summary, PPI''s'!F11)+IF(G$36=".", 0, 'Summary, PPI''s'!G11)+IF(H$36=".", 0, 'Summary, PPI''s'!H11)+IF(I$36=".", 0, 'Summary, PPI''s'!I11)+IF(J$36=".", 0, 'Summary, PPI''s'!J11)+IF(K$36=".", 0, 'Summary, PPI''s'!K11)+IF(L$36=".", 0, 'Summary, PPI''s'!L11)+IF(M$36=".", 0, 'Summary, PPI''s'!M11)+IF(B$36=".", 0, 'Summary, PPI''s'!B11)+IF(C$36=".", 0, 'Summary, PPI''s'!C11)+IF(D$36=".", 0, 'Summary, PPI''s'!D11)+IF(N$36=".", 0, 'Summary, PPI''s'!N11)+IF(O$36=".", 0, 'Summary, PPI''s'!O11)+IF(P$36=".", 0, 'Summary, PPI''s'!P11)</f>
        <v>285532195.00430095</v>
      </c>
      <c r="T11" s="1">
        <f>IF(E$46=".", 0, 'Summary, PPI''s'!E11)+IF(F$46=".", 0, 'Summary, PPI''s'!F11)+IF(G$46=".", 0, 'Summary, PPI''s'!G11)+IF(H$46=".", 0, 'Summary, PPI''s'!H11)+IF(I$46=".", 0, 'Summary, PPI''s'!I11)+IF(J$46=".", 0, 'Summary, PPI''s'!J11)+IF(K$46=".", 0, 'Summary, PPI''s'!K11)+IF(L$46=".", 0, 'Summary, PPI''s'!L11)+IF(M$46=".", 0, 'Summary, PPI''s'!M11)+IF(B$46=".", 0, 'Summary, PPI''s'!B11)+IF(C$46=".", 0, 'Summary, PPI''s'!C11)+IF(D$46=".", 0, 'Summary, PPI''s'!D11)+IF(N$46=".", 0, 'Summary, PPI''s'!N11)+IF(O$46=".", 0, 'Summary, PPI''s'!O11)+IF(P$46=".", 0, 'Summary, PPI''s'!P11)</f>
        <v>167984622.56595924</v>
      </c>
      <c r="U11" s="1">
        <f>IF(E$60=".", 0, 'Summary, PPI''s'!E11)+IF(F$60=".", 0, 'Summary, PPI''s'!F11)+IF(G$60=".", 0, 'Summary, PPI''s'!G11)+IF(H$60=".", 0, 'Summary, PPI''s'!H11)+IF(I$60=".", 0, 'Summary, PPI''s'!I11)+IF(J$60=".", 0, 'Summary, PPI''s'!J11)+IF(K$60=".", 0, 'Summary, PPI''s'!K11)+IF(L$60=".", 0, 'Summary, PPI''s'!L11)+IF(M$60=".", 0, 'Summary, PPI''s'!M11)+IF(B$60=".", 0, 'Summary, PPI''s'!B11)+IF(C$60=".", 0, 'Summary, PPI''s'!C11)+IF(D$60=".", 0, 'Summary, PPI''s'!D11)+IF(N$60=".", 0, 'Summary, PPI''s'!N11)+IF(O$60=".", 0, 'Summary, PPI''s'!O11)+IF(P$60=".", 0, 'Summary, PPI''s'!P11)</f>
        <v>104652199.85325007</v>
      </c>
      <c r="V11" s="1">
        <f>IF(E$73=".", 0, 'Summary, PPI''s'!E11)+IF(F$73=".", 0, 'Summary, PPI''s'!F11)+IF(G$73=".", 0, 'Summary, PPI''s'!G11)+IF(H$73=".", 0, 'Summary, PPI''s'!H11)+IF(I$73=".", 0, 'Summary, PPI''s'!I11)+IF(J$73=".", 0, 'Summary, PPI''s'!J11)+IF(K$73=".", 0, 'Summary, PPI''s'!K11)+IF(L$73=".", 0, 'Summary, PPI''s'!L11)+IF(M$73=".", 0, 'Summary, PPI''s'!M11)+IF(B$73=".", 0, 'Summary, PPI''s'!B11)+IF(C$73=".", 0, 'Summary, PPI''s'!C11)+IF(D$73=".", 0, 'Summary, PPI''s'!D11)+IF(N$73=".", 0, 'Summary, PPI''s'!N11)+IF(O$73=".", 0, 'Summary, PPI''s'!O11)+IF(P$73=".", 0, 'Summary, PPI''s'!P11)</f>
        <v>89349558.682168767</v>
      </c>
      <c r="W11" s="1">
        <f>IF(E$94=".",0,'Summary, PPI''s'!E11)+IF(F$94=".",0,'Summary, PPI''s'!F11)+IF(G$94=".",0,'Summary, PPI''s'!G11)+IF(H$94=".",0,'Summary, PPI''s'!H11)+IF(I$94=".",0,'Summary, PPI''s'!I11)+IF(J$94=".",0,'Summary, PPI''s'!J11)+IF(K$94=".",0,'Summary, PPI''s'!K11)+IF(L$94=".",0,'Summary, PPI''s'!L11)+IF(M$94=".",0,'Summary, PPI''s'!M11)+IF(B$94=".",0,'Summary, PPI''s'!B11)+IF(C$94=".",0,'Summary, PPI''s'!C11)+IF(D$94=".",0,'Summary, PPI''s'!D11)+IF(N$94=".",0,'Summary, PPI''s'!N11)+IF(O$94=".",0,'Summary, PPI''s'!O11)+IF(P$94=".",0,'Summary, PPI''s'!P11)</f>
        <v>55347979.606884964</v>
      </c>
      <c r="X11" s="1">
        <f>IF(E$123=".", 0, 'Summary, PPI''s'!E11)+IF(F$123=".", 0, 'Summary, PPI''s'!F11)+IF(G$123=".", 0, 'Summary, PPI''s'!G11)+IF(H$123=".", 0, 'Summary, PPI''s'!H11)+IF(I$123=".", 0, 'Summary, PPI''s'!I11)+IF(J$123=".", 0, 'Summary, PPI''s'!J11)+IF(K$123=".", 0, 'Summary, PPI''s'!K11)+IF(L$123=".", 0, 'Summary, PPI''s'!L11)+IF(M$123=".", 0, 'Summary, PPI''s'!M11)+IF(B$123=".", 0, 'Summary, PPI''s'!B11)+IF(C$123=".", 0, 'Summary, PPI''s'!C11)+IF(D$123=".", 0, 'Summary, PPI''s'!D11)+IF(N$123=".", 0, 'Summary, PPI''s'!N11)+IF(O$123=".", 0, 'Summary, PPI''s'!O11)+IF(P$123=".", 0, 'Summary, PPI''s'!P11)</f>
        <v>40381225.936492525</v>
      </c>
      <c r="Z11" s="4">
        <f>Z10*IF(E$26=".", 1, (E11/E10)^(('Summary, PPI''s'!$E11+'Summary, PPI''s'!$E10)/('Predicted PPIs'!R11+'Predicted PPIs'!R10)))*IF(F$26=".", 1, (F11/F10)^(('Summary, PPI''s'!$F11+'Summary, PPI''s'!$F10)/('Predicted PPIs'!R11+'Predicted PPIs'!R10)))*IF(G$26=".", 1, (G11/G10)^(('Summary, PPI''s'!$G11+'Summary, PPI''s'!$G10)/('Predicted PPIs'!R11+'Predicted PPIs'!R10)))*IF(H$26=".", 1, (H11/H10)^(('Summary, PPI''s'!$H11+'Summary, PPI''s'!$H10)/('Predicted PPIs'!R11+'Predicted PPIs'!R10)))*IF(I$26=".", 1, (I11/I10)^(('Summary, PPI''s'!$I11+'Summary, PPI''s'!$I10)/('Predicted PPIs'!R11+'Predicted PPIs'!R10)))*IF(J$26=".", 1, (J11/J10)^(('Summary, PPI''s'!$J11+'Summary, PPI''s'!$J10)/('Predicted PPIs'!R11+'Predicted PPIs'!R10)))*IF(K$26=".", 1, (K11/K10)^(('Summary, PPI''s'!$K11+'Summary, PPI''s'!$K10)/('Predicted PPIs'!R11+'Predicted PPIs'!R10)))*IF(L$26=".", 1, (L11/L10)^(('Summary, PPI''s'!$L11+'Summary, PPI''s'!$L10)/('Predicted PPIs'!R11+'Predicted PPIs'!R10)))*IF(M$26=".", 1, (M11/M10)^(('Summary, PPI''s'!$M11+'Summary, PPI''s'!$M10)/('Predicted PPIs'!R11+'Predicted PPIs'!R10)))*IF(B$26=".", 1, (B11/B10)^(('Summary, PPI''s'!$B11+'Summary, PPI''s'!$B10)/('Predicted PPIs'!R11+'Predicted PPIs'!R10)))*IF(C$26=".", 1, (C11/C10)^(('Summary, PPI''s'!$C11+'Summary, PPI''s'!$C10)/('Predicted PPIs'!R11+'Predicted PPIs'!R10)))*IF(D$26=".", 1, (D11/D10)^(('Summary, PPI''s'!$D11+'Summary, PPI''s'!$D10)/('Predicted PPIs'!R11+'Predicted PPIs'!R10)))*IF(N$26=".", 1, (N11/N10)^(('Summary, PPI''s'!$N11+'Summary, PPI''s'!$N10)/('Predicted PPIs'!R11+'Predicted PPIs'!R10)))*IF(O$26=".", 1, (O11/O10)^(('Summary, PPI''s'!$O11+'Summary, PPI''s'!$O10)/('Predicted PPIs'!R11+'Predicted PPIs'!R10)))*IF(P$26=".", 1, (P11/P10)^(('Summary, PPI''s'!$P11+'Summary, PPI''s'!$P10)/('Predicted PPIs'!R11+'Predicted PPIs'!R10)))</f>
        <v>107.99790942207653</v>
      </c>
      <c r="AA11" s="4">
        <f>AA10*IF(E$36=".", 1, (E11/E10)^(('Summary, PPI''s'!$E11+'Summary, PPI''s'!$E10)/('Predicted PPIs'!S11+'Predicted PPIs'!S10)))*IF(F$36=".", 1, (F11/F10)^(('Summary, PPI''s'!$F11+'Summary, PPI''s'!$F10)/('Predicted PPIs'!S11+'Predicted PPIs'!S10)))*IF(G$36=".", 1, (G11/G10)^(('Summary, PPI''s'!$G11+'Summary, PPI''s'!$G10)/('Predicted PPIs'!S11+'Predicted PPIs'!S10)))*IF(H$36=".", 1, (H11/H10)^(('Summary, PPI''s'!$H11+'Summary, PPI''s'!$H10)/('Predicted PPIs'!S11+'Predicted PPIs'!S10)))*IF(I$36=".", 1, (I11/I10)^(('Summary, PPI''s'!$I11+'Summary, PPI''s'!$I10)/('Predicted PPIs'!S11+'Predicted PPIs'!S10)))*IF(J$36=".", 1, (J11/J10)^(('Summary, PPI''s'!$J11+'Summary, PPI''s'!$J10)/('Predicted PPIs'!S11+'Predicted PPIs'!S10)))*IF(K$36=".", 1, (K11/K10)^(('Summary, PPI''s'!$K11+'Summary, PPI''s'!$K10)/('Predicted PPIs'!S11+'Predicted PPIs'!S10)))*IF(L$36=".", 1, (L11/L10)^(('Summary, PPI''s'!$L11+'Summary, PPI''s'!$L10)/('Predicted PPIs'!S11+'Predicted PPIs'!S10)))*IF(M$36=".", 1, (M11/M10)^(('Summary, PPI''s'!$M11+'Summary, PPI''s'!$M10)/('Predicted PPIs'!S11+'Predicted PPIs'!S10)))*IF(B$36=".", 1, (B11/B10)^(('Summary, PPI''s'!$B11+'Summary, PPI''s'!$B10)/('Predicted PPIs'!S11+'Predicted PPIs'!S10)))*IF(C$36=".", 1, (C11/C10)^(('Summary, PPI''s'!$C11+'Summary, PPI''s'!$C10)/('Predicted PPIs'!S11+'Predicted PPIs'!S10)))*IF(D$36=".", 1, (D11/D10)^(('Summary, PPI''s'!$D11+'Summary, PPI''s'!$D10)/('Predicted PPIs'!S11+'Predicted PPIs'!S10)))*IF(N$36=".", 1, (N11/N10)^(('Summary, PPI''s'!$N11+'Summary, PPI''s'!$N10)/('Predicted PPIs'!S11+'Predicted PPIs'!S10)))*IF(O$36=".", 1, (O11/O10)^(('Summary, PPI''s'!$O11+'Summary, PPI''s'!$O10)/('Predicted PPIs'!S11+'Predicted PPIs'!S10)))*IF(P$36=".", 1, (P11/P10)^(('Summary, PPI''s'!$P11+'Summary, PPI''s'!$P10)/('Predicted PPIs'!S11+'Predicted PPIs'!S10)))</f>
        <v>97.26820489983406</v>
      </c>
      <c r="AB11" s="4">
        <f>AB10*IF(E$46=".", 1, (E11/E10)^(('Summary, PPI''s'!$E11+'Summary, PPI''s'!$E10)/('Predicted PPIs'!T11+'Predicted PPIs'!T10)))*IF(F$46=".", 1, (F11/F10)^(('Summary, PPI''s'!$F11+'Summary, PPI''s'!$F10)/('Predicted PPIs'!T11+'Predicted PPIs'!T10)))*IF(G$46=".", 1, (G11/G10)^(('Summary, PPI''s'!$G11+'Summary, PPI''s'!$G10)/('Predicted PPIs'!T11+'Predicted PPIs'!T10)))*IF(H$46=".", 1, (H11/H10)^(('Summary, PPI''s'!$H11+'Summary, PPI''s'!$H10)/('Predicted PPIs'!T11+'Predicted PPIs'!T10)))*IF(I$46=".", 1, (I11/I10)^(('Summary, PPI''s'!$I11+'Summary, PPI''s'!$I10)/('Predicted PPIs'!T11+'Predicted PPIs'!T10)))*IF(J$46=".", 1, (J11/J10)^(('Summary, PPI''s'!$J11+'Summary, PPI''s'!$J10)/('Predicted PPIs'!T11+'Predicted PPIs'!T10)))*IF(K$46=".", 1, (K11/K10)^(('Summary, PPI''s'!$K11+'Summary, PPI''s'!$K10)/('Predicted PPIs'!T11+'Predicted PPIs'!T10)))*IF(L$46=".", 1, (L11/L10)^(('Summary, PPI''s'!$L11+'Summary, PPI''s'!$L10)/('Predicted PPIs'!T11+'Predicted PPIs'!T10)))*IF(M$46=".", 1, (M11/M10)^(('Summary, PPI''s'!$M11+'Summary, PPI''s'!$M10)/('Predicted PPIs'!T11+'Predicted PPIs'!T10)))*IF(B$46=".", 1, (B11/B10)^(('Summary, PPI''s'!$B11+'Summary, PPI''s'!$B10)/('Predicted PPIs'!T11+'Predicted PPIs'!T10)))*IF(C$46=".", 1, (C11/C10)^(('Summary, PPI''s'!$C11+'Summary, PPI''s'!$C10)/('Predicted PPIs'!T11+'Predicted PPIs'!T10)))*IF(D$46=".", 1, (D11/D10)^(('Summary, PPI''s'!$D11+'Summary, PPI''s'!$D10)/('Predicted PPIs'!T11+'Predicted PPIs'!T10)))*IF(N$46=".", 1, (N11/N10)^(('Summary, PPI''s'!$N11+'Summary, PPI''s'!$N10)/('Predicted PPIs'!T11+'Predicted PPIs'!T10)))*IF(O$46=".", 1, (O11/O10)^(('Summary, PPI''s'!$O11+'Summary, PPI''s'!$O10)/('Predicted PPIs'!T11+'Predicted PPIs'!T10)))*IF(P$46=".", 1, (P11/P10)^(('Summary, PPI''s'!$P11+'Summary, PPI''s'!$P10)/('Predicted PPIs'!T11+'Predicted PPIs'!T10)))</f>
        <v>99.874960783112812</v>
      </c>
      <c r="AC11" s="4">
        <f>AC10*IF(E$60=".",1,(E11/E10)^(('Summary, PPI''s'!$E11+'Summary, PPI''s'!$E10)/('Predicted PPIs'!U11+'Predicted PPIs'!U10)))*IF(F$60=".",1,(F11/F10)^(('Summary, PPI''s'!$F11+'Summary, PPI''s'!$F10)/('Predicted PPIs'!U11+'Predicted PPIs'!U10)))*IF(G$60=".",1,(G11/G10)^(('Summary, PPI''s'!$G11+'Summary, PPI''s'!$G10)/('Predicted PPIs'!U11+'Predicted PPIs'!U10)))*IF(H$60=".",1,(H11/H10)^(('Summary, PPI''s'!$H11+'Summary, PPI''s'!$H10)/('Predicted PPIs'!U11+'Predicted PPIs'!U10)))*IF(I$60=".",1,(I11/I10)^(('Summary, PPI''s'!$I11+'Summary, PPI''s'!$I10)/('Predicted PPIs'!U11+'Predicted PPIs'!U10)))*IF(J$60=".",1,(J11/J10)^(('Summary, PPI''s'!$J11+'Summary, PPI''s'!$J10)/('Predicted PPIs'!U11+'Predicted PPIs'!U10)))*IF(K$60=".",1,(K11/K10)^(('Summary, PPI''s'!$K11+'Summary, PPI''s'!$K10)/('Predicted PPIs'!U11+'Predicted PPIs'!U10)))*IF(L$60=".",1,(L11/L10)^(('Summary, PPI''s'!$L11+'Summary, PPI''s'!$L10)/('Predicted PPIs'!U11+'Predicted PPIs'!U10)))*IF(M$60=".",1,(M11/M10)^(('Summary, PPI''s'!$M11+'Summary, PPI''s'!$M10)/('Predicted PPIs'!U11+'Predicted PPIs'!U10)))*IF(B$60=".",1,(B11/B10)^(('Summary, PPI''s'!$B11+'Summary, PPI''s'!$B10)/('Predicted PPIs'!U11+'Predicted PPIs'!U10)))*IF(C$60=".",1,(C11/C10)^(('Summary, PPI''s'!$C11+'Summary, PPI''s'!$C10)/('Predicted PPIs'!U11+'Predicted PPIs'!U10)))*IF(D$60=".",1,(D11/D10)^(('Summary, PPI''s'!$D11+'Summary, PPI''s'!$D10)/('Predicted PPIs'!U11+'Predicted PPIs'!U10)))*IF(N$60=".",1,(N11/N10)^(('Summary, PPI''s'!$N11+'Summary, PPI''s'!$N10)/('Predicted PPIs'!U11+'Predicted PPIs'!U10)))*IF(O$60=".",1,(O11/O10)^(('Summary, PPI''s'!$O11+'Summary, PPI''s'!$O10)/('Predicted PPIs'!U11+'Predicted PPIs'!U10)))*IF(P$60=".",1,(P11/P10)^(('Summary, PPI''s'!$P11+'Summary, PPI''s'!$P10)/('Predicted PPIs'!U11+'Predicted PPIs'!U10)))</f>
        <v>104.42708384551726</v>
      </c>
      <c r="AD11" s="4">
        <f>AD10*IF(E$73=".", 1, (E11/E10)^(('Summary, PPI''s'!$E11+'Summary, PPI''s'!$E10)/('Predicted PPIs'!V11+'Predicted PPIs'!V10)))*IF(F$73=".", 1, (F11/F10)^(('Summary, PPI''s'!$F11+'Summary, PPI''s'!$F10)/('Predicted PPIs'!V11+'Predicted PPIs'!V10)))*IF(G$73=".", 1, (G11/G10)^(('Summary, PPI''s'!$G11+'Summary, PPI''s'!$G10)/('Predicted PPIs'!V11+'Predicted PPIs'!V10)))*IF(H$73=".", 1, (H11/H10)^(('Summary, PPI''s'!$H11+'Summary, PPI''s'!$H10)/('Predicted PPIs'!V11+'Predicted PPIs'!V10)))*IF(I$73=".", 1, (I11/I10)^(('Summary, PPI''s'!$I11+'Summary, PPI''s'!$I10)/('Predicted PPIs'!V11+'Predicted PPIs'!V10)))*IF(J$73=".", 1, (J11/J10)^(('Summary, PPI''s'!$J11+'Summary, PPI''s'!$J10)/('Predicted PPIs'!V11+'Predicted PPIs'!V10)))*IF(K$73=".", 1, (K11/K10)^(('Summary, PPI''s'!$K11+'Summary, PPI''s'!$K10)/('Predicted PPIs'!V11+'Predicted PPIs'!V10)))*IF(L$73=".", 1, (L11/L10)^(('Summary, PPI''s'!$L11+'Summary, PPI''s'!$L10)/('Predicted PPIs'!V11+'Predicted PPIs'!V10)))*IF(M$73=".", 1, (M11/M10)^(('Summary, PPI''s'!$M11+'Summary, PPI''s'!$M10)/('Predicted PPIs'!V11+'Predicted PPIs'!V10)))*IF(B$73=".", 1, (B11/B10)^(('Summary, PPI''s'!$B11+'Summary, PPI''s'!$B10)/('Predicted PPIs'!V11+'Predicted PPIs'!V10)))*IF(C$73=".", 1, (C11/C10)^(('Summary, PPI''s'!$C11+'Summary, PPI''s'!$C10)/('Predicted PPIs'!V11+'Predicted PPIs'!V10)))*IF(D$73=".", 1, (D11/D10)^(('Summary, PPI''s'!$D11+'Summary, PPI''s'!$D10)/('Predicted PPIs'!V11+'Predicted PPIs'!V10)))*IF(N$73=".", 1, (N11/N10)^(('Summary, PPI''s'!$N11+'Summary, PPI''s'!$N10)/('Predicted PPIs'!V11+'Predicted PPIs'!V10)))*IF(O$73=".", 1, (O11/O10)^(('Summary, PPI''s'!$O11+'Summary, PPI''s'!$O10)/('Predicted PPIs'!V11+'Predicted PPIs'!V10)))*IF(P$73=".", 1, (P11/P10)^(('Summary, PPI''s'!$P11+'Summary, PPI''s'!$P10)/('Predicted PPIs'!V11+'Predicted PPIs'!V10)))</f>
        <v>105.17345196617711</v>
      </c>
      <c r="AE11" s="4">
        <f>AE10*IF(E$94=".", 1, (E11/E10)^(('Summary, PPI''s'!$E11+'Summary, PPI''s'!$E10)/('Predicted PPIs'!W11+'Predicted PPIs'!W10)))*IF(F$94=".", 1, (F11/F10)^(('Summary, PPI''s'!$F11+'Summary, PPI''s'!$F10)/('Predicted PPIs'!W11+'Predicted PPIs'!W10)))*IF(G$94=".", 1, (G11/G10)^(('Summary, PPI''s'!$G11+'Summary, PPI''s'!$G10)/('Predicted PPIs'!W11+'Predicted PPIs'!W10)))*IF(H$94=".", 1, (H11/H10)^(('Summary, PPI''s'!$H11+'Summary, PPI''s'!$H10)/('Predicted PPIs'!W11+'Predicted PPIs'!W10)))*IF(I$94=".", 1, (I11/I10)^(('Summary, PPI''s'!$I11+'Summary, PPI''s'!$I10)/('Predicted PPIs'!W11+'Predicted PPIs'!W10)))*IF(J$94=".", 1, (J11/J10)^(('Summary, PPI''s'!$J11+'Summary, PPI''s'!$J10)/('Predicted PPIs'!W11+'Predicted PPIs'!W10)))*IF(K$94=".", 1, (K11/K10)^(('Summary, PPI''s'!$K11+'Summary, PPI''s'!$K10)/('Predicted PPIs'!W11+'Predicted PPIs'!W10)))*IF(L$94=".", 1, (L11/L10)^(('Summary, PPI''s'!$L11+'Summary, PPI''s'!$L10)/('Predicted PPIs'!W11+'Predicted PPIs'!W10)))*IF(M$94=".", 1, (M11/M10)^(('Summary, PPI''s'!$M11+'Summary, PPI''s'!$M10)/('Predicted PPIs'!W11+'Predicted PPIs'!W10)))*IF(B$94=".", 1, (B11/B10)^(('Summary, PPI''s'!$B11+'Summary, PPI''s'!$B10)/('Predicted PPIs'!W11+'Predicted PPIs'!W10)))*IF(C$94=".", 1, (C11/C10)^(('Summary, PPI''s'!$C11+'Summary, PPI''s'!$C10)/('Predicted PPIs'!W11+'Predicted PPIs'!W10)))*IF(D$94=".", 1, (D11/D10)^(('Summary, PPI''s'!$D11+'Summary, PPI''s'!$D10)/('Predicted PPIs'!W11+'Predicted PPIs'!W10)))*IF(N$94=".", 1, (N11/N10)^(('Summary, PPI''s'!$N11+'Summary, PPI''s'!$N10)/('Predicted PPIs'!W11+'Predicted PPIs'!W10)))*IF(O$94=".", 1, (O11/O10)^(('Summary, PPI''s'!$O11+'Summary, PPI''s'!$O10)/('Predicted PPIs'!W11+'Predicted PPIs'!W10)))*IF(P$94=".", 1, (P11/P10)^(('Summary, PPI''s'!$P11+'Summary, PPI''s'!$P10)/('Predicted PPIs'!W11+'Predicted PPIs'!W10)))</f>
        <v>100.93592909866314</v>
      </c>
      <c r="AF11" s="4">
        <f>AF10*IF(E$123=".", 1, (E11/E10)^(('Summary, PPI''s'!$E11+'Summary, PPI''s'!$E10)/('Predicted PPIs'!X11+'Predicted PPIs'!X10)))*IF(F$123=".", 1, (F11/F10)^(('Summary, PPI''s'!$F11+'Summary, PPI''s'!$F10)/('Predicted PPIs'!X11+'Predicted PPIs'!X10)))*IF(G$123=".", 1, (G11/G10)^(('Summary, PPI''s'!$G11+'Summary, PPI''s'!$G10)/('Predicted PPIs'!X11+'Predicted PPIs'!X10)))*IF(H$123=".", 1, (H11/H10)^(('Summary, PPI''s'!$H11+'Summary, PPI''s'!$H10)/('Predicted PPIs'!X11+'Predicted PPIs'!X10)))*IF(I$123=".", 1, (I11/I10)^(('Summary, PPI''s'!$I11+'Summary, PPI''s'!$I10)/('Predicted PPIs'!X11+'Predicted PPIs'!X10)))*IF(J$123=".", 1, (J11/J10)^(('Summary, PPI''s'!$J11+'Summary, PPI''s'!$J10)/('Predicted PPIs'!X11+'Predicted PPIs'!X10)))*IF(K$123=".", 1, (K11/K10)^(('Summary, PPI''s'!$K11+'Summary, PPI''s'!$K10)/('Predicted PPIs'!X11+'Predicted PPIs'!X10)))*IF(L$123=".", 1, (L11/L10)^(('Summary, PPI''s'!$L11+'Summary, PPI''s'!$L10)/('Predicted PPIs'!X11+'Predicted PPIs'!X10)))*IF(M$123=".", 1, (M11/M10)^(('Summary, PPI''s'!$M11+'Summary, PPI''s'!$M10)/('Predicted PPIs'!X11+'Predicted PPIs'!X10)))*IF(B$123=".", 1, (B11/B10)^(('Summary, PPI''s'!$B11+'Summary, PPI''s'!$B10)/('Predicted PPIs'!X11+'Predicted PPIs'!X10)))*IF(C$123=".", 1, (C11/C10)^(('Summary, PPI''s'!$C11+'Summary, PPI''s'!$C10)/('Predicted PPIs'!X11+'Predicted PPIs'!X10)))*IF(D$123=".", 1, (D11/D10)^(('Summary, PPI''s'!$D11+'Summary, PPI''s'!$D10)/('Predicted PPIs'!X11+'Predicted PPIs'!X10)))*IF(N$123=".", 1, (N11/N10)^(('Summary, PPI''s'!$N11+'Summary, PPI''s'!$N10)/('Predicted PPIs'!X11+'Predicted PPIs'!X10)))*IF(O$123=".", 1, (O11/O10)^(('Summary, PPI''s'!$O11+'Summary, PPI''s'!$O10)/('Predicted PPIs'!X11+'Predicted PPIs'!X10)))*IF(P$123=".", 1, (P11/P10)^(('Summary, PPI''s'!$P11+'Summary, PPI''s'!$P10)/('Predicted PPIs'!X11+'Predicted PPIs'!X10)))</f>
        <v>98.39801985009089</v>
      </c>
      <c r="AH11" s="13">
        <f t="shared" si="32"/>
        <v>107.99790942207653</v>
      </c>
      <c r="AJ11" s="4">
        <v>11047.4</v>
      </c>
      <c r="AK11" s="4">
        <v>-0.38400000000000001</v>
      </c>
      <c r="AL11" s="4">
        <v>-1301.7429999999999</v>
      </c>
      <c r="AM11" s="4">
        <v>-19.439</v>
      </c>
      <c r="AN11" s="4">
        <v>11739.1</v>
      </c>
      <c r="AO11" s="4">
        <v>2533.1999999999998</v>
      </c>
      <c r="AP11" s="4">
        <f>1074.207+0.004+0.384+27.098-1165.794</f>
        <v>-64.101000000000113</v>
      </c>
      <c r="AQ11" s="4">
        <f>1103.576+22.052+12.738+46.272-1626.766</f>
        <v>-442.12800000000016</v>
      </c>
      <c r="AR11" s="4">
        <v>-50.256</v>
      </c>
      <c r="AS11" s="4">
        <v>-70.180999999999997</v>
      </c>
      <c r="AT11" s="4">
        <v>100</v>
      </c>
      <c r="AU11" s="4">
        <v>100</v>
      </c>
      <c r="AV11" s="4">
        <v>100</v>
      </c>
      <c r="AW11" s="4">
        <v>100</v>
      </c>
      <c r="AX11" s="4">
        <v>100</v>
      </c>
      <c r="AY11" s="4">
        <v>100</v>
      </c>
      <c r="AZ11" s="4">
        <v>100</v>
      </c>
      <c r="BA11" s="4">
        <v>100</v>
      </c>
      <c r="BB11" s="4">
        <v>100</v>
      </c>
      <c r="BC11" s="4">
        <v>100</v>
      </c>
      <c r="BG11" s="4">
        <v>100</v>
      </c>
      <c r="BI11" s="4">
        <v>314043885</v>
      </c>
      <c r="BJ11" s="4">
        <f>'[2]Ordinary Experience'!$E$415</f>
        <v>19.657491571380746</v>
      </c>
      <c r="BL11" s="4">
        <f t="shared" si="0"/>
        <v>100</v>
      </c>
      <c r="BM11" s="4">
        <f t="shared" si="34"/>
        <v>2.4743921083583587E-2</v>
      </c>
      <c r="BO11" s="4">
        <f>IF(OR('Summary, hourly ad costs'!R11=-9999,'Summary, PPI''s'!R11="."),".",(('Summary, hourly ad costs'!B11/'Summary, hourly ad costs'!R11)*100/('Summary, hourly ad costs'!B$11/'Summary, hourly ad costs'!R$11))/('Summary, PPI''s'!R11))</f>
        <v>1</v>
      </c>
      <c r="BP11" s="4" t="str">
        <f>IF(OR('Summary, hourly ad costs'!S11=-9999,'Summary, PPI''s'!S11="."),".",(('Summary, hourly ad costs'!C11/'Summary, hourly ad costs'!S11)*100/('Summary, hourly ad costs'!C$11/'Summary, hourly ad costs'!S$11))/('Summary, PPI''s'!S11))</f>
        <v>.</v>
      </c>
      <c r="BQ11" s="4" t="str">
        <f>IF(OR('Summary, hourly ad costs'!T11=-9999,'Summary, PPI''s'!T11="."),".",(('Summary, hourly ad costs'!D11/'Summary, hourly ad costs'!T11)*100/('Summary, hourly ad costs'!D$11/'Summary, hourly ad costs'!T$11))/('Summary, PPI''s'!T11))</f>
        <v>.</v>
      </c>
      <c r="BR11" s="4">
        <f>IF(OR('Summary, hourly ad costs'!U11=-9999,'Summary, PPI''s'!U11="."),".",(('Summary, hourly ad costs'!E11/'Summary, hourly ad costs'!U11)*100/('Summary, hourly ad costs'!E$11/'Summary, hourly ad costs'!U$11))/('Summary, PPI''s'!U11))</f>
        <v>1</v>
      </c>
      <c r="BS11" s="4">
        <f>IF(OR('Summary, hourly ad costs'!V11=-9999,'Summary, PPI''s'!V11="."),".",(('Summary, hourly ad costs'!F11/'Summary, hourly ad costs'!V11)*100/('Summary, hourly ad costs'!F$11/'Summary, hourly ad costs'!V$11))/('Summary, PPI''s'!V11))</f>
        <v>1.0000000000000002</v>
      </c>
      <c r="BT11" s="4" t="str">
        <f>IF(OR('Summary, hourly ad costs'!W11=-9999,'Summary, PPI''s'!W11="."),".",(('Summary, hourly ad costs'!G11/'Summary, hourly ad costs'!W11)*100/('Summary, hourly ad costs'!G$11/'Summary, hourly ad costs'!W$11))/('Summary, PPI''s'!W11))</f>
        <v>.</v>
      </c>
      <c r="BU11" s="4">
        <f>IF(OR('Summary, hourly ad costs'!X11=-9999,'Summary, PPI''s'!X11="."),".",(('Summary, hourly ad costs'!H11/'Summary, hourly ad costs'!X11)*100/('Summary, hourly ad costs'!H$11/'Summary, hourly ad costs'!X$11))/('Summary, PPI''s'!X11))</f>
        <v>1</v>
      </c>
      <c r="BV11" s="4">
        <f>IF(OR('Summary, hourly ad costs'!Y11=-9999,'Summary, PPI''s'!Y11="."),".",(('Summary, hourly ad costs'!I11/'Summary, hourly ad costs'!Y11)*100/('Summary, hourly ad costs'!I$11/'Summary, hourly ad costs'!Y$11))/('Summary, PPI''s'!Y11))</f>
        <v>1</v>
      </c>
      <c r="BW11" s="4">
        <f>IF(OR('Summary, hourly ad costs'!Z11=-9999,'Summary, PPI''s'!Z11="."),".",(('Summary, hourly ad costs'!J11/'Summary, hourly ad costs'!Z11)*100/('Summary, hourly ad costs'!J$11/'Summary, hourly ad costs'!Z$11))/('Summary, PPI''s'!Z11))</f>
        <v>1</v>
      </c>
      <c r="BX11" s="4">
        <f>IF(OR('Summary, hourly ad costs'!AA11=-9999,'Summary, PPI''s'!AA11="."),".",(('Summary, hourly ad costs'!K11/'Summary, hourly ad costs'!AA11)*100/('Summary, hourly ad costs'!K$11/'Summary, hourly ad costs'!AA$11))/('Summary, PPI''s'!AA11))</f>
        <v>1</v>
      </c>
      <c r="BY11" s="4">
        <f>IF(OR('Summary, hourly ad costs'!AB11=-9999,'Summary, PPI''s'!AB11="."),".",(('Summary, hourly ad costs'!L11/'Summary, hourly ad costs'!AB11)*100/('Summary, hourly ad costs'!L$11/'Summary, hourly ad costs'!AB$11))/('Summary, PPI''s'!AB11))</f>
        <v>0.99999999999999989</v>
      </c>
      <c r="BZ11" s="4">
        <f>IF(OR('Summary, hourly ad costs'!AC11=-9999,'Summary, PPI''s'!AC11="."),".",(('Summary, hourly ad costs'!M11/'Summary, hourly ad costs'!AC11)*100/('Summary, hourly ad costs'!M$11/'Summary, hourly ad costs'!AC$11))/('Summary, PPI''s'!AC11))</f>
        <v>1</v>
      </c>
      <c r="CA11" s="4" t="str">
        <f>IF(OR('Summary, hourly ad costs'!AD11=-9999,'Summary, PPI''s'!AD11="."),".",(('Summary, hourly ad costs'!N11/'Summary, hourly ad costs'!AD11)*100/('Summary, hourly ad costs'!N$11/'Summary, hourly ad costs'!AD$11))/('Summary, PPI''s'!AD11))</f>
        <v>.</v>
      </c>
      <c r="CB11" s="4" t="str">
        <f>IF(OR('Summary, hourly ad costs'!AE11=-9999,'Summary, PPI''s'!AE11="."),".",(('Summary, hourly ad costs'!O11/'Summary, hourly ad costs'!AE11)*100/('Summary, hourly ad costs'!O$11/'Summary, hourly ad costs'!AE$11))/('Summary, PPI''s'!AE11))</f>
        <v>.</v>
      </c>
      <c r="CC11" s="4" t="str">
        <f>IF(OR('Summary, hourly ad costs'!AF11=-9999,'Summary, PPI''s'!AF11="."),".",(('Summary, hourly ad costs'!P11/'Summary, hourly ad costs'!AF11)*100/('Summary, hourly ad costs'!P$11/'Summary, hourly ad costs'!AF$11))/('Summary, PPI''s'!AF11))</f>
        <v>.</v>
      </c>
      <c r="CE11" s="4">
        <f t="shared" si="1"/>
        <v>-1.0663159333728189E-2</v>
      </c>
      <c r="CF11" s="4" t="str">
        <f t="shared" si="2"/>
        <v>.</v>
      </c>
      <c r="CG11" s="4" t="str">
        <f t="shared" si="3"/>
        <v>.</v>
      </c>
      <c r="CH11" s="4">
        <f t="shared" si="4"/>
        <v>-8.7821709647576851E-2</v>
      </c>
      <c r="CI11" s="4">
        <f t="shared" si="5"/>
        <v>-0.12915917304810343</v>
      </c>
      <c r="CJ11" s="4" t="str">
        <f t="shared" si="6"/>
        <v>.</v>
      </c>
      <c r="CK11" s="4">
        <f t="shared" si="7"/>
        <v>2.8677616868449718E-2</v>
      </c>
      <c r="CL11" s="4">
        <f t="shared" si="8"/>
        <v>-1.3802290768861081E-2</v>
      </c>
      <c r="CM11" s="4">
        <f t="shared" si="9"/>
        <v>5.8139421224037147E-2</v>
      </c>
      <c r="CN11" s="4">
        <f t="shared" si="10"/>
        <v>-4.5869695844139913E-2</v>
      </c>
      <c r="CO11" s="4">
        <f t="shared" si="11"/>
        <v>0.11622576763612513</v>
      </c>
      <c r="CP11" s="4">
        <f t="shared" si="12"/>
        <v>0.18280834044072636</v>
      </c>
      <c r="CQ11" s="4" t="str">
        <f t="shared" si="13"/>
        <v>.</v>
      </c>
      <c r="CR11" s="4" t="str">
        <f t="shared" si="14"/>
        <v>.</v>
      </c>
      <c r="CS11" s="4" t="str">
        <f t="shared" si="15"/>
        <v>.</v>
      </c>
      <c r="CU11" s="5">
        <f>IF(CU10=".", ".", IF('Summary, PPI''s'!R11=".",IF(OR('Summary, hourly ad costs'!R11=-9999,'Summary, hourly ad costs'!R11=0), ".", 'Predicted PPIs'!CU10*('Summary, hourly ad costs'!B11/'Summary, hourly ad costs'!R11)/('Summary, hourly ad costs'!B10/'Summary, hourly ad costs'!R10)/(1-CE10)), 'Summary, PPI''s'!R11))</f>
        <v>100</v>
      </c>
      <c r="CV11" s="5">
        <f>IF(CV10=".", ".", IF('Summary, PPI''s'!S11=".",IF(OR('Summary, hourly ad costs'!S11=-9999,'Summary, hourly ad costs'!S11=0), ".", 'Predicted PPIs'!CV10*('Summary, hourly ad costs'!C11/'Summary, hourly ad costs'!S11)/('Summary, hourly ad costs'!C10/'Summary, hourly ad costs'!S10)/(1-CF10)), 'Summary, PPI''s'!S11))</f>
        <v>100</v>
      </c>
      <c r="CW11" s="5">
        <f>IF(CW10=".", ".", IF('Summary, PPI''s'!T11=".",IF(OR('Summary, hourly ad costs'!T11=-9999,'Summary, hourly ad costs'!T11=0), ".", 'Predicted PPIs'!CW10*('Summary, hourly ad costs'!D11/'Summary, hourly ad costs'!T11)/('Summary, hourly ad costs'!D10/'Summary, hourly ad costs'!T10)/(1-CG10)), 'Summary, PPI''s'!T11))</f>
        <v>100.00000000000001</v>
      </c>
      <c r="CX11" s="5">
        <f>IF(CX10=".", ".", IF('Summary, PPI''s'!U11=".",IF(OR('Summary, hourly ad costs'!U11=-9999,'Summary, hourly ad costs'!U11=0), ".", 'Predicted PPIs'!CX10*('Summary, hourly ad costs'!E11/'Summary, hourly ad costs'!U11)/('Summary, hourly ad costs'!E10/'Summary, hourly ad costs'!U10)/(1-CH10)), 'Summary, PPI''s'!U11))</f>
        <v>100</v>
      </c>
      <c r="CY11" s="5">
        <f>IF(CY10=".", ".", IF('Summary, PPI''s'!V11=".",IF(OR('Summary, hourly ad costs'!V11=-9999,'Summary, hourly ad costs'!V11=0), ".", 'Predicted PPIs'!CY10*('Summary, hourly ad costs'!F11/'Summary, hourly ad costs'!V11)/('Summary, hourly ad costs'!F10/'Summary, hourly ad costs'!V10)/(1-CI10)), 'Summary, PPI''s'!V11))</f>
        <v>99.999999999999986</v>
      </c>
      <c r="CZ11" s="5">
        <f>IF(CZ10=".", ".", IF('Summary, PPI''s'!W11=".",IF(OR('Summary, hourly ad costs'!W11=-9999,'Summary, hourly ad costs'!W11=0), ".", 'Predicted PPIs'!CZ10*('Summary, hourly ad costs'!G11/'Summary, hourly ad costs'!W11)/('Summary, hourly ad costs'!G10/'Summary, hourly ad costs'!W10)/(1-CJ10)), 'Summary, PPI''s'!W11))</f>
        <v>100</v>
      </c>
      <c r="DA11" s="5">
        <f>IF(DA10=".", ".", IF('Summary, PPI''s'!X11=".",IF(OR('Summary, hourly ad costs'!X11=-9999,'Summary, hourly ad costs'!X11=0), ".", 'Predicted PPIs'!DA10*('Summary, hourly ad costs'!H11/'Summary, hourly ad costs'!X11)/('Summary, hourly ad costs'!H10/'Summary, hourly ad costs'!X10)/(1-CK10)), 'Summary, PPI''s'!X11))</f>
        <v>100</v>
      </c>
      <c r="DB11" s="5">
        <f>IF(DB10=".", ".", IF('Summary, PPI''s'!Y11=".",IF(OR('Summary, hourly ad costs'!Y11=-9999,'Summary, hourly ad costs'!Y11=0), ".", 'Predicted PPIs'!DB10*('Summary, hourly ad costs'!I11/'Summary, hourly ad costs'!Y11)/('Summary, hourly ad costs'!I10/'Summary, hourly ad costs'!Y10)/(1-CL10)), 'Summary, PPI''s'!Y11))</f>
        <v>100</v>
      </c>
      <c r="DC11" s="5">
        <f>IF(DC10=".", ".", IF('Summary, PPI''s'!Z11=".",IF(OR('Summary, hourly ad costs'!Z11=-9999,'Summary, hourly ad costs'!Z11=0), ".", 'Predicted PPIs'!DC10*('Summary, hourly ad costs'!J11/'Summary, hourly ad costs'!Z11)/('Summary, hourly ad costs'!J10/'Summary, hourly ad costs'!Z10)/(1-CM10)), 'Summary, PPI''s'!Z11))</f>
        <v>100</v>
      </c>
      <c r="DD11" s="5">
        <f>IF(DD10=".", ".", IF('Summary, PPI''s'!AA11=".",IF(OR('Summary, hourly ad costs'!AA11=-9999,'Summary, hourly ad costs'!AA11=0), ".", 'Predicted PPIs'!DD10*('Summary, hourly ad costs'!K11/'Summary, hourly ad costs'!AA11)/('Summary, hourly ad costs'!K10/'Summary, hourly ad costs'!AA10)/(1-CN10)), 'Summary, PPI''s'!AA11))</f>
        <v>100</v>
      </c>
      <c r="DE11" s="5">
        <f>IF(DE10=".", ".", IF('Summary, PPI''s'!AB11=".",IF(OR('Summary, hourly ad costs'!AB11=-9999,'Summary, hourly ad costs'!AB11=0), ".", 'Predicted PPIs'!DE10*('Summary, hourly ad costs'!L11/'Summary, hourly ad costs'!AB11)/('Summary, hourly ad costs'!L10/'Summary, hourly ad costs'!AB10)/(1-CO10)), 'Summary, PPI''s'!AB11))</f>
        <v>100.00000000000001</v>
      </c>
      <c r="DF11" s="5">
        <f>IF(DF10=".", ".", IF('Summary, PPI''s'!AC11=".",IF(OR('Summary, hourly ad costs'!AC11=-9999,'Summary, hourly ad costs'!AC11=0), ".", 'Predicted PPIs'!DF10*('Summary, hourly ad costs'!M11/'Summary, hourly ad costs'!AC11)/('Summary, hourly ad costs'!M10/'Summary, hourly ad costs'!AC10)/(1-CP10)), 'Summary, PPI''s'!AC11))</f>
        <v>100</v>
      </c>
      <c r="DG11" s="5">
        <f>IF(DG10=".", ".", IF('Summary, PPI''s'!AD11=".",IF(OR('Summary, hourly ad costs'!AD11=-9999,'Summary, hourly ad costs'!AD11=0), ".", 'Predicted PPIs'!DG10*('Summary, hourly ad costs'!N11/'Summary, hourly ad costs'!AD11)/('Summary, hourly ad costs'!N10/'Summary, hourly ad costs'!AD10)/(1-CQ10)), 'Summary, PPI''s'!AD11))</f>
        <v>100</v>
      </c>
      <c r="DH11" s="5">
        <f>IF(DH10=".", ".", IF('Summary, PPI''s'!AE11=".",IF(OR('Summary, hourly ad costs'!AE11=-9999,'Summary, hourly ad costs'!AE11=0), ".", 'Predicted PPIs'!DH10*('Summary, hourly ad costs'!O11/'Summary, hourly ad costs'!AE11)/('Summary, hourly ad costs'!O10/'Summary, hourly ad costs'!AE10)/(1-CR10)), 'Summary, PPI''s'!AE11))</f>
        <v>100</v>
      </c>
      <c r="DI11" s="5">
        <f>IF(DI10=".", ".", IF('Summary, PPI''s'!AF11=".",IF(OR('Summary, hourly ad costs'!AF11=-9999,'Summary, hourly ad costs'!AF11=0), ".", 'Predicted PPIs'!DI10*('Summary, hourly ad costs'!P11/'Summary, hourly ad costs'!AF11)/('Summary, hourly ad costs'!P10/'Summary, hourly ad costs'!AF10)/(1-CS10)), 'Summary, PPI''s'!AF11))</f>
        <v>100</v>
      </c>
      <c r="DK11" s="4">
        <v>100</v>
      </c>
      <c r="DM11" s="5">
        <f t="shared" si="16"/>
        <v>-2.7920940170939823E-2</v>
      </c>
      <c r="DN11" s="5">
        <f t="shared" si="17"/>
        <v>-2.7920940170939823E-2</v>
      </c>
      <c r="DO11" s="5">
        <f t="shared" si="18"/>
        <v>-1.3617334180431873E-2</v>
      </c>
      <c r="DP11" s="5">
        <f t="shared" si="19"/>
        <v>-2.4614913929665194E-2</v>
      </c>
      <c r="DQ11" s="5">
        <f t="shared" si="20"/>
        <v>-6.5578507550211329E-3</v>
      </c>
      <c r="DR11" s="5">
        <f t="shared" si="21"/>
        <v>-8.2434390090257992E-4</v>
      </c>
      <c r="DS11" s="5">
        <f t="shared" si="22"/>
        <v>-4.392759590688633E-3</v>
      </c>
      <c r="DT11" s="5">
        <f t="shared" si="23"/>
        <v>-4.1699309494451442E-2</v>
      </c>
      <c r="DU11" s="5">
        <f t="shared" si="24"/>
        <v>6.0539812814975003E-2</v>
      </c>
      <c r="DV11" s="5">
        <f t="shared" si="25"/>
        <v>2.6888465808170503E-2</v>
      </c>
      <c r="DW11" s="5">
        <f t="shared" si="26"/>
        <v>-8.570689655172381E-2</v>
      </c>
      <c r="DX11" s="5">
        <f t="shared" si="27"/>
        <v>-4.3292898383371692E-2</v>
      </c>
      <c r="DY11" s="5">
        <f t="shared" si="28"/>
        <v>-9.1379373012268061E-3</v>
      </c>
      <c r="DZ11" s="5">
        <f t="shared" si="29"/>
        <v>5.3724154256249435E-3</v>
      </c>
      <c r="EA11" s="5">
        <f t="shared" si="30"/>
        <v>-5.4672069393820744E-3</v>
      </c>
      <c r="EC11" s="1">
        <f t="shared" si="35"/>
        <v>100</v>
      </c>
      <c r="ED11" s="1">
        <f t="shared" si="36"/>
        <v>100</v>
      </c>
      <c r="EE11" s="1">
        <f t="shared" si="37"/>
        <v>100.00000000000001</v>
      </c>
      <c r="EF11" s="1">
        <f t="shared" si="38"/>
        <v>100</v>
      </c>
      <c r="EG11" s="1">
        <f t="shared" si="39"/>
        <v>99.999999999999986</v>
      </c>
      <c r="EH11" s="1">
        <f t="shared" si="40"/>
        <v>100</v>
      </c>
      <c r="EI11" s="1">
        <f t="shared" si="41"/>
        <v>100</v>
      </c>
      <c r="EJ11" s="1">
        <f t="shared" si="42"/>
        <v>100</v>
      </c>
      <c r="EK11" s="1">
        <f t="shared" si="43"/>
        <v>100</v>
      </c>
      <c r="EL11" s="1">
        <f t="shared" si="44"/>
        <v>100</v>
      </c>
      <c r="EM11" s="1">
        <f t="shared" si="45"/>
        <v>100.00000000000001</v>
      </c>
      <c r="EN11" s="1">
        <f t="shared" si="46"/>
        <v>100</v>
      </c>
      <c r="EO11" s="1">
        <f t="shared" si="47"/>
        <v>100</v>
      </c>
      <c r="EP11" s="1">
        <f t="shared" si="48"/>
        <v>100</v>
      </c>
      <c r="EQ11" s="1">
        <f t="shared" si="49"/>
        <v>100</v>
      </c>
      <c r="ES11" s="1">
        <f>IF(EF$26=".", 0, 'Summary, PPI''s'!E11)+IF(EG$26=".", 0, 'Summary, PPI''s'!F11)+IF(EH$26=".", 0, 'Summary, PPI''s'!G11)+IF(EI$26=".", 0, 'Summary, PPI''s'!H11)+IF(EJ$26=".", 0, 'Summary, PPI''s'!I11)+IF(EK$26=".", 0, 'Summary, PPI''s'!J11)+IF(EL$26=".", 0, 'Summary, PPI''s'!K11)+IF(EM$26=".", 0, 'Summary, PPI''s'!L11)+IF(EN$26=".", 0, 'Summary, PPI''s'!M11)+IF(EC$26=".", 0, 'Summary, PPI''s'!B11)+IF(ED$26=".", 0, 'Summary, PPI''s'!C11)+IF(EE$26=".", 0, 'Summary, PPI''s'!D11)+IF(EO$26=".", 0, 'Summary, PPI''s'!N11)+IF(EP$26=".", 0, 'Summary, PPI''s'!O11)+IF(EQ$26=".", 0, 'Summary, PPI''s'!P11)</f>
        <v>331948195.00430095</v>
      </c>
      <c r="ET11" s="1">
        <f>'Summary, hourly ad costs'!E11+'Summary, hourly ad costs'!F11+'Summary, hourly ad costs'!H11+'Summary, hourly ad costs'!I11+'Summary, hourly ad costs'!J11+'Summary, hourly ad costs'!K11+'Summary, hourly ad costs'!L11+'Summary, hourly ad costs'!M11+'Summary, hourly ad costs'!B11</f>
        <v>178383477.13927266</v>
      </c>
      <c r="EV11" s="13">
        <f>EV10*IF(EF$26=".", 1, (EF11/EF10)^(('Summary, PPI''s'!$E11+'Summary, PPI''s'!$E10)/('Predicted PPIs'!ES11+'Predicted PPIs'!ES10)))*IF(EG$26=".", 1, (EG11/EG10)^(('Summary, PPI''s'!$F11+'Summary, PPI''s'!$F10)/('Predicted PPIs'!ES11+'Predicted PPIs'!ES10)))*IF(EH$26=".", 1, (EH11/EH10)^(('Summary, PPI''s'!$G11+'Summary, PPI''s'!$G10)/('Predicted PPIs'!ES11+'Predicted PPIs'!ES10)))*IF(EI$26=".", 1, (EI11/EI10)^(('Summary, PPI''s'!$H11+'Summary, PPI''s'!$H10)/('Predicted PPIs'!ES11+'Predicted PPIs'!ES10)))*IF(EJ$26=".", 1, (EJ11/EJ10)^(('Summary, PPI''s'!$I11+'Summary, PPI''s'!$I10)/('Predicted PPIs'!ES11+'Predicted PPIs'!ES10)))*IF(EK$26=".", 1, (EK11/EK10)^(('Summary, PPI''s'!$J11+'Summary, PPI''s'!$J10)/('Predicted PPIs'!ES11+'Predicted PPIs'!ES10)))*IF(EL$26=".", 1, (EL11/EL10)^(('Summary, PPI''s'!$K11+'Summary, PPI''s'!$K10)/('Predicted PPIs'!ES11+'Predicted PPIs'!ES10)))*IF(EM$26=".", 1, (EM11/EM10)^(('Summary, PPI''s'!$L11+'Summary, PPI''s'!$L10)/('Predicted PPIs'!ES11+'Predicted PPIs'!ES10)))*IF(EN$26=".", 1, (EN11/EN10)^(('Summary, PPI''s'!$M11+'Summary, PPI''s'!$M10)/('Predicted PPIs'!ES11+'Predicted PPIs'!ES10)))*IF(EC$26=".", 1, (EC11/EC10)^(('Summary, PPI''s'!$B11+'Summary, PPI''s'!$B10)/('Predicted PPIs'!ES11+'Predicted PPIs'!ES10)))*IF(ED$26=".", 1, (ED11/ED10)^(('Summary, PPI''s'!$C11+'Summary, PPI''s'!$C10)/('Predicted PPIs'!ES11+'Predicted PPIs'!ES10)))*IF(EE$26=".", 1, (EE11/EE10)^(('Summary, PPI''s'!$D11+'Summary, PPI''s'!$D10)/('Predicted PPIs'!ES11+'Predicted PPIs'!ES10)))*IF(EO$26=".", 1, (EO11/EO10)^(('Summary, PPI''s'!$N11+'Summary, PPI''s'!$N10)/('Predicted PPIs'!ES11+'Predicted PPIs'!ES10)))*IF(EP$26=".", 1, (EP11/EP10)^(('Summary, PPI''s'!$O11+'Summary, PPI''s'!$O10)/('Predicted PPIs'!ES11+'Predicted PPIs'!ES10)))*IF(EQ$26=".", 1, (EQ11/EQ10)^(('Summary, PPI''s'!$P11+'Summary, PPI''s'!$P10)/('Predicted PPIs'!ES11+'Predicted PPIs'!ES10)))</f>
        <v>107.99790942207653</v>
      </c>
      <c r="EW11" s="13">
        <f>EW10*IF(EF$26=".", 1, (EF11/EF10)^(('Summary, PPI''s'!$E11+'Summary, PPI''s'!$E10)/('Predicted PPIs'!ET11+'Predicted PPIs'!ET10)))*IF(EG$26=".", 1, (EG11/EG10)^(('Summary, PPI''s'!$F11+'Summary, PPI''s'!$F10)/('Predicted PPIs'!ET11+'Predicted PPIs'!ET10)))*IF(EH$26=".", 1, (EH11/EH10)^(('Summary, PPI''s'!$G11+'Summary, PPI''s'!$G10)/('Predicted PPIs'!ET11+'Predicted PPIs'!ET10)))*IF(EK$26=".", 1, (EK11/EK10)^(('Summary, PPI''s'!$J11+'Summary, PPI''s'!$J10)/('Predicted PPIs'!ET11+'Predicted PPIs'!ET10)))*IF(EL$26=".", 1, (EL11/EL10)^(('Summary, PPI''s'!$K11+'Summary, PPI''s'!$K10)/('Predicted PPIs'!ET11+'Predicted PPIs'!ET10)))*IF(EM$26=".", 1, (EM11/EM10)^(('Summary, PPI''s'!$L11+'Summary, PPI''s'!$L10)/('Predicted PPIs'!ET11+'Predicted PPIs'!ET10)))*IF(EN$26=".", 1, (EN11/EN10)^(('Summary, PPI''s'!$M11+'Summary, PPI''s'!$M10)/('Predicted PPIs'!ET11+'Predicted PPIs'!ET10)))*IF(EC$26=".", 1, (EC11/EC10)^(('Summary, PPI''s'!$B11+'Summary, PPI''s'!$B10)/('Predicted PPIs'!ET11+'Predicted PPIs'!ET10)))</f>
        <v>121.45075251435227</v>
      </c>
      <c r="EY11" s="2"/>
    </row>
    <row r="12" spans="1:155" x14ac:dyDescent="0.3">
      <c r="A12" s="4">
        <v>2011</v>
      </c>
      <c r="B12" s="10">
        <f>IF(B11=".", ".", IF('Summary, PPI''s'!R12=".",IF(OR('Summary, hourly ad costs'!R12=-9999,'Summary, hourly ad costs'!R12=0), ".", 'Predicted PPIs'!B11*('Summary, hourly ad costs'!B12/'Summary, hourly ad costs'!R12)/('Summary, hourly ad costs'!B11/'Summary, hourly ad costs'!R11)), 'Summary, PPI''s'!R12))</f>
        <v>100.49079754601225</v>
      </c>
      <c r="C12" s="10">
        <f>IF(C11=".", ".", IF('Summary, PPI''s'!S12=".",IF(OR('Summary, hourly ad costs'!S12=-9999,'Summary, hourly ad costs'!S12=0), ".", 'Predicted PPIs'!C11*('Summary, hourly ad costs'!C12/'Summary, hourly ad costs'!S12)/('Summary, hourly ad costs'!C11/'Summary, hourly ad costs'!S11)), 'Summary, PPI''s'!S12))</f>
        <v>100.49079754601225</v>
      </c>
      <c r="D12" s="10">
        <f>IF(D11=".", ".", IF('Summary, PPI''s'!T12=".",IF(OR('Summary, hourly ad costs'!T12=-9999,'Summary, hourly ad costs'!T12=0), ".", 'Predicted PPIs'!D11*('Summary, hourly ad costs'!D12/'Summary, hourly ad costs'!T12)/('Summary, hourly ad costs'!D11/'Summary, hourly ad costs'!T11)), 'Summary, PPI''s'!T12))</f>
        <v>99.033573262193599</v>
      </c>
      <c r="E12" s="10">
        <f>IF(E11=".", ".", IF('Summary, PPI''s'!U12=".",IF(OR('Summary, hourly ad costs'!U12=-9999,'Summary, hourly ad costs'!U12=0), ".", 'Predicted PPIs'!E11*('Summary, hourly ad costs'!E12/'Summary, hourly ad costs'!U12)/('Summary, hourly ad costs'!E11/'Summary, hourly ad costs'!U11)), 'Summary, PPI''s'!U12))</f>
        <v>100.15018826416213</v>
      </c>
      <c r="F12" s="10">
        <f>IF(F11=".", ".", IF('Summary, PPI''s'!V12=".",IF(OR('Summary, hourly ad costs'!V12=-9999,'Summary, hourly ad costs'!V12=0), ".", 'Predicted PPIs'!F11*('Summary, hourly ad costs'!F12/'Summary, hourly ad costs'!V12)/('Summary, hourly ad costs'!F11/'Summary, hourly ad costs'!V11)), 'Summary, PPI''s'!V12))</f>
        <v>98.329832365418653</v>
      </c>
      <c r="G12" s="10">
        <f>IF(G11=".", ".", IF('Summary, PPI''s'!W12=".",IF(OR('Summary, hourly ad costs'!W12=-9999,'Summary, hourly ad costs'!W12=0), ".", 'Predicted PPIs'!G11*('Summary, hourly ad costs'!G12/'Summary, hourly ad costs'!W12)/('Summary, hourly ad costs'!G11/'Summary, hourly ad costs'!W11)), 'Summary, PPI''s'!W12))</f>
        <v>97.765592469870683</v>
      </c>
      <c r="H12" s="10">
        <f>IF(H11=".", ".", IF('Summary, PPI''s'!X12=".",IF(OR('Summary, hourly ad costs'!X12=-9999,'Summary, hourly ad costs'!X12=0), ".", 'Predicted PPIs'!H11*('Summary, hourly ad costs'!H12/'Summary, hourly ad costs'!X12)/('Summary, hourly ad costs'!H11/'Summary, hourly ad costs'!X11)), 'Summary, PPI''s'!X12))</f>
        <v>98.116</v>
      </c>
      <c r="I12" s="10">
        <f>IF(I11=".", ".", IF('Summary, PPI''s'!Y12=".",IF(OR('Summary, hourly ad costs'!Y12=-9999,'Summary, hourly ad costs'!Y12=0), ".", 'Predicted PPIs'!I11*('Summary, hourly ad costs'!I12/'Summary, hourly ad costs'!Y12)/('Summary, hourly ad costs'!I11/'Summary, hourly ad costs'!Y11)), 'Summary, PPI''s'!Y12))</f>
        <v>101.93564605329313</v>
      </c>
      <c r="J12" s="10">
        <f>IF(J11=".", ".", IF('Summary, PPI''s'!Z12=".",IF(OR('Summary, hourly ad costs'!Z12=-9999,'Summary, hourly ad costs'!Z12=0), ".", 'Predicted PPIs'!J11*('Summary, hourly ad costs'!J12/'Summary, hourly ad costs'!Z12)/('Summary, hourly ad costs'!J11/'Summary, hourly ad costs'!Z11)), 'Summary, PPI''s'!Z12))</f>
        <v>92.108753315649849</v>
      </c>
      <c r="K12" s="10">
        <f>IF(K11=".", ".", IF('Summary, PPI''s'!AA12=".",IF(OR('Summary, hourly ad costs'!AA12=-9999,'Summary, hourly ad costs'!AA12=0), ".", 'Predicted PPIs'!K11*('Summary, hourly ad costs'!K12/'Summary, hourly ad costs'!AA12)/('Summary, hourly ad costs'!K11/'Summary, hourly ad costs'!AA11)), 'Summary, PPI''s'!AA12))</f>
        <v>95.127176175964763</v>
      </c>
      <c r="L12" s="10">
        <f>IF(L11=".", ".", IF('Summary, PPI''s'!AB12=".",IF(OR('Summary, hourly ad costs'!AB12=-9999,'Summary, hourly ad costs'!AB12=0), ".", 'Predicted PPIs'!L11*('Summary, hourly ad costs'!L12/'Summary, hourly ad costs'!AB12)/('Summary, hourly ad costs'!L11/'Summary, hourly ad costs'!AB11)), 'Summary, PPI''s'!AB12))</f>
        <v>106.84210526315789</v>
      </c>
      <c r="M12" s="10">
        <f>IF(M11=".", ".", IF('Summary, PPI''s'!AC12=".",IF(OR('Summary, hourly ad costs'!AC12=-9999,'Summary, hourly ad costs'!AC12=0), ".", 'Predicted PPIs'!M11*('Summary, hourly ad costs'!M12/'Summary, hourly ad costs'!AC12)/('Summary, hourly ad costs'!M11/'Summary, hourly ad costs'!AC11)), 'Summary, PPI''s'!AC12))</f>
        <v>102.10544045814385</v>
      </c>
      <c r="N12" s="10">
        <f>IF(N11=".", ".", IF('Summary, PPI''s'!AD12=".",IF(OR('Summary, hourly ad costs'!AD12=-9999,'Summary, hourly ad costs'!AD12=0), ".", 'Predicted PPIs'!N11*('Summary, hourly ad costs'!N12/'Summary, hourly ad costs'!AD12)/('Summary, hourly ad costs'!N11/'Summary, hourly ad costs'!AD11)), 'Summary, PPI''s'!AD12))</f>
        <v>98.585871512669584</v>
      </c>
      <c r="O12" s="10">
        <f>IF(O11=".", ".", IF('Summary, PPI''s'!AE12=".",IF(OR('Summary, hourly ad costs'!AE12=-9999,'Summary, hourly ad costs'!AE12=0), ".", 'Predicted PPIs'!O11*('Summary, hourly ad costs'!O12/'Summary, hourly ad costs'!AE12)/('Summary, hourly ad costs'!O11/'Summary, hourly ad costs'!AE11)), 'Summary, PPI''s'!AE12))</f>
        <v>97.162999999999997</v>
      </c>
      <c r="P12" s="10">
        <f>IF(P11=".", ".", IF('Summary, PPI''s'!AF12=".",IF(OR('Summary, hourly ad costs'!AF12=-9999,'Summary, hourly ad costs'!AF12=0), ".", 'Predicted PPIs'!P11*('Summary, hourly ad costs'!P12/'Summary, hourly ad costs'!AF12)/('Summary, hourly ad costs'!P11/'Summary, hourly ad costs'!AF11)), 'Summary, PPI''s'!AF12))</f>
        <v>98.221999999999994</v>
      </c>
      <c r="R12" s="1">
        <f>IF(E$26=".", 0, 'Summary, PPI''s'!E12)+IF(F$26=".", 0, 'Summary, PPI''s'!F12)+IF(G$26=".", 0, 'Summary, PPI''s'!G12)+IF(H$26=".", 0, 'Summary, PPI''s'!H12)+IF(I$26=".", 0, 'Summary, PPI''s'!I12)+IF(J$26=".", 0, 'Summary, PPI''s'!J12)+IF(K$26=".", 0, 'Summary, PPI''s'!K12)+IF(L$26=".", 0, 'Summary, PPI''s'!L12)+IF(M$26=".", 0, 'Summary, PPI''s'!M12)+IF(B$26=".", 0, 'Summary, PPI''s'!B12)+IF(C$26=".", 0, 'Summary, PPI''s'!C12)+IF(D$26=".", 0, 'Summary, PPI''s'!D12)+IF(N$26=".", 0, 'Summary, PPI''s'!N12)+IF(O$26=".", 0, 'Summary, PPI''s'!O12)+IF(P$26=".", 0, 'Summary, PPI''s'!P12)</f>
        <v>305474710.22825253</v>
      </c>
      <c r="S12" s="1">
        <f>IF(E$36=".", 0, 'Summary, PPI''s'!E12)+IF(F$36=".", 0, 'Summary, PPI''s'!F12)+IF(G$36=".", 0, 'Summary, PPI''s'!G12)+IF(H$36=".", 0, 'Summary, PPI''s'!H12)+IF(I$36=".", 0, 'Summary, PPI''s'!I12)+IF(J$36=".", 0, 'Summary, PPI''s'!J12)+IF(K$36=".", 0, 'Summary, PPI''s'!K12)+IF(L$36=".", 0, 'Summary, PPI''s'!L12)+IF(M$36=".", 0, 'Summary, PPI''s'!M12)+IF(B$36=".", 0, 'Summary, PPI''s'!B12)+IF(C$36=".", 0, 'Summary, PPI''s'!C12)+IF(D$36=".", 0, 'Summary, PPI''s'!D12)+IF(N$36=".", 0, 'Summary, PPI''s'!N12)+IF(O$36=".", 0, 'Summary, PPI''s'!O12)+IF(P$36=".", 0, 'Summary, PPI''s'!P12)</f>
        <v>267680311.07262266</v>
      </c>
      <c r="T12" s="1">
        <f>IF(E$46=".", 0, 'Summary, PPI''s'!E12)+IF(F$46=".", 0, 'Summary, PPI''s'!F12)+IF(G$46=".", 0, 'Summary, PPI''s'!G12)+IF(H$46=".", 0, 'Summary, PPI''s'!H12)+IF(I$46=".", 0, 'Summary, PPI''s'!I12)+IF(J$46=".", 0, 'Summary, PPI''s'!J12)+IF(K$46=".", 0, 'Summary, PPI''s'!K12)+IF(L$46=".", 0, 'Summary, PPI''s'!L12)+IF(M$46=".", 0, 'Summary, PPI''s'!M12)+IF(B$46=".", 0, 'Summary, PPI''s'!B12)+IF(C$46=".", 0, 'Summary, PPI''s'!C12)+IF(D$46=".", 0, 'Summary, PPI''s'!D12)+IF(N$46=".", 0, 'Summary, PPI''s'!N12)+IF(O$46=".", 0, 'Summary, PPI''s'!O12)+IF(P$46=".", 0, 'Summary, PPI''s'!P12)</f>
        <v>166265479.64420104</v>
      </c>
      <c r="U12" s="1">
        <f>IF(E$60=".", 0, 'Summary, PPI''s'!E12)+IF(F$60=".", 0, 'Summary, PPI''s'!F12)+IF(G$60=".", 0, 'Summary, PPI''s'!G12)+IF(H$60=".", 0, 'Summary, PPI''s'!H12)+IF(I$60=".", 0, 'Summary, PPI''s'!I12)+IF(J$60=".", 0, 'Summary, PPI''s'!J12)+IF(K$60=".", 0, 'Summary, PPI''s'!K12)+IF(L$60=".", 0, 'Summary, PPI''s'!L12)+IF(M$60=".", 0, 'Summary, PPI''s'!M12)+IF(B$60=".", 0, 'Summary, PPI''s'!B12)+IF(C$60=".", 0, 'Summary, PPI''s'!C12)+IF(D$60=".", 0, 'Summary, PPI''s'!D12)+IF(N$60=".", 0, 'Summary, PPI''s'!N12)+IF(O$60=".", 0, 'Summary, PPI''s'!O12)+IF(P$60=".", 0, 'Summary, PPI''s'!P12)</f>
        <v>106590360.50444059</v>
      </c>
      <c r="V12" s="1">
        <f>IF(E$73=".", 0, 'Summary, PPI''s'!E12)+IF(F$73=".", 0, 'Summary, PPI''s'!F12)+IF(G$73=".", 0, 'Summary, PPI''s'!G12)+IF(H$73=".", 0, 'Summary, PPI''s'!H12)+IF(I$73=".", 0, 'Summary, PPI''s'!I12)+IF(J$73=".", 0, 'Summary, PPI''s'!J12)+IF(K$73=".", 0, 'Summary, PPI''s'!K12)+IF(L$73=".", 0, 'Summary, PPI''s'!L12)+IF(M$73=".", 0, 'Summary, PPI''s'!M12)+IF(B$73=".", 0, 'Summary, PPI''s'!B12)+IF(C$73=".", 0, 'Summary, PPI''s'!C12)+IF(D$73=".", 0, 'Summary, PPI''s'!D12)+IF(N$73=".", 0, 'Summary, PPI''s'!N12)+IF(O$73=".", 0, 'Summary, PPI''s'!O12)+IF(P$73=".", 0, 'Summary, PPI''s'!P12)</f>
        <v>88420686.159498915</v>
      </c>
      <c r="W12" s="1">
        <f>IF(E$94=".",0,'Summary, PPI''s'!E12)+IF(F$94=".",0,'Summary, PPI''s'!F12)+IF(G$94=".",0,'Summary, PPI''s'!G12)+IF(H$94=".",0,'Summary, PPI''s'!H12)+IF(I$94=".",0,'Summary, PPI''s'!I12)+IF(J$94=".",0,'Summary, PPI''s'!J12)+IF(K$94=".",0,'Summary, PPI''s'!K12)+IF(L$94=".",0,'Summary, PPI''s'!L12)+IF(M$94=".",0,'Summary, PPI''s'!M12)+IF(B$94=".",0,'Summary, PPI''s'!B12)+IF(C$94=".",0,'Summary, PPI''s'!C12)+IF(D$94=".",0,'Summary, PPI''s'!D12)+IF(N$94=".",0,'Summary, PPI''s'!N12)+IF(O$94=".",0,'Summary, PPI''s'!O12)+IF(P$94=".",0,'Summary, PPI''s'!P12)</f>
        <v>57783859.936436102</v>
      </c>
      <c r="X12" s="1">
        <f>IF(E$123=".", 0, 'Summary, PPI''s'!E12)+IF(F$123=".", 0, 'Summary, PPI''s'!F12)+IF(G$123=".", 0, 'Summary, PPI''s'!G12)+IF(H$123=".", 0, 'Summary, PPI''s'!H12)+IF(I$123=".", 0, 'Summary, PPI''s'!I12)+IF(J$123=".", 0, 'Summary, PPI''s'!J12)+IF(K$123=".", 0, 'Summary, PPI''s'!K12)+IF(L$123=".", 0, 'Summary, PPI''s'!L12)+IF(M$123=".", 0, 'Summary, PPI''s'!M12)+IF(B$123=".", 0, 'Summary, PPI''s'!B12)+IF(C$123=".", 0, 'Summary, PPI''s'!C12)+IF(D$123=".", 0, 'Summary, PPI''s'!D12)+IF(N$123=".", 0, 'Summary, PPI''s'!N12)+IF(O$123=".", 0, 'Summary, PPI''s'!O12)+IF(P$123=".", 0, 'Summary, PPI''s'!P12)</f>
        <v>42975270.650339372</v>
      </c>
      <c r="Z12" s="4">
        <f>Z11*IF(E$26=".", 1, (E12/E11)^(('Summary, PPI''s'!$E12+'Summary, PPI''s'!$E11)/('Predicted PPIs'!R12+'Predicted PPIs'!R11)))*IF(F$26=".", 1, (F12/F11)^(('Summary, PPI''s'!$F12+'Summary, PPI''s'!$F11)/('Predicted PPIs'!R12+'Predicted PPIs'!R11)))*IF(G$26=".", 1, (G12/G11)^(('Summary, PPI''s'!$G12+'Summary, PPI''s'!$G11)/('Predicted PPIs'!R12+'Predicted PPIs'!R11)))*IF(H$26=".", 1, (H12/H11)^(('Summary, PPI''s'!$H12+'Summary, PPI''s'!$H11)/('Predicted PPIs'!R12+'Predicted PPIs'!R11)))*IF(I$26=".", 1, (I12/I11)^(('Summary, PPI''s'!$I12+'Summary, PPI''s'!$I11)/('Predicted PPIs'!R12+'Predicted PPIs'!R11)))*IF(J$26=".", 1, (J12/J11)^(('Summary, PPI''s'!$J12+'Summary, PPI''s'!$J11)/('Predicted PPIs'!R12+'Predicted PPIs'!R11)))*IF(K$26=".", 1, (K12/K11)^(('Summary, PPI''s'!$K12+'Summary, PPI''s'!$K11)/('Predicted PPIs'!R12+'Predicted PPIs'!R11)))*IF(L$26=".", 1, (L12/L11)^(('Summary, PPI''s'!$L12+'Summary, PPI''s'!$L11)/('Predicted PPIs'!R12+'Predicted PPIs'!R11)))*IF(M$26=".", 1, (M12/M11)^(('Summary, PPI''s'!$M12+'Summary, PPI''s'!$M11)/('Predicted PPIs'!R12+'Predicted PPIs'!R11)))*IF(B$26=".", 1, (B12/B11)^(('Summary, PPI''s'!$B12+'Summary, PPI''s'!$B11)/('Predicted PPIs'!R12+'Predicted PPIs'!R11)))*IF(C$26=".", 1, (C12/C11)^(('Summary, PPI''s'!$C12+'Summary, PPI''s'!$C11)/('Predicted PPIs'!R12+'Predicted PPIs'!R11)))*IF(D$26=".", 1, (D12/D11)^(('Summary, PPI''s'!$D12+'Summary, PPI''s'!$D11)/('Predicted PPIs'!R12+'Predicted PPIs'!R11)))*IF(N$26=".", 1, (N12/N11)^(('Summary, PPI''s'!$N12+'Summary, PPI''s'!$N11)/('Predicted PPIs'!R12+'Predicted PPIs'!R11)))*IF(O$26=".", 1, (O12/O11)^(('Summary, PPI''s'!$O12+'Summary, PPI''s'!$O11)/('Predicted PPIs'!R12+'Predicted PPIs'!R11)))*IF(P$26=".", 1, (P12/P11)^(('Summary, PPI''s'!$P12+'Summary, PPI''s'!$P11)/('Predicted PPIs'!R12+'Predicted PPIs'!R11)))</f>
        <v>106.38310815491157</v>
      </c>
      <c r="AA12" s="4">
        <f>AA11*IF(E$36=".", 1, (E12/E11)^(('Summary, PPI''s'!$E12+'Summary, PPI''s'!$E11)/('Predicted PPIs'!S12+'Predicted PPIs'!S11)))*IF(F$36=".", 1, (F12/F11)^(('Summary, PPI''s'!$F12+'Summary, PPI''s'!$F11)/('Predicted PPIs'!S12+'Predicted PPIs'!S11)))*IF(G$36=".", 1, (G12/G11)^(('Summary, PPI''s'!$G12+'Summary, PPI''s'!$G11)/('Predicted PPIs'!S12+'Predicted PPIs'!S11)))*IF(H$36=".", 1, (H12/H11)^(('Summary, PPI''s'!$H12+'Summary, PPI''s'!$H11)/('Predicted PPIs'!S12+'Predicted PPIs'!S11)))*IF(I$36=".", 1, (I12/I11)^(('Summary, PPI''s'!$I12+'Summary, PPI''s'!$I11)/('Predicted PPIs'!S12+'Predicted PPIs'!S11)))*IF(J$36=".", 1, (J12/J11)^(('Summary, PPI''s'!$J12+'Summary, PPI''s'!$J11)/('Predicted PPIs'!S12+'Predicted PPIs'!S11)))*IF(K$36=".", 1, (K12/K11)^(('Summary, PPI''s'!$K12+'Summary, PPI''s'!$K11)/('Predicted PPIs'!S12+'Predicted PPIs'!S11)))*IF(L$36=".", 1, (L12/L11)^(('Summary, PPI''s'!$L12+'Summary, PPI''s'!$L11)/('Predicted PPIs'!S12+'Predicted PPIs'!S11)))*IF(M$36=".", 1, (M12/M11)^(('Summary, PPI''s'!$M12+'Summary, PPI''s'!$M11)/('Predicted PPIs'!S12+'Predicted PPIs'!S11)))*IF(B$36=".", 1, (B12/B11)^(('Summary, PPI''s'!$B12+'Summary, PPI''s'!$B11)/('Predicted PPIs'!S12+'Predicted PPIs'!S11)))*IF(C$36=".", 1, (C12/C11)^(('Summary, PPI''s'!$C12+'Summary, PPI''s'!$C11)/('Predicted PPIs'!S12+'Predicted PPIs'!S11)))*IF(D$36=".", 1, (D12/D11)^(('Summary, PPI''s'!$D12+'Summary, PPI''s'!$D11)/('Predicted PPIs'!S12+'Predicted PPIs'!S11)))*IF(N$36=".", 1, (N12/N11)^(('Summary, PPI''s'!$N12+'Summary, PPI''s'!$N11)/('Predicted PPIs'!S12+'Predicted PPIs'!S11)))*IF(O$36=".", 1, (O12/O11)^(('Summary, PPI''s'!$O12+'Summary, PPI''s'!$O11)/('Predicted PPIs'!S12+'Predicted PPIs'!S11)))*IF(P$36=".", 1, (P12/P11)^(('Summary, PPI''s'!$P12+'Summary, PPI''s'!$P11)/('Predicted PPIs'!S12+'Predicted PPIs'!S11)))</f>
        <v>94.962732089938868</v>
      </c>
      <c r="AB12" s="4">
        <f>AB11*IF(E$46=".", 1, (E12/E11)^(('Summary, PPI''s'!$E12+'Summary, PPI''s'!$E11)/('Predicted PPIs'!T12+'Predicted PPIs'!T11)))*IF(F$46=".", 1, (F12/F11)^(('Summary, PPI''s'!$F12+'Summary, PPI''s'!$F11)/('Predicted PPIs'!T12+'Predicted PPIs'!T11)))*IF(G$46=".", 1, (G12/G11)^(('Summary, PPI''s'!$G12+'Summary, PPI''s'!$G11)/('Predicted PPIs'!T12+'Predicted PPIs'!T11)))*IF(H$46=".", 1, (H12/H11)^(('Summary, PPI''s'!$H12+'Summary, PPI''s'!$H11)/('Predicted PPIs'!T12+'Predicted PPIs'!T11)))*IF(I$46=".", 1, (I12/I11)^(('Summary, PPI''s'!$I12+'Summary, PPI''s'!$I11)/('Predicted PPIs'!T12+'Predicted PPIs'!T11)))*IF(J$46=".", 1, (J12/J11)^(('Summary, PPI''s'!$J12+'Summary, PPI''s'!$J11)/('Predicted PPIs'!T12+'Predicted PPIs'!T11)))*IF(K$46=".", 1, (K12/K11)^(('Summary, PPI''s'!$K12+'Summary, PPI''s'!$K11)/('Predicted PPIs'!T12+'Predicted PPIs'!T11)))*IF(L$46=".", 1, (L12/L11)^(('Summary, PPI''s'!$L12+'Summary, PPI''s'!$L11)/('Predicted PPIs'!T12+'Predicted PPIs'!T11)))*IF(M$46=".", 1, (M12/M11)^(('Summary, PPI''s'!$M12+'Summary, PPI''s'!$M11)/('Predicted PPIs'!T12+'Predicted PPIs'!T11)))*IF(B$46=".", 1, (B12/B11)^(('Summary, PPI''s'!$B12+'Summary, PPI''s'!$B11)/('Predicted PPIs'!T12+'Predicted PPIs'!T11)))*IF(C$46=".", 1, (C12/C11)^(('Summary, PPI''s'!$C12+'Summary, PPI''s'!$C11)/('Predicted PPIs'!T12+'Predicted PPIs'!T11)))*IF(D$46=".", 1, (D12/D11)^(('Summary, PPI''s'!$D12+'Summary, PPI''s'!$D11)/('Predicted PPIs'!T12+'Predicted PPIs'!T11)))*IF(N$46=".", 1, (N12/N11)^(('Summary, PPI''s'!$N12+'Summary, PPI''s'!$N11)/('Predicted PPIs'!T12+'Predicted PPIs'!T11)))*IF(O$46=".", 1, (O12/O11)^(('Summary, PPI''s'!$O12+'Summary, PPI''s'!$O11)/('Predicted PPIs'!T12+'Predicted PPIs'!T11)))*IF(P$46=".", 1, (P12/P11)^(('Summary, PPI''s'!$P12+'Summary, PPI''s'!$P11)/('Predicted PPIs'!T12+'Predicted PPIs'!T11)))</f>
        <v>96.891748514186347</v>
      </c>
      <c r="AC12" s="4">
        <f>AC11*IF(E$60=".",1,(E12/E11)^(('Summary, PPI''s'!$E12+'Summary, PPI''s'!$E11)/('Predicted PPIs'!U12+'Predicted PPIs'!U11)))*IF(F$60=".",1,(F12/F11)^(('Summary, PPI''s'!$F12+'Summary, PPI''s'!$F11)/('Predicted PPIs'!U12+'Predicted PPIs'!U11)))*IF(G$60=".",1,(G12/G11)^(('Summary, PPI''s'!$G12+'Summary, PPI''s'!$G11)/('Predicted PPIs'!U12+'Predicted PPIs'!U11)))*IF(H$60=".",1,(H12/H11)^(('Summary, PPI''s'!$H12+'Summary, PPI''s'!$H11)/('Predicted PPIs'!U12+'Predicted PPIs'!U11)))*IF(I$60=".",1,(I12/I11)^(('Summary, PPI''s'!$I12+'Summary, PPI''s'!$I11)/('Predicted PPIs'!U12+'Predicted PPIs'!U11)))*IF(J$60=".",1,(J12/J11)^(('Summary, PPI''s'!$J12+'Summary, PPI''s'!$J11)/('Predicted PPIs'!U12+'Predicted PPIs'!U11)))*IF(K$60=".",1,(K12/K11)^(('Summary, PPI''s'!$K12+'Summary, PPI''s'!$K11)/('Predicted PPIs'!U12+'Predicted PPIs'!U11)))*IF(L$60=".",1,(L12/L11)^(('Summary, PPI''s'!$L12+'Summary, PPI''s'!$L11)/('Predicted PPIs'!U12+'Predicted PPIs'!U11)))*IF(M$60=".",1,(M12/M11)^(('Summary, PPI''s'!$M12+'Summary, PPI''s'!$M11)/('Predicted PPIs'!U12+'Predicted PPIs'!U11)))*IF(B$60=".",1,(B12/B11)^(('Summary, PPI''s'!$B12+'Summary, PPI''s'!$B11)/('Predicted PPIs'!U12+'Predicted PPIs'!U11)))*IF(C$60=".",1,(C12/C11)^(('Summary, PPI''s'!$C12+'Summary, PPI''s'!$C11)/('Predicted PPIs'!U12+'Predicted PPIs'!U11)))*IF(D$60=".",1,(D12/D11)^(('Summary, PPI''s'!$D12+'Summary, PPI''s'!$D11)/('Predicted PPIs'!U12+'Predicted PPIs'!U11)))*IF(N$60=".",1,(N12/N11)^(('Summary, PPI''s'!$N12+'Summary, PPI''s'!$N11)/('Predicted PPIs'!U12+'Predicted PPIs'!U11)))*IF(O$60=".",1,(O12/O11)^(('Summary, PPI''s'!$O12+'Summary, PPI''s'!$O11)/('Predicted PPIs'!U12+'Predicted PPIs'!U11)))*IF(P$60=".",1,(P12/P11)^(('Summary, PPI''s'!$P12+'Summary, PPI''s'!$P11)/('Predicted PPIs'!U12+'Predicted PPIs'!U11)))</f>
        <v>101.80165742493189</v>
      </c>
      <c r="AD12" s="4">
        <f>AD11*IF(E$73=".", 1, (E12/E11)^(('Summary, PPI''s'!$E12+'Summary, PPI''s'!$E11)/('Predicted PPIs'!V12+'Predicted PPIs'!V11)))*IF(F$73=".", 1, (F12/F11)^(('Summary, PPI''s'!$F12+'Summary, PPI''s'!$F11)/('Predicted PPIs'!V12+'Predicted PPIs'!V11)))*IF(G$73=".", 1, (G12/G11)^(('Summary, PPI''s'!$G12+'Summary, PPI''s'!$G11)/('Predicted PPIs'!V12+'Predicted PPIs'!V11)))*IF(H$73=".", 1, (H12/H11)^(('Summary, PPI''s'!$H12+'Summary, PPI''s'!$H11)/('Predicted PPIs'!V12+'Predicted PPIs'!V11)))*IF(I$73=".", 1, (I12/I11)^(('Summary, PPI''s'!$I12+'Summary, PPI''s'!$I11)/('Predicted PPIs'!V12+'Predicted PPIs'!V11)))*IF(J$73=".", 1, (J12/J11)^(('Summary, PPI''s'!$J12+'Summary, PPI''s'!$J11)/('Predicted PPIs'!V12+'Predicted PPIs'!V11)))*IF(K$73=".", 1, (K12/K11)^(('Summary, PPI''s'!$K12+'Summary, PPI''s'!$K11)/('Predicted PPIs'!V12+'Predicted PPIs'!V11)))*IF(L$73=".", 1, (L12/L11)^(('Summary, PPI''s'!$L12+'Summary, PPI''s'!$L11)/('Predicted PPIs'!V12+'Predicted PPIs'!V11)))*IF(M$73=".", 1, (M12/M11)^(('Summary, PPI''s'!$M12+'Summary, PPI''s'!$M11)/('Predicted PPIs'!V12+'Predicted PPIs'!V11)))*IF(B$73=".", 1, (B12/B11)^(('Summary, PPI''s'!$B12+'Summary, PPI''s'!$B11)/('Predicted PPIs'!V12+'Predicted PPIs'!V11)))*IF(C$73=".", 1, (C12/C11)^(('Summary, PPI''s'!$C12+'Summary, PPI''s'!$C11)/('Predicted PPIs'!V12+'Predicted PPIs'!V11)))*IF(D$73=".", 1, (D12/D11)^(('Summary, PPI''s'!$D12+'Summary, PPI''s'!$D11)/('Predicted PPIs'!V12+'Predicted PPIs'!V11)))*IF(N$73=".", 1, (N12/N11)^(('Summary, PPI''s'!$N12+'Summary, PPI''s'!$N11)/('Predicted PPIs'!V12+'Predicted PPIs'!V11)))*IF(O$73=".", 1, (O12/O11)^(('Summary, PPI''s'!$O12+'Summary, PPI''s'!$O11)/('Predicted PPIs'!V12+'Predicted PPIs'!V11)))*IF(P$73=".", 1, (P12/P11)^(('Summary, PPI''s'!$P12+'Summary, PPI''s'!$P11)/('Predicted PPIs'!V12+'Predicted PPIs'!V11)))</f>
        <v>102.20041289248387</v>
      </c>
      <c r="AE12" s="4">
        <f>AE11*IF(E$94=".", 1, (E12/E11)^(('Summary, PPI''s'!$E12+'Summary, PPI''s'!$E11)/('Predicted PPIs'!W12+'Predicted PPIs'!W11)))*IF(F$94=".", 1, (F12/F11)^(('Summary, PPI''s'!$F12+'Summary, PPI''s'!$F11)/('Predicted PPIs'!W12+'Predicted PPIs'!W11)))*IF(G$94=".", 1, (G12/G11)^(('Summary, PPI''s'!$G12+'Summary, PPI''s'!$G11)/('Predicted PPIs'!W12+'Predicted PPIs'!W11)))*IF(H$94=".", 1, (H12/H11)^(('Summary, PPI''s'!$H12+'Summary, PPI''s'!$H11)/('Predicted PPIs'!W12+'Predicted PPIs'!W11)))*IF(I$94=".", 1, (I12/I11)^(('Summary, PPI''s'!$I12+'Summary, PPI''s'!$I11)/('Predicted PPIs'!W12+'Predicted PPIs'!W11)))*IF(J$94=".", 1, (J12/J11)^(('Summary, PPI''s'!$J12+'Summary, PPI''s'!$J11)/('Predicted PPIs'!W12+'Predicted PPIs'!W11)))*IF(K$94=".", 1, (K12/K11)^(('Summary, PPI''s'!$K12+'Summary, PPI''s'!$K11)/('Predicted PPIs'!W12+'Predicted PPIs'!W11)))*IF(L$94=".", 1, (L12/L11)^(('Summary, PPI''s'!$L12+'Summary, PPI''s'!$L11)/('Predicted PPIs'!W12+'Predicted PPIs'!W11)))*IF(M$94=".", 1, (M12/M11)^(('Summary, PPI''s'!$M12+'Summary, PPI''s'!$M11)/('Predicted PPIs'!W12+'Predicted PPIs'!W11)))*IF(B$94=".", 1, (B12/B11)^(('Summary, PPI''s'!$B12+'Summary, PPI''s'!$B11)/('Predicted PPIs'!W12+'Predicted PPIs'!W11)))*IF(C$94=".", 1, (C12/C11)^(('Summary, PPI''s'!$C12+'Summary, PPI''s'!$C11)/('Predicted PPIs'!W12+'Predicted PPIs'!W11)))*IF(D$94=".", 1, (D12/D11)^(('Summary, PPI''s'!$D12+'Summary, PPI''s'!$D11)/('Predicted PPIs'!W12+'Predicted PPIs'!W11)))*IF(N$94=".", 1, (N12/N11)^(('Summary, PPI''s'!$N12+'Summary, PPI''s'!$N11)/('Predicted PPIs'!W12+'Predicted PPIs'!W11)))*IF(O$94=".", 1, (O12/O11)^(('Summary, PPI''s'!$O12+'Summary, PPI''s'!$O11)/('Predicted PPIs'!W12+'Predicted PPIs'!W11)))*IF(P$94=".", 1, (P12/P11)^(('Summary, PPI''s'!$P12+'Summary, PPI''s'!$P11)/('Predicted PPIs'!W12+'Predicted PPIs'!W11)))</f>
        <v>101.12855442292368</v>
      </c>
      <c r="AF12" s="4">
        <f>AF11*IF(E$123=".", 1, (E12/E11)^(('Summary, PPI''s'!$E12+'Summary, PPI''s'!$E11)/('Predicted PPIs'!X12+'Predicted PPIs'!X11)))*IF(F$123=".", 1, (F12/F11)^(('Summary, PPI''s'!$F12+'Summary, PPI''s'!$F11)/('Predicted PPIs'!X12+'Predicted PPIs'!X11)))*IF(G$123=".", 1, (G12/G11)^(('Summary, PPI''s'!$G12+'Summary, PPI''s'!$G11)/('Predicted PPIs'!X12+'Predicted PPIs'!X11)))*IF(H$123=".", 1, (H12/H11)^(('Summary, PPI''s'!$H12+'Summary, PPI''s'!$H11)/('Predicted PPIs'!X12+'Predicted PPIs'!X11)))*IF(I$123=".", 1, (I12/I11)^(('Summary, PPI''s'!$I12+'Summary, PPI''s'!$I11)/('Predicted PPIs'!X12+'Predicted PPIs'!X11)))*IF(J$123=".", 1, (J12/J11)^(('Summary, PPI''s'!$J12+'Summary, PPI''s'!$J11)/('Predicted PPIs'!X12+'Predicted PPIs'!X11)))*IF(K$123=".", 1, (K12/K11)^(('Summary, PPI''s'!$K12+'Summary, PPI''s'!$K11)/('Predicted PPIs'!X12+'Predicted PPIs'!X11)))*IF(L$123=".", 1, (L12/L11)^(('Summary, PPI''s'!$L12+'Summary, PPI''s'!$L11)/('Predicted PPIs'!X12+'Predicted PPIs'!X11)))*IF(M$123=".", 1, (M12/M11)^(('Summary, PPI''s'!$M12+'Summary, PPI''s'!$M11)/('Predicted PPIs'!X12+'Predicted PPIs'!X11)))*IF(B$123=".", 1, (B12/B11)^(('Summary, PPI''s'!$B12+'Summary, PPI''s'!$B11)/('Predicted PPIs'!X12+'Predicted PPIs'!X11)))*IF(C$123=".", 1, (C12/C11)^(('Summary, PPI''s'!$C12+'Summary, PPI''s'!$C11)/('Predicted PPIs'!X12+'Predicted PPIs'!X11)))*IF(D$123=".", 1, (D12/D11)^(('Summary, PPI''s'!$D12+'Summary, PPI''s'!$D11)/('Predicted PPIs'!X12+'Predicted PPIs'!X11)))*IF(N$123=".", 1, (N12/N11)^(('Summary, PPI''s'!$N12+'Summary, PPI''s'!$N11)/('Predicted PPIs'!X12+'Predicted PPIs'!X11)))*IF(O$123=".", 1, (O12/O11)^(('Summary, PPI''s'!$O12+'Summary, PPI''s'!$O11)/('Predicted PPIs'!X12+'Predicted PPIs'!X11)))*IF(P$123=".", 1, (P12/P11)^(('Summary, PPI''s'!$P12+'Summary, PPI''s'!$P11)/('Predicted PPIs'!X12+'Predicted PPIs'!X11)))</f>
        <v>97.979682532743652</v>
      </c>
      <c r="AH12" s="13">
        <f t="shared" si="32"/>
        <v>106.38310815491157</v>
      </c>
      <c r="AJ12" s="4">
        <v>10698.9</v>
      </c>
      <c r="AK12" s="4">
        <v>-0.36799999999999999</v>
      </c>
      <c r="AL12" s="4">
        <v>-1284.0219999999999</v>
      </c>
      <c r="AM12" s="4">
        <v>-19.169</v>
      </c>
      <c r="AN12" s="4">
        <v>11219.3</v>
      </c>
      <c r="AO12" s="4">
        <v>2279.8000000000002</v>
      </c>
      <c r="AP12" s="4">
        <f>1020.045+0.004+0.408+15.328-1088.176</f>
        <v>-52.390999999999849</v>
      </c>
      <c r="AQ12" s="4">
        <f>1063.266+21.648+12.384+45.613-1566.515</f>
        <v>-423.60400000000004</v>
      </c>
      <c r="AR12" s="4">
        <v>-47.698999999999998</v>
      </c>
      <c r="AS12" s="4">
        <v>-68.58</v>
      </c>
      <c r="AT12" s="4">
        <v>98.17</v>
      </c>
      <c r="AU12" s="4">
        <v>96.203999999999994</v>
      </c>
      <c r="AV12" s="4">
        <v>98.012</v>
      </c>
      <c r="AW12" s="4">
        <v>98.23</v>
      </c>
      <c r="AX12" s="4">
        <v>99.203000000000003</v>
      </c>
      <c r="AY12" s="4">
        <v>98.641000000000005</v>
      </c>
      <c r="AZ12" s="4">
        <v>95.361999999999995</v>
      </c>
      <c r="BA12" s="4">
        <v>97.566000000000003</v>
      </c>
      <c r="BB12" s="4">
        <v>100.004</v>
      </c>
      <c r="BC12" s="4">
        <v>99.510999999999996</v>
      </c>
      <c r="BG12" s="4">
        <f>BG11*((AJ12/AT12)/(AJ11/AT11))^((AJ12+AJ11)/SUM(AJ11:AS12))*((AK12/AU12)/(AK11/AU11))^((AK12+AK11)/SUM(AJ11:AS12))*((AL12/AV12)/(AL11/AV11))^((AL12+AL11)/SUM(AJ11:AS12))*((AM12/AW12)/(AM11/AW11))^((AM12+AM11)/SUM(AJ11:AS12))*((AN12/AX12)/(AN11/AX11))^((AN12+AN11)/SUM(AJ11:AS12))*((AO12/AY12)/(AO11/AY11))^((AO12+AO11)/SUM(AJ11:AS12))*((AP12/AZ12)/(AP11/AZ11))^((AP12+AP11)/SUM(AJ11:AS12))*((AQ12/BA12)/(AQ11/BA11))^((AQ12+AQ11)/SUM(AJ11:AS12))*((AR12/BB12)/(AR11/BB11))^((AR12+AR11)/SUM(AJ11:AS12))*((AS12/BC12)/(AS11/BC11))^((AS12+AS11)/SUM(AJ11:AS12))</f>
        <v>96.624802292660931</v>
      </c>
      <c r="BI12" s="4">
        <v>311584047</v>
      </c>
      <c r="BJ12" s="4">
        <f>'[2]Ordinary Experience'!$E$414</f>
        <v>19.820289560231117</v>
      </c>
      <c r="BL12" s="4">
        <f t="shared" si="0"/>
        <v>97.585355660620181</v>
      </c>
      <c r="BM12" s="4">
        <f t="shared" si="34"/>
        <v>2.5475071465270061E-2</v>
      </c>
      <c r="BO12" s="4">
        <f>IF(OR('Summary, hourly ad costs'!R12=-9999,'Summary, PPI''s'!R12="."),".",(('Summary, hourly ad costs'!B12/'Summary, hourly ad costs'!R12)*100/('Summary, hourly ad costs'!B$11/'Summary, hourly ad costs'!R$11))/('Summary, PPI''s'!R12))</f>
        <v>1.010778087801266</v>
      </c>
      <c r="BP12" s="4" t="str">
        <f>IF(OR('Summary, hourly ad costs'!S12=-9999,'Summary, PPI''s'!S12="."),".",(('Summary, hourly ad costs'!C12/'Summary, hourly ad costs'!S12)*100/('Summary, hourly ad costs'!C$11/'Summary, hourly ad costs'!S$11))/('Summary, PPI''s'!S12))</f>
        <v>.</v>
      </c>
      <c r="BQ12" s="4" t="str">
        <f>IF(OR('Summary, hourly ad costs'!T12=-9999,'Summary, PPI''s'!T12="."),".",(('Summary, hourly ad costs'!D12/'Summary, hourly ad costs'!T12)*100/('Summary, hourly ad costs'!D$11/'Summary, hourly ad costs'!T$11))/('Summary, PPI''s'!T12))</f>
        <v>.</v>
      </c>
      <c r="BR12" s="4">
        <f>IF(OR('Summary, hourly ad costs'!U12=-9999,'Summary, PPI''s'!U12="."),".",(('Summary, hourly ad costs'!E12/'Summary, hourly ad costs'!U12)*100/('Summary, hourly ad costs'!E$11/'Summary, hourly ad costs'!U$11))/('Summary, PPI''s'!U12))</f>
        <v>1.0962769127224532</v>
      </c>
      <c r="BS12" s="4">
        <f>IF(OR('Summary, hourly ad costs'!V12=-9999,'Summary, PPI''s'!V12="."),".",(('Summary, hourly ad costs'!F12/'Summary, hourly ad costs'!V12)*100/('Summary, hourly ad costs'!F$11/'Summary, hourly ad costs'!V$11))/('Summary, PPI''s'!V12))</f>
        <v>1.1483154774681208</v>
      </c>
      <c r="BT12" s="4" t="str">
        <f>IF(OR('Summary, hourly ad costs'!W12=-9999,'Summary, PPI''s'!W12="."),".",(('Summary, hourly ad costs'!G12/'Summary, hourly ad costs'!W12)*100/('Summary, hourly ad costs'!G$11/'Summary, hourly ad costs'!W$11))/('Summary, PPI''s'!W12))</f>
        <v>.</v>
      </c>
      <c r="BU12" s="4">
        <f>IF(OR('Summary, hourly ad costs'!X12=-9999,'Summary, PPI''s'!X12="."),".",(('Summary, hourly ad costs'!H12/'Summary, hourly ad costs'!X12)*100/('Summary, hourly ad costs'!H$11/'Summary, hourly ad costs'!X$11))/('Summary, PPI''s'!X12))</f>
        <v>0.97212186170070325</v>
      </c>
      <c r="BV12" s="4">
        <f>IF(OR('Summary, hourly ad costs'!Y12=-9999,'Summary, PPI''s'!Y12="."),".",(('Summary, hourly ad costs'!I12/'Summary, hourly ad costs'!Y12)*100/('Summary, hourly ad costs'!I$11/'Summary, hourly ad costs'!Y$11))/('Summary, PPI''s'!Y12))</f>
        <v>1.0139954601797054</v>
      </c>
      <c r="BW12" s="4">
        <f>IF(OR('Summary, hourly ad costs'!Z12=-9999,'Summary, PPI''s'!Z12="."),".",(('Summary, hourly ad costs'!J12/'Summary, hourly ad costs'!Z12)*100/('Summary, hourly ad costs'!J$11/'Summary, hourly ad costs'!Z$11))/('Summary, PPI''s'!Z12))</f>
        <v>0.94505504656769845</v>
      </c>
      <c r="BX12" s="4">
        <f>IF(OR('Summary, hourly ad costs'!AA12=-9999,'Summary, PPI''s'!AA12="."),".",(('Summary, hourly ad costs'!K12/'Summary, hourly ad costs'!AA12)*100/('Summary, hourly ad costs'!K$11/'Summary, hourly ad costs'!AA$11))/('Summary, PPI''s'!AA12))</f>
        <v>1.0480748757736207</v>
      </c>
      <c r="BY12" s="4">
        <f>IF(OR('Summary, hourly ad costs'!AB12=-9999,'Summary, PPI''s'!AB12="."),".",(('Summary, hourly ad costs'!L12/'Summary, hourly ad costs'!AB12)*100/('Summary, hourly ad costs'!L$11/'Summary, hourly ad costs'!AB$11))/('Summary, PPI''s'!AB12))</f>
        <v>0.89587611126173783</v>
      </c>
      <c r="BZ12" s="4">
        <f>IF(OR('Summary, hourly ad costs'!AC12=-9999,'Summary, PPI''s'!AC12="."),".",(('Summary, hourly ad costs'!M12/'Summary, hourly ad costs'!AC12)*100/('Summary, hourly ad costs'!M$11/'Summary, hourly ad costs'!AC$11))/('Summary, PPI''s'!AC12))</f>
        <v>0.84544550947906738</v>
      </c>
      <c r="CA12" s="4" t="str">
        <f>IF(OR('Summary, hourly ad costs'!AD12=-9999,'Summary, PPI''s'!AD12="."),".",(('Summary, hourly ad costs'!N12/'Summary, hourly ad costs'!AD12)*100/('Summary, hourly ad costs'!N$11/'Summary, hourly ad costs'!AD$11))/('Summary, PPI''s'!AD12))</f>
        <v>.</v>
      </c>
      <c r="CB12" s="4" t="str">
        <f>IF(OR('Summary, hourly ad costs'!AE12=-9999,'Summary, PPI''s'!AE12="."),".",(('Summary, hourly ad costs'!O12/'Summary, hourly ad costs'!AE12)*100/('Summary, hourly ad costs'!O$11/'Summary, hourly ad costs'!AE$11))/('Summary, PPI''s'!AE12))</f>
        <v>.</v>
      </c>
      <c r="CC12" s="4" t="str">
        <f>IF(OR('Summary, hourly ad costs'!AF12=-9999,'Summary, PPI''s'!AF12="."),".",(('Summary, hourly ad costs'!P12/'Summary, hourly ad costs'!AF12)*100/('Summary, hourly ad costs'!P$11/'Summary, hourly ad costs'!AF$11))/('Summary, PPI''s'!AF12))</f>
        <v>.</v>
      </c>
      <c r="CE12" s="4">
        <f t="shared" si="1"/>
        <v>-4.2435240618617143E-2</v>
      </c>
      <c r="CF12" s="4" t="str">
        <f t="shared" si="2"/>
        <v>.</v>
      </c>
      <c r="CG12" s="4" t="str">
        <f t="shared" si="3"/>
        <v>.</v>
      </c>
      <c r="CH12" s="4">
        <f t="shared" si="4"/>
        <v>-1.1505838112937372E-2</v>
      </c>
      <c r="CI12" s="4">
        <f t="shared" si="5"/>
        <v>-4.2864265021078318E-2</v>
      </c>
      <c r="CJ12" s="4" t="str">
        <f t="shared" si="6"/>
        <v>.</v>
      </c>
      <c r="CK12" s="4">
        <f t="shared" si="7"/>
        <v>2.870366435742655E-2</v>
      </c>
      <c r="CL12" s="4">
        <f t="shared" si="8"/>
        <v>6.1124083743869351E-2</v>
      </c>
      <c r="CM12" s="4">
        <f t="shared" si="9"/>
        <v>6.8639600122157418E-2</v>
      </c>
      <c r="CN12" s="4">
        <f t="shared" si="10"/>
        <v>9.5613934038505377E-3</v>
      </c>
      <c r="CO12" s="4">
        <f t="shared" si="11"/>
        <v>0.35389580502072437</v>
      </c>
      <c r="CP12" s="4">
        <f t="shared" si="12"/>
        <v>0.15765983835431441</v>
      </c>
      <c r="CQ12" s="4" t="str">
        <f t="shared" si="13"/>
        <v>.</v>
      </c>
      <c r="CR12" s="4" t="str">
        <f t="shared" si="14"/>
        <v>.</v>
      </c>
      <c r="CS12" s="4" t="str">
        <f t="shared" si="15"/>
        <v>.</v>
      </c>
      <c r="CU12" s="5">
        <f>IF(CU11=".", ".", IF('Summary, PPI''s'!R12=".",IF(OR('Summary, hourly ad costs'!R12=-9999,'Summary, hourly ad costs'!R12=0), ".", 'Predicted PPIs'!CU11*('Summary, hourly ad costs'!B12/'Summary, hourly ad costs'!R12)/('Summary, hourly ad costs'!B11/'Summary, hourly ad costs'!R11)/(1-CE11)), 'Summary, PPI''s'!R12))</f>
        <v>100.49079754601225</v>
      </c>
      <c r="CV12" s="5">
        <f>IF(CV11=".", ".", IF('Summary, PPI''s'!S12=".",IF(OR('Summary, hourly ad costs'!S12=-9999,'Summary, hourly ad costs'!S12=0), ".", 'Predicted PPIs'!CV11*('Summary, hourly ad costs'!C12/'Summary, hourly ad costs'!S12)/('Summary, hourly ad costs'!C11/'Summary, hourly ad costs'!S11)/(1-CF11)), 'Summary, PPI''s'!S12))</f>
        <v>100.49079754601225</v>
      </c>
      <c r="CW12" s="5">
        <f>IF(CW11=".", ".", IF('Summary, PPI''s'!T12=".",IF(OR('Summary, hourly ad costs'!T12=-9999,'Summary, hourly ad costs'!T12=0), ".", 'Predicted PPIs'!CW11*('Summary, hourly ad costs'!D12/'Summary, hourly ad costs'!T12)/('Summary, hourly ad costs'!D11/'Summary, hourly ad costs'!T11)/(1-CG11)), 'Summary, PPI''s'!T12))</f>
        <v>99.033573262193599</v>
      </c>
      <c r="CX12" s="5">
        <f>IF(CX11=".", ".", IF('Summary, PPI''s'!U12=".",IF(OR('Summary, hourly ad costs'!U12=-9999,'Summary, hourly ad costs'!U12=0), ".", 'Predicted PPIs'!CX11*('Summary, hourly ad costs'!E12/'Summary, hourly ad costs'!U12)/('Summary, hourly ad costs'!E11/'Summary, hourly ad costs'!U11)/(1-CH11)), 'Summary, PPI''s'!U12))</f>
        <v>100.15018826416213</v>
      </c>
      <c r="CY12" s="5">
        <f>IF(CY11=".", ".", IF('Summary, PPI''s'!V12=".",IF(OR('Summary, hourly ad costs'!V12=-9999,'Summary, hourly ad costs'!V12=0), ".", 'Predicted PPIs'!CY11*('Summary, hourly ad costs'!F12/'Summary, hourly ad costs'!V12)/('Summary, hourly ad costs'!F11/'Summary, hourly ad costs'!V11)/(1-CI11)), 'Summary, PPI''s'!V12))</f>
        <v>98.329832365418653</v>
      </c>
      <c r="CZ12" s="5">
        <f>IF(CZ11=".", ".", IF('Summary, PPI''s'!W12=".",IF(OR('Summary, hourly ad costs'!W12=-9999,'Summary, hourly ad costs'!W12=0), ".", 'Predicted PPIs'!CZ11*('Summary, hourly ad costs'!G12/'Summary, hourly ad costs'!W12)/('Summary, hourly ad costs'!G11/'Summary, hourly ad costs'!W11)/(1-CJ11)), 'Summary, PPI''s'!W12))</f>
        <v>97.765592469870683</v>
      </c>
      <c r="DA12" s="5">
        <f>IF(DA11=".", ".", IF('Summary, PPI''s'!X12=".",IF(OR('Summary, hourly ad costs'!X12=-9999,'Summary, hourly ad costs'!X12=0), ".", 'Predicted PPIs'!DA11*('Summary, hourly ad costs'!H12/'Summary, hourly ad costs'!X12)/('Summary, hourly ad costs'!H11/'Summary, hourly ad costs'!X11)/(1-CK11)), 'Summary, PPI''s'!X12))</f>
        <v>98.116</v>
      </c>
      <c r="DB12" s="5">
        <f>IF(DB11=".", ".", IF('Summary, PPI''s'!Y12=".",IF(OR('Summary, hourly ad costs'!Y12=-9999,'Summary, hourly ad costs'!Y12=0), ".", 'Predicted PPIs'!DB11*('Summary, hourly ad costs'!I12/'Summary, hourly ad costs'!Y12)/('Summary, hourly ad costs'!I11/'Summary, hourly ad costs'!Y11)/(1-CL11)), 'Summary, PPI''s'!Y12))</f>
        <v>101.93564605329313</v>
      </c>
      <c r="DC12" s="5">
        <f>IF(DC11=".", ".", IF('Summary, PPI''s'!Z12=".",IF(OR('Summary, hourly ad costs'!Z12=-9999,'Summary, hourly ad costs'!Z12=0), ".", 'Predicted PPIs'!DC11*('Summary, hourly ad costs'!J12/'Summary, hourly ad costs'!Z12)/('Summary, hourly ad costs'!J11/'Summary, hourly ad costs'!Z11)/(1-CM11)), 'Summary, PPI''s'!Z12))</f>
        <v>92.108753315649849</v>
      </c>
      <c r="DD12" s="5">
        <f>IF(DD11=".", ".", IF('Summary, PPI''s'!AA12=".",IF(OR('Summary, hourly ad costs'!AA12=-9999,'Summary, hourly ad costs'!AA12=0), ".", 'Predicted PPIs'!DD11*('Summary, hourly ad costs'!K12/'Summary, hourly ad costs'!AA12)/('Summary, hourly ad costs'!K11/'Summary, hourly ad costs'!AA11)/(1-CN11)), 'Summary, PPI''s'!AA12))</f>
        <v>95.127176175964763</v>
      </c>
      <c r="DE12" s="5">
        <f>IF(DE11=".", ".", IF('Summary, PPI''s'!AB12=".",IF(OR('Summary, hourly ad costs'!AB12=-9999,'Summary, hourly ad costs'!AB12=0), ".", 'Predicted PPIs'!DE11*('Summary, hourly ad costs'!L12/'Summary, hourly ad costs'!AB12)/('Summary, hourly ad costs'!L11/'Summary, hourly ad costs'!AB11)/(1-CO11)), 'Summary, PPI''s'!AB12))</f>
        <v>106.84210526315789</v>
      </c>
      <c r="DF12" s="5">
        <f>IF(DF11=".", ".", IF('Summary, PPI''s'!AC12=".",IF(OR('Summary, hourly ad costs'!AC12=-9999,'Summary, hourly ad costs'!AC12=0), ".", 'Predicted PPIs'!DF11*('Summary, hourly ad costs'!M12/'Summary, hourly ad costs'!AC12)/('Summary, hourly ad costs'!M11/'Summary, hourly ad costs'!AC11)/(1-CP11)), 'Summary, PPI''s'!AC12))</f>
        <v>102.10544045814385</v>
      </c>
      <c r="DG12" s="5">
        <f>IF(DG11=".", ".", IF('Summary, PPI''s'!AD12=".",IF(OR('Summary, hourly ad costs'!AD12=-9999,'Summary, hourly ad costs'!AD12=0), ".", 'Predicted PPIs'!DG11*('Summary, hourly ad costs'!N12/'Summary, hourly ad costs'!AD12)/('Summary, hourly ad costs'!N11/'Summary, hourly ad costs'!AD11)/(1-CQ11)), 'Summary, PPI''s'!AD12))</f>
        <v>98.585871512669584</v>
      </c>
      <c r="DH12" s="5">
        <f>IF(DH11=".", ".", IF('Summary, PPI''s'!AE12=".",IF(OR('Summary, hourly ad costs'!AE12=-9999,'Summary, hourly ad costs'!AE12=0), ".", 'Predicted PPIs'!DH11*('Summary, hourly ad costs'!O12/'Summary, hourly ad costs'!AE12)/('Summary, hourly ad costs'!O11/'Summary, hourly ad costs'!AE11)/(1-CR11)), 'Summary, PPI''s'!AE12))</f>
        <v>97.162999999999997</v>
      </c>
      <c r="DI12" s="5">
        <f>IF(DI11=".", ".", IF('Summary, PPI''s'!AF12=".",IF(OR('Summary, hourly ad costs'!AF12=-9999,'Summary, hourly ad costs'!AF12=0), ".", 'Predicted PPIs'!DI11*('Summary, hourly ad costs'!P12/'Summary, hourly ad costs'!AF12)/('Summary, hourly ad costs'!P11/'Summary, hourly ad costs'!AF11)/(1-CS11)), 'Summary, PPI''s'!AF12))</f>
        <v>98.221999999999994</v>
      </c>
      <c r="DK12" s="4">
        <v>97.685000000000002</v>
      </c>
      <c r="DM12" s="5">
        <f t="shared" si="16"/>
        <v>-2.4366529580539198E-2</v>
      </c>
      <c r="DN12" s="5">
        <f t="shared" si="17"/>
        <v>-2.4366529580539198E-2</v>
      </c>
      <c r="DO12" s="5">
        <f t="shared" si="18"/>
        <v>-2.1898187540592584E-2</v>
      </c>
      <c r="DP12" s="5">
        <f t="shared" si="19"/>
        <v>-3.216914117152514E-2</v>
      </c>
      <c r="DQ12" s="5">
        <f t="shared" si="20"/>
        <v>-5.0677209838808635E-3</v>
      </c>
      <c r="DR12" s="5">
        <f t="shared" si="21"/>
        <v>-1.1913978580653017E-2</v>
      </c>
      <c r="DS12" s="5">
        <f t="shared" si="22"/>
        <v>-1.8385316906284754E-2</v>
      </c>
      <c r="DT12" s="5">
        <f t="shared" si="23"/>
        <v>-4.0031210376606952E-2</v>
      </c>
      <c r="DU12" s="5">
        <f t="shared" si="24"/>
        <v>-3.1647218688527712E-2</v>
      </c>
      <c r="DV12" s="5">
        <f t="shared" si="25"/>
        <v>1.7917464613206979E-2</v>
      </c>
      <c r="DW12" s="5">
        <f t="shared" si="26"/>
        <v>-9.3499282249293159E-2</v>
      </c>
      <c r="DX12" s="5">
        <f t="shared" si="27"/>
        <v>-2.7065531197223991E-2</v>
      </c>
      <c r="DY12" s="5">
        <f t="shared" si="28"/>
        <v>-2.0499553204555321E-2</v>
      </c>
      <c r="DZ12" s="5">
        <f t="shared" si="29"/>
        <v>-2.4594853693970187E-2</v>
      </c>
      <c r="EA12" s="5">
        <f t="shared" si="30"/>
        <v>-4.955522061949047E-4</v>
      </c>
      <c r="EC12" s="1">
        <f t="shared" si="35"/>
        <v>100.49079754601225</v>
      </c>
      <c r="ED12" s="1">
        <f t="shared" si="36"/>
        <v>100.49079754601225</v>
      </c>
      <c r="EE12" s="1">
        <f t="shared" si="37"/>
        <v>99.033573262193599</v>
      </c>
      <c r="EF12" s="1">
        <f t="shared" si="38"/>
        <v>100.15018826416213</v>
      </c>
      <c r="EG12" s="1">
        <f t="shared" si="39"/>
        <v>98.329832365418653</v>
      </c>
      <c r="EH12" s="1">
        <f t="shared" si="40"/>
        <v>97.765592469870683</v>
      </c>
      <c r="EI12" s="1">
        <f t="shared" si="41"/>
        <v>98.116</v>
      </c>
      <c r="EJ12" s="1">
        <f t="shared" si="42"/>
        <v>101.93564605329313</v>
      </c>
      <c r="EK12" s="1">
        <f t="shared" si="43"/>
        <v>92.108753315649849</v>
      </c>
      <c r="EL12" s="1">
        <f t="shared" si="44"/>
        <v>95.127176175964763</v>
      </c>
      <c r="EM12" s="1">
        <f t="shared" si="45"/>
        <v>106.84210526315789</v>
      </c>
      <c r="EN12" s="1">
        <f t="shared" si="46"/>
        <v>102.10544045814385</v>
      </c>
      <c r="EO12" s="1">
        <f t="shared" si="47"/>
        <v>98.585871512669584</v>
      </c>
      <c r="EP12" s="1">
        <f t="shared" si="48"/>
        <v>97.162999999999997</v>
      </c>
      <c r="EQ12" s="1">
        <f t="shared" si="49"/>
        <v>98.221999999999994</v>
      </c>
      <c r="ES12" s="1">
        <f>IF(EF$26=".", 0, 'Summary, PPI''s'!E12)+IF(EG$26=".", 0, 'Summary, PPI''s'!F12)+IF(EH$26=".", 0, 'Summary, PPI''s'!G12)+IF(EI$26=".", 0, 'Summary, PPI''s'!H12)+IF(EJ$26=".", 0, 'Summary, PPI''s'!I12)+IF(EK$26=".", 0, 'Summary, PPI''s'!J12)+IF(EL$26=".", 0, 'Summary, PPI''s'!K12)+IF(EM$26=".", 0, 'Summary, PPI''s'!L12)+IF(EN$26=".", 0, 'Summary, PPI''s'!M12)+IF(EC$26=".", 0, 'Summary, PPI''s'!B12)+IF(ED$26=".", 0, 'Summary, PPI''s'!C12)+IF(EE$26=".", 0, 'Summary, PPI''s'!D12)+IF(EO$26=".", 0, 'Summary, PPI''s'!N12)+IF(EP$26=".", 0, 'Summary, PPI''s'!O12)+IF(EQ$26=".", 0, 'Summary, PPI''s'!P12)</f>
        <v>305474710.22825253</v>
      </c>
      <c r="ET12" s="1">
        <f>'Summary, hourly ad costs'!E12+'Summary, hourly ad costs'!F12+'Summary, hourly ad costs'!H12+'Summary, hourly ad costs'!I12+'Summary, hourly ad costs'!J12+'Summary, hourly ad costs'!K12+'Summary, hourly ad costs'!L12+'Summary, hourly ad costs'!M12+'Summary, hourly ad costs'!B12</f>
        <v>165872758.42409039</v>
      </c>
      <c r="EV12" s="13">
        <f>EV11*IF(EF$26=".", 1, (EF12/EF11)^(('Summary, PPI''s'!$E12+'Summary, PPI''s'!$E11)/('Predicted PPIs'!ES12+'Predicted PPIs'!ES11)))*IF(EG$26=".", 1, (EG12/EG11)^(('Summary, PPI''s'!$F12+'Summary, PPI''s'!$F11)/('Predicted PPIs'!ES12+'Predicted PPIs'!ES11)))*IF(EH$26=".", 1, (EH12/EH11)^(('Summary, PPI''s'!$G12+'Summary, PPI''s'!$G11)/('Predicted PPIs'!ES12+'Predicted PPIs'!ES11)))*IF(EI$26=".", 1, (EI12/EI11)^(('Summary, PPI''s'!$H12+'Summary, PPI''s'!$H11)/('Predicted PPIs'!ES12+'Predicted PPIs'!ES11)))*IF(EJ$26=".", 1, (EJ12/EJ11)^(('Summary, PPI''s'!$I12+'Summary, PPI''s'!$I11)/('Predicted PPIs'!ES12+'Predicted PPIs'!ES11)))*IF(EK$26=".", 1, (EK12/EK11)^(('Summary, PPI''s'!$J12+'Summary, PPI''s'!$J11)/('Predicted PPIs'!ES12+'Predicted PPIs'!ES11)))*IF(EL$26=".", 1, (EL12/EL11)^(('Summary, PPI''s'!$K12+'Summary, PPI''s'!$K11)/('Predicted PPIs'!ES12+'Predicted PPIs'!ES11)))*IF(EM$26=".", 1, (EM12/EM11)^(('Summary, PPI''s'!$L12+'Summary, PPI''s'!$L11)/('Predicted PPIs'!ES12+'Predicted PPIs'!ES11)))*IF(EN$26=".", 1, (EN12/EN11)^(('Summary, PPI''s'!$M12+'Summary, PPI''s'!$M11)/('Predicted PPIs'!ES12+'Predicted PPIs'!ES11)))*IF(EC$26=".", 1, (EC12/EC11)^(('Summary, PPI''s'!$B12+'Summary, PPI''s'!$B11)/('Predicted PPIs'!ES12+'Predicted PPIs'!ES11)))*IF(ED$26=".", 1, (ED12/ED11)^(('Summary, PPI''s'!$C12+'Summary, PPI''s'!$C11)/('Predicted PPIs'!ES12+'Predicted PPIs'!ES11)))*IF(EE$26=".", 1, (EE12/EE11)^(('Summary, PPI''s'!$D12+'Summary, PPI''s'!$D11)/('Predicted PPIs'!ES12+'Predicted PPIs'!ES11)))*IF(EO$26=".", 1, (EO12/EO11)^(('Summary, PPI''s'!$N12+'Summary, PPI''s'!$N11)/('Predicted PPIs'!ES12+'Predicted PPIs'!ES11)))*IF(EP$26=".", 1, (EP12/EP11)^(('Summary, PPI''s'!$O12+'Summary, PPI''s'!$O11)/('Predicted PPIs'!ES12+'Predicted PPIs'!ES11)))*IF(EQ$26=".", 1, (EQ12/EQ11)^(('Summary, PPI''s'!$P12+'Summary, PPI''s'!$P11)/('Predicted PPIs'!ES12+'Predicted PPIs'!ES11)))</f>
        <v>106.38310815491157</v>
      </c>
      <c r="EW12" s="13">
        <f>EW11*IF(EF$26=".", 1, (EF12/EF11)^(('Summary, PPI''s'!$E12+'Summary, PPI''s'!$E11)/('Predicted PPIs'!ET12+'Predicted PPIs'!ET11)))*IF(EG$26=".", 1, (EG12/EG11)^(('Summary, PPI''s'!$F12+'Summary, PPI''s'!$F11)/('Predicted PPIs'!ET12+'Predicted PPIs'!ET11)))*IF(EH$26=".", 1, (EH12/EH11)^(('Summary, PPI''s'!$G12+'Summary, PPI''s'!$G11)/('Predicted PPIs'!ET12+'Predicted PPIs'!ET11)))*IF(EK$26=".", 1, (EK12/EK11)^(('Summary, PPI''s'!$J12+'Summary, PPI''s'!$J11)/('Predicted PPIs'!ET12+'Predicted PPIs'!ET11)))*IF(EL$26=".", 1, (EL12/EL11)^(('Summary, PPI''s'!$K12+'Summary, PPI''s'!$K11)/('Predicted PPIs'!ET12+'Predicted PPIs'!ET11)))*IF(EM$26=".", 1, (EM12/EM11)^(('Summary, PPI''s'!$L12+'Summary, PPI''s'!$L11)/('Predicted PPIs'!ET12+'Predicted PPIs'!ET11)))*IF(EN$26=".", 1, (EN12/EN11)^(('Summary, PPI''s'!$M12+'Summary, PPI''s'!$M11)/('Predicted PPIs'!ET12+'Predicted PPIs'!ET11)))*IF(EC$26=".", 1, (EC12/EC11)^(('Summary, PPI''s'!$B12+'Summary, PPI''s'!$B11)/('Predicted PPIs'!ET12+'Predicted PPIs'!ET11)))</f>
        <v>119.31478876651985</v>
      </c>
      <c r="EY12" s="2"/>
    </row>
    <row r="13" spans="1:155" x14ac:dyDescent="0.3">
      <c r="A13" s="4">
        <v>2010</v>
      </c>
      <c r="B13" s="10">
        <f>IF(B12=".", ".", IF('Summary, PPI''s'!R13=".",IF(OR('Summary, hourly ad costs'!R13=-9999,'Summary, hourly ad costs'!R13=0), ".", 'Predicted PPIs'!B12*('Summary, hourly ad costs'!B13/'Summary, hourly ad costs'!R13)/('Summary, hourly ad costs'!B12/'Summary, hourly ad costs'!R12)), 'Summary, PPI''s'!R13))</f>
        <v>100.06401707121897</v>
      </c>
      <c r="C13" s="10">
        <f>IF(C12=".", ".", IF('Summary, PPI''s'!S13=".",IF(OR('Summary, hourly ad costs'!S13=-9999,'Summary, hourly ad costs'!S13=0), ".", 'Predicted PPIs'!C12*('Summary, hourly ad costs'!C13/'Summary, hourly ad costs'!S13)/('Summary, hourly ad costs'!C12/'Summary, hourly ad costs'!S12)), 'Summary, PPI''s'!S13))</f>
        <v>100.06401707121897</v>
      </c>
      <c r="D13" s="10">
        <f>IF(D12=".", ".", IF('Summary, PPI''s'!T13=".",IF(OR('Summary, hourly ad costs'!T13=-9999,'Summary, hourly ad costs'!T13=0), ".", 'Predicted PPIs'!D12*('Summary, hourly ad costs'!D13/'Summary, hourly ad costs'!T13)/('Summary, hourly ad costs'!D12/'Summary, hourly ad costs'!T12)), 'Summary, PPI''s'!T13))</f>
        <v>98.364121407358965</v>
      </c>
      <c r="E13" s="10">
        <f>IF(E12=".", ".", IF('Summary, PPI''s'!U13=".",IF(OR('Summary, hourly ad costs'!U13=-9999,'Summary, hourly ad costs'!U13=0), ".", 'Predicted PPIs'!E12*('Summary, hourly ad costs'!E13/'Summary, hourly ad costs'!U13)/('Summary, hourly ad costs'!E12/'Summary, hourly ad costs'!U12)), 'Summary, PPI''s'!U13))</f>
        <v>100.52883191606378</v>
      </c>
      <c r="F13" s="10">
        <f>IF(F12=".", ".", IF('Summary, PPI''s'!V13=".",IF(OR('Summary, hourly ad costs'!V13=-9999,'Summary, hourly ad costs'!V13=0), ".", 'Predicted PPIs'!F12*('Summary, hourly ad costs'!F13/'Summary, hourly ad costs'!V13)/('Summary, hourly ad costs'!F12/'Summary, hourly ad costs'!V12)), 'Summary, PPI''s'!V13))</f>
        <v>96.013015363070949</v>
      </c>
      <c r="G13" s="10">
        <f>IF(G12=".", ".", IF('Summary, PPI''s'!W13=".",IF(OR('Summary, hourly ad costs'!W13=-9999,'Summary, hourly ad costs'!W13=0), ".", 'Predicted PPIs'!G12*('Summary, hourly ad costs'!G13/'Summary, hourly ad costs'!W13)/('Summary, hourly ad costs'!G12/'Summary, hourly ad costs'!W12)), 'Summary, PPI''s'!W13))</f>
        <v>96.123508195759911</v>
      </c>
      <c r="H13" s="10">
        <f>IF(H12=".", ".", IF('Summary, PPI''s'!X13=".",IF(OR('Summary, hourly ad costs'!X13=-9999,'Summary, hourly ad costs'!X13=0), ".", 'Predicted PPIs'!H12*('Summary, hourly ad costs'!H13/'Summary, hourly ad costs'!X13)/('Summary, hourly ad costs'!H12/'Summary, hourly ad costs'!X12)), 'Summary, PPI''s'!X13))</f>
        <v>97.103999999999999</v>
      </c>
      <c r="I13" s="10">
        <f>IF(I12=".", ".", IF('Summary, PPI''s'!Y13=".",IF(OR('Summary, hourly ad costs'!Y13=-9999,'Summary, hourly ad costs'!Y13=0), ".", 'Predicted PPIs'!I12*('Summary, hourly ad costs'!I13/'Summary, hourly ad costs'!Y13)/('Summary, hourly ad costs'!I12/'Summary, hourly ad costs'!Y12)), 'Summary, PPI''s'!Y13))</f>
        <v>103.15904139433552</v>
      </c>
      <c r="J13" s="10">
        <f>IF(J12=".", ".", IF('Summary, PPI''s'!Z13=".",IF(OR('Summary, hourly ad costs'!Z13=-9999,'Summary, hourly ad costs'!Z13=0), ".", 'Predicted PPIs'!J12*('Summary, hourly ad costs'!J13/'Summary, hourly ad costs'!Z13)/('Summary, hourly ad costs'!J12/'Summary, hourly ad costs'!Z12)), 'Summary, PPI''s'!Z13))</f>
        <v>92.407161803713535</v>
      </c>
      <c r="K13" s="10">
        <f>IF(K12=".", ".", IF('Summary, PPI''s'!AA13=".",IF(OR('Summary, hourly ad costs'!AA13=-9999,'Summary, hourly ad costs'!AA13=0), ".", 'Predicted PPIs'!K12*('Summary, hourly ad costs'!K13/'Summary, hourly ad costs'!AA13)/('Summary, hourly ad costs'!K12/'Summary, hourly ad costs'!AA12)), 'Summary, PPI''s'!AA13))</f>
        <v>90.788401774130278</v>
      </c>
      <c r="L13" s="10">
        <f>IF(L12=".", ".", IF('Summary, PPI''s'!AB13=".",IF(OR('Summary, hourly ad costs'!AB13=-9999,'Summary, hourly ad costs'!AB13=0), ".", 'Predicted PPIs'!L12*('Summary, hourly ad costs'!L13/'Summary, hourly ad costs'!AB13)/('Summary, hourly ad costs'!L12/'Summary, hourly ad costs'!AB12)), 'Summary, PPI''s'!AB13))</f>
        <v>114.50187969924811</v>
      </c>
      <c r="M13" s="10">
        <f>IF(M12=".", ".", IF('Summary, PPI''s'!AC13=".",IF(OR('Summary, hourly ad costs'!AC13=-9999,'Summary, hourly ad costs'!AC13=0), ".", 'Predicted PPIs'!M12*('Summary, hourly ad costs'!M13/'Summary, hourly ad costs'!AC13)/('Summary, hourly ad costs'!M12/'Summary, hourly ad costs'!AC12)), 'Summary, PPI''s'!AC13))</f>
        <v>101.95384874515749</v>
      </c>
      <c r="N13" s="10">
        <f>IF(N12=".", ".", IF('Summary, PPI''s'!AD13=".",IF(OR('Summary, hourly ad costs'!AD13=-9999,'Summary, hourly ad costs'!AD13=0), ".", 'Predicted PPIs'!N12*('Summary, hourly ad costs'!N13/'Summary, hourly ad costs'!AD13)/('Summary, hourly ad costs'!N12/'Summary, hourly ad costs'!AD12)), 'Summary, PPI''s'!AD13))</f>
        <v>97.77962631174816</v>
      </c>
      <c r="O13" s="10">
        <f>IF(O12=".", ".", IF('Summary, PPI''s'!AE13=".",IF(OR('Summary, hourly ad costs'!AE13=-9999,'Summary, hourly ad costs'!AE13=0), ".", 'Predicted PPIs'!O12*('Summary, hourly ad costs'!O13/'Summary, hourly ad costs'!AE13)/('Summary, hourly ad costs'!O12/'Summary, hourly ad costs'!AE12)), 'Summary, PPI''s'!AE13))</f>
        <v>96.772999999999996</v>
      </c>
      <c r="P13" s="10">
        <f>IF(P12=".", ".", IF('Summary, PPI''s'!AF13=".",IF(OR('Summary, hourly ad costs'!AF13=-9999,'Summary, hourly ad costs'!AF13=0), ".", 'Predicted PPIs'!P12*('Summary, hourly ad costs'!P13/'Summary, hourly ad costs'!AF13)/('Summary, hourly ad costs'!P12/'Summary, hourly ad costs'!AF12)), 'Summary, PPI''s'!AF13))</f>
        <v>95.468999999999994</v>
      </c>
      <c r="R13" s="1">
        <f>IF(E$26=".", 0, 'Summary, PPI''s'!E13)+IF(F$26=".", 0, 'Summary, PPI''s'!F13)+IF(G$26=".", 0, 'Summary, PPI''s'!G13)+IF(H$26=".", 0, 'Summary, PPI''s'!H13)+IF(I$26=".", 0, 'Summary, PPI''s'!I13)+IF(J$26=".", 0, 'Summary, PPI''s'!J13)+IF(K$26=".", 0, 'Summary, PPI''s'!K13)+IF(L$26=".", 0, 'Summary, PPI''s'!L13)+IF(M$26=".", 0, 'Summary, PPI''s'!M13)+IF(B$26=".", 0, 'Summary, PPI''s'!B13)+IF(C$26=".", 0, 'Summary, PPI''s'!C13)+IF(D$26=".", 0, 'Summary, PPI''s'!D13)+IF(N$26=".", 0, 'Summary, PPI''s'!N13)+IF(O$26=".", 0, 'Summary, PPI''s'!O13)+IF(P$26=".", 0, 'Summary, PPI''s'!P13)</f>
        <v>295111721.37295425</v>
      </c>
      <c r="S13" s="1">
        <f>IF(E$36=".", 0, 'Summary, PPI''s'!E13)+IF(F$36=".", 0, 'Summary, PPI''s'!F13)+IF(G$36=".", 0, 'Summary, PPI''s'!G13)+IF(H$36=".", 0, 'Summary, PPI''s'!H13)+IF(I$36=".", 0, 'Summary, PPI''s'!I13)+IF(J$36=".", 0, 'Summary, PPI''s'!J13)+IF(K$36=".", 0, 'Summary, PPI''s'!K13)+IF(L$36=".", 0, 'Summary, PPI''s'!L13)+IF(M$36=".", 0, 'Summary, PPI''s'!M13)+IF(B$36=".", 0, 'Summary, PPI''s'!B13)+IF(C$36=".", 0, 'Summary, PPI''s'!C13)+IF(D$36=".", 0, 'Summary, PPI''s'!D13)+IF(N$36=".", 0, 'Summary, PPI''s'!N13)+IF(O$36=".", 0, 'Summary, PPI''s'!O13)+IF(P$36=".", 0, 'Summary, PPI''s'!P13)</f>
        <v>265924636.54772615</v>
      </c>
      <c r="T13" s="1">
        <f>IF(E$46=".", 0, 'Summary, PPI''s'!E13)+IF(F$46=".", 0, 'Summary, PPI''s'!F13)+IF(G$46=".", 0, 'Summary, PPI''s'!G13)+IF(H$46=".", 0, 'Summary, PPI''s'!H13)+IF(I$46=".", 0, 'Summary, PPI''s'!I13)+IF(J$46=".", 0, 'Summary, PPI''s'!J13)+IF(K$46=".", 0, 'Summary, PPI''s'!K13)+IF(L$46=".", 0, 'Summary, PPI''s'!L13)+IF(M$46=".", 0, 'Summary, PPI''s'!M13)+IF(B$46=".", 0, 'Summary, PPI''s'!B13)+IF(C$46=".", 0, 'Summary, PPI''s'!C13)+IF(D$46=".", 0, 'Summary, PPI''s'!D13)+IF(N$46=".", 0, 'Summary, PPI''s'!N13)+IF(O$46=".", 0, 'Summary, PPI''s'!O13)+IF(P$46=".", 0, 'Summary, PPI''s'!P13)</f>
        <v>162965887.89121228</v>
      </c>
      <c r="U13" s="1">
        <f>IF(E$60=".", 0, 'Summary, PPI''s'!E13)+IF(F$60=".", 0, 'Summary, PPI''s'!F13)+IF(G$60=".", 0, 'Summary, PPI''s'!G13)+IF(H$60=".", 0, 'Summary, PPI''s'!H13)+IF(I$60=".", 0, 'Summary, PPI''s'!I13)+IF(J$60=".", 0, 'Summary, PPI''s'!J13)+IF(K$60=".", 0, 'Summary, PPI''s'!K13)+IF(L$60=".", 0, 'Summary, PPI''s'!L13)+IF(M$60=".", 0, 'Summary, PPI''s'!M13)+IF(B$60=".", 0, 'Summary, PPI''s'!B13)+IF(C$60=".", 0, 'Summary, PPI''s'!C13)+IF(D$60=".", 0, 'Summary, PPI''s'!D13)+IF(N$60=".", 0, 'Summary, PPI''s'!N13)+IF(O$60=".", 0, 'Summary, PPI''s'!O13)+IF(P$60=".", 0, 'Summary, PPI''s'!P13)</f>
        <v>108144923.17602274</v>
      </c>
      <c r="V13" s="1">
        <f>IF(E$73=".", 0, 'Summary, PPI''s'!E13)+IF(F$73=".", 0, 'Summary, PPI''s'!F13)+IF(G$73=".", 0, 'Summary, PPI''s'!G13)+IF(H$73=".", 0, 'Summary, PPI''s'!H13)+IF(I$73=".", 0, 'Summary, PPI''s'!I13)+IF(J$73=".", 0, 'Summary, PPI''s'!J13)+IF(K$73=".", 0, 'Summary, PPI''s'!K13)+IF(L$73=".", 0, 'Summary, PPI''s'!L13)+IF(M$73=".", 0, 'Summary, PPI''s'!M13)+IF(B$73=".", 0, 'Summary, PPI''s'!B13)+IF(C$73=".", 0, 'Summary, PPI''s'!C13)+IF(D$73=".", 0, 'Summary, PPI''s'!D13)+IF(N$73=".", 0, 'Summary, PPI''s'!N13)+IF(O$73=".", 0, 'Summary, PPI''s'!O13)+IF(P$73=".", 0, 'Summary, PPI''s'!P13)</f>
        <v>89435157.559589505</v>
      </c>
      <c r="W13" s="1">
        <f>IF(E$94=".",0,'Summary, PPI''s'!E13)+IF(F$94=".",0,'Summary, PPI''s'!F13)+IF(G$94=".",0,'Summary, PPI''s'!G13)+IF(H$94=".",0,'Summary, PPI''s'!H13)+IF(I$94=".",0,'Summary, PPI''s'!I13)+IF(J$94=".",0,'Summary, PPI''s'!J13)+IF(K$94=".",0,'Summary, PPI''s'!K13)+IF(L$94=".",0,'Summary, PPI''s'!L13)+IF(M$94=".",0,'Summary, PPI''s'!M13)+IF(B$94=".",0,'Summary, PPI''s'!B13)+IF(C$94=".",0,'Summary, PPI''s'!C13)+IF(D$94=".",0,'Summary, PPI''s'!D13)+IF(N$94=".",0,'Summary, PPI''s'!N13)+IF(O$94=".",0,'Summary, PPI''s'!O13)+IF(P$94=".",0,'Summary, PPI''s'!P13)</f>
        <v>60094889.70788759</v>
      </c>
      <c r="X13" s="1">
        <f>IF(E$123=".", 0, 'Summary, PPI''s'!E13)+IF(F$123=".", 0, 'Summary, PPI''s'!F13)+IF(G$123=".", 0, 'Summary, PPI''s'!G13)+IF(H$123=".", 0, 'Summary, PPI''s'!H13)+IF(I$123=".", 0, 'Summary, PPI''s'!I13)+IF(J$123=".", 0, 'Summary, PPI''s'!J13)+IF(K$123=".", 0, 'Summary, PPI''s'!K13)+IF(L$123=".", 0, 'Summary, PPI''s'!L13)+IF(M$123=".", 0, 'Summary, PPI''s'!M13)+IF(B$123=".", 0, 'Summary, PPI''s'!B13)+IF(C$123=".", 0, 'Summary, PPI''s'!C13)+IF(D$123=".", 0, 'Summary, PPI''s'!D13)+IF(N$123=".", 0, 'Summary, PPI''s'!N13)+IF(O$123=".", 0, 'Summary, PPI''s'!O13)+IF(P$123=".", 0, 'Summary, PPI''s'!P13)</f>
        <v>45309320.803293854</v>
      </c>
      <c r="Z13" s="4">
        <f>Z12*IF(E$26=".", 1, (E13/E12)^(('Summary, PPI''s'!$E13+'Summary, PPI''s'!$E12)/('Predicted PPIs'!R13+'Predicted PPIs'!R12)))*IF(F$26=".", 1, (F13/F12)^(('Summary, PPI''s'!$F13+'Summary, PPI''s'!$F12)/('Predicted PPIs'!R13+'Predicted PPIs'!R12)))*IF(G$26=".", 1, (G13/G12)^(('Summary, PPI''s'!$G13+'Summary, PPI''s'!$G12)/('Predicted PPIs'!R13+'Predicted PPIs'!R12)))*IF(H$26=".", 1, (H13/H12)^(('Summary, PPI''s'!$H13+'Summary, PPI''s'!$H12)/('Predicted PPIs'!R13+'Predicted PPIs'!R12)))*IF(I$26=".", 1, (I13/I12)^(('Summary, PPI''s'!$I13+'Summary, PPI''s'!$I12)/('Predicted PPIs'!R13+'Predicted PPIs'!R12)))*IF(J$26=".", 1, (J13/J12)^(('Summary, PPI''s'!$J13+'Summary, PPI''s'!$J12)/('Predicted PPIs'!R13+'Predicted PPIs'!R12)))*IF(K$26=".", 1, (K13/K12)^(('Summary, PPI''s'!$K13+'Summary, PPI''s'!$K12)/('Predicted PPIs'!R13+'Predicted PPIs'!R12)))*IF(L$26=".", 1, (L13/L12)^(('Summary, PPI''s'!$L13+'Summary, PPI''s'!$L12)/('Predicted PPIs'!R13+'Predicted PPIs'!R12)))*IF(M$26=".", 1, (M13/M12)^(('Summary, PPI''s'!$M13+'Summary, PPI''s'!$M12)/('Predicted PPIs'!R13+'Predicted PPIs'!R12)))*IF(B$26=".", 1, (B13/B12)^(('Summary, PPI''s'!$B13+'Summary, PPI''s'!$B12)/('Predicted PPIs'!R13+'Predicted PPIs'!R12)))*IF(C$26=".", 1, (C13/C12)^(('Summary, PPI''s'!$C13+'Summary, PPI''s'!$C12)/('Predicted PPIs'!R13+'Predicted PPIs'!R12)))*IF(D$26=".", 1, (D13/D12)^(('Summary, PPI''s'!$D13+'Summary, PPI''s'!$D12)/('Predicted PPIs'!R13+'Predicted PPIs'!R12)))*IF(N$26=".", 1, (N13/N12)^(('Summary, PPI''s'!$N13+'Summary, PPI''s'!$N12)/('Predicted PPIs'!R13+'Predicted PPIs'!R12)))*IF(O$26=".", 1, (O13/O12)^(('Summary, PPI''s'!$O13+'Summary, PPI''s'!$O12)/('Predicted PPIs'!R13+'Predicted PPIs'!R12)))*IF(P$26=".", 1, (P13/P12)^(('Summary, PPI''s'!$P13+'Summary, PPI''s'!$P12)/('Predicted PPIs'!R13+'Predicted PPIs'!R12)))</f>
        <v>105.79756773894383</v>
      </c>
      <c r="AA13" s="4">
        <f>AA12*IF(E$36=".", 1, (E13/E12)^(('Summary, PPI''s'!$E13+'Summary, PPI''s'!$E12)/('Predicted PPIs'!S13+'Predicted PPIs'!S12)))*IF(F$36=".", 1, (F13/F12)^(('Summary, PPI''s'!$F13+'Summary, PPI''s'!$F12)/('Predicted PPIs'!S13+'Predicted PPIs'!S12)))*IF(G$36=".", 1, (G13/G12)^(('Summary, PPI''s'!$G13+'Summary, PPI''s'!$G12)/('Predicted PPIs'!S13+'Predicted PPIs'!S12)))*IF(H$36=".", 1, (H13/H12)^(('Summary, PPI''s'!$H13+'Summary, PPI''s'!$H12)/('Predicted PPIs'!S13+'Predicted PPIs'!S12)))*IF(I$36=".", 1, (I13/I12)^(('Summary, PPI''s'!$I13+'Summary, PPI''s'!$I12)/('Predicted PPIs'!S13+'Predicted PPIs'!S12)))*IF(J$36=".", 1, (J13/J12)^(('Summary, PPI''s'!$J13+'Summary, PPI''s'!$J12)/('Predicted PPIs'!S13+'Predicted PPIs'!S12)))*IF(K$36=".", 1, (K13/K12)^(('Summary, PPI''s'!$K13+'Summary, PPI''s'!$K12)/('Predicted PPIs'!S13+'Predicted PPIs'!S12)))*IF(L$36=".", 1, (L13/L12)^(('Summary, PPI''s'!$L13+'Summary, PPI''s'!$L12)/('Predicted PPIs'!S13+'Predicted PPIs'!S12)))*IF(M$36=".", 1, (M13/M12)^(('Summary, PPI''s'!$M13+'Summary, PPI''s'!$M12)/('Predicted PPIs'!S13+'Predicted PPIs'!S12)))*IF(B$36=".", 1, (B13/B12)^(('Summary, PPI''s'!$B13+'Summary, PPI''s'!$B12)/('Predicted PPIs'!S13+'Predicted PPIs'!S12)))*IF(C$36=".", 1, (C13/C12)^(('Summary, PPI''s'!$C13+'Summary, PPI''s'!$C12)/('Predicted PPIs'!S13+'Predicted PPIs'!S12)))*IF(D$36=".", 1, (D13/D12)^(('Summary, PPI''s'!$D13+'Summary, PPI''s'!$D12)/('Predicted PPIs'!S13+'Predicted PPIs'!S12)))*IF(N$36=".", 1, (N13/N12)^(('Summary, PPI''s'!$N13+'Summary, PPI''s'!$N12)/('Predicted PPIs'!S13+'Predicted PPIs'!S12)))*IF(O$36=".", 1, (O13/O12)^(('Summary, PPI''s'!$O13+'Summary, PPI''s'!$O12)/('Predicted PPIs'!S13+'Predicted PPIs'!S12)))*IF(P$36=".", 1, (P13/P12)^(('Summary, PPI''s'!$P13+'Summary, PPI''s'!$P12)/('Predicted PPIs'!S13+'Predicted PPIs'!S12)))</f>
        <v>93.961065180787401</v>
      </c>
      <c r="AB13" s="4">
        <f>AB12*IF(E$46=".", 1, (E13/E12)^(('Summary, PPI''s'!$E13+'Summary, PPI''s'!$E12)/('Predicted PPIs'!T13+'Predicted PPIs'!T12)))*IF(F$46=".", 1, (F13/F12)^(('Summary, PPI''s'!$F13+'Summary, PPI''s'!$F12)/('Predicted PPIs'!T13+'Predicted PPIs'!T12)))*IF(G$46=".", 1, (G13/G12)^(('Summary, PPI''s'!$G13+'Summary, PPI''s'!$G12)/('Predicted PPIs'!T13+'Predicted PPIs'!T12)))*IF(H$46=".", 1, (H13/H12)^(('Summary, PPI''s'!$H13+'Summary, PPI''s'!$H12)/('Predicted PPIs'!T13+'Predicted PPIs'!T12)))*IF(I$46=".", 1, (I13/I12)^(('Summary, PPI''s'!$I13+'Summary, PPI''s'!$I12)/('Predicted PPIs'!T13+'Predicted PPIs'!T12)))*IF(J$46=".", 1, (J13/J12)^(('Summary, PPI''s'!$J13+'Summary, PPI''s'!$J12)/('Predicted PPIs'!T13+'Predicted PPIs'!T12)))*IF(K$46=".", 1, (K13/K12)^(('Summary, PPI''s'!$K13+'Summary, PPI''s'!$K12)/('Predicted PPIs'!T13+'Predicted PPIs'!T12)))*IF(L$46=".", 1, (L13/L12)^(('Summary, PPI''s'!$L13+'Summary, PPI''s'!$L12)/('Predicted PPIs'!T13+'Predicted PPIs'!T12)))*IF(M$46=".", 1, (M13/M12)^(('Summary, PPI''s'!$M13+'Summary, PPI''s'!$M12)/('Predicted PPIs'!T13+'Predicted PPIs'!T12)))*IF(B$46=".", 1, (B13/B12)^(('Summary, PPI''s'!$B13+'Summary, PPI''s'!$B12)/('Predicted PPIs'!T13+'Predicted PPIs'!T12)))*IF(C$46=".", 1, (C13/C12)^(('Summary, PPI''s'!$C13+'Summary, PPI''s'!$C12)/('Predicted PPIs'!T13+'Predicted PPIs'!T12)))*IF(D$46=".", 1, (D13/D12)^(('Summary, PPI''s'!$D13+'Summary, PPI''s'!$D12)/('Predicted PPIs'!T13+'Predicted PPIs'!T12)))*IF(N$46=".", 1, (N13/N12)^(('Summary, PPI''s'!$N13+'Summary, PPI''s'!$N12)/('Predicted PPIs'!T13+'Predicted PPIs'!T12)))*IF(O$46=".", 1, (O13/O12)^(('Summary, PPI''s'!$O13+'Summary, PPI''s'!$O12)/('Predicted PPIs'!T13+'Predicted PPIs'!T12)))*IF(P$46=".", 1, (P13/P12)^(('Summary, PPI''s'!$P13+'Summary, PPI''s'!$P12)/('Predicted PPIs'!T13+'Predicted PPIs'!T12)))</f>
        <v>95.75133447657781</v>
      </c>
      <c r="AC13" s="4">
        <f>AC12*IF(E$60=".",1,(E13/E12)^(('Summary, PPI''s'!$E13+'Summary, PPI''s'!$E12)/('Predicted PPIs'!U13+'Predicted PPIs'!U12)))*IF(F$60=".",1,(F13/F12)^(('Summary, PPI''s'!$F13+'Summary, PPI''s'!$F12)/('Predicted PPIs'!U13+'Predicted PPIs'!U12)))*IF(G$60=".",1,(G13/G12)^(('Summary, PPI''s'!$G13+'Summary, PPI''s'!$G12)/('Predicted PPIs'!U13+'Predicted PPIs'!U12)))*IF(H$60=".",1,(H13/H12)^(('Summary, PPI''s'!$H13+'Summary, PPI''s'!$H12)/('Predicted PPIs'!U13+'Predicted PPIs'!U12)))*IF(I$60=".",1,(I13/I12)^(('Summary, PPI''s'!$I13+'Summary, PPI''s'!$I12)/('Predicted PPIs'!U13+'Predicted PPIs'!U12)))*IF(J$60=".",1,(J13/J12)^(('Summary, PPI''s'!$J13+'Summary, PPI''s'!$J12)/('Predicted PPIs'!U13+'Predicted PPIs'!U12)))*IF(K$60=".",1,(K13/K12)^(('Summary, PPI''s'!$K13+'Summary, PPI''s'!$K12)/('Predicted PPIs'!U13+'Predicted PPIs'!U12)))*IF(L$60=".",1,(L13/L12)^(('Summary, PPI''s'!$L13+'Summary, PPI''s'!$L12)/('Predicted PPIs'!U13+'Predicted PPIs'!U12)))*IF(M$60=".",1,(M13/M12)^(('Summary, PPI''s'!$M13+'Summary, PPI''s'!$M12)/('Predicted PPIs'!U13+'Predicted PPIs'!U12)))*IF(B$60=".",1,(B13/B12)^(('Summary, PPI''s'!$B13+'Summary, PPI''s'!$B12)/('Predicted PPIs'!U13+'Predicted PPIs'!U12)))*IF(C$60=".",1,(C13/C12)^(('Summary, PPI''s'!$C13+'Summary, PPI''s'!$C12)/('Predicted PPIs'!U13+'Predicted PPIs'!U12)))*IF(D$60=".",1,(D13/D12)^(('Summary, PPI''s'!$D13+'Summary, PPI''s'!$D12)/('Predicted PPIs'!U13+'Predicted PPIs'!U12)))*IF(N$60=".",1,(N13/N12)^(('Summary, PPI''s'!$N13+'Summary, PPI''s'!$N12)/('Predicted PPIs'!U13+'Predicted PPIs'!U12)))*IF(O$60=".",1,(O13/O12)^(('Summary, PPI''s'!$O13+'Summary, PPI''s'!$O12)/('Predicted PPIs'!U13+'Predicted PPIs'!U12)))*IF(P$60=".",1,(P13/P12)^(('Summary, PPI''s'!$P13+'Summary, PPI''s'!$P12)/('Predicted PPIs'!U13+'Predicted PPIs'!U12)))</f>
        <v>101.57976333592283</v>
      </c>
      <c r="AD13" s="4">
        <f>AD12*IF(E$73=".", 1, (E13/E12)^(('Summary, PPI''s'!$E13+'Summary, PPI''s'!$E12)/('Predicted PPIs'!V13+'Predicted PPIs'!V12)))*IF(F$73=".", 1, (F13/F12)^(('Summary, PPI''s'!$F13+'Summary, PPI''s'!$F12)/('Predicted PPIs'!V13+'Predicted PPIs'!V12)))*IF(G$73=".", 1, (G13/G12)^(('Summary, PPI''s'!$G13+'Summary, PPI''s'!$G12)/('Predicted PPIs'!V13+'Predicted PPIs'!V12)))*IF(H$73=".", 1, (H13/H12)^(('Summary, PPI''s'!$H13+'Summary, PPI''s'!$H12)/('Predicted PPIs'!V13+'Predicted PPIs'!V12)))*IF(I$73=".", 1, (I13/I12)^(('Summary, PPI''s'!$I13+'Summary, PPI''s'!$I12)/('Predicted PPIs'!V13+'Predicted PPIs'!V12)))*IF(J$73=".", 1, (J13/J12)^(('Summary, PPI''s'!$J13+'Summary, PPI''s'!$J12)/('Predicted PPIs'!V13+'Predicted PPIs'!V12)))*IF(K$73=".", 1, (K13/K12)^(('Summary, PPI''s'!$K13+'Summary, PPI''s'!$K12)/('Predicted PPIs'!V13+'Predicted PPIs'!V12)))*IF(L$73=".", 1, (L13/L12)^(('Summary, PPI''s'!$L13+'Summary, PPI''s'!$L12)/('Predicted PPIs'!V13+'Predicted PPIs'!V12)))*IF(M$73=".", 1, (M13/M12)^(('Summary, PPI''s'!$M13+'Summary, PPI''s'!$M12)/('Predicted PPIs'!V13+'Predicted PPIs'!V12)))*IF(B$73=".", 1, (B13/B12)^(('Summary, PPI''s'!$B13+'Summary, PPI''s'!$B12)/('Predicted PPIs'!V13+'Predicted PPIs'!V12)))*IF(C$73=".", 1, (C13/C12)^(('Summary, PPI''s'!$C13+'Summary, PPI''s'!$C12)/('Predicted PPIs'!V13+'Predicted PPIs'!V12)))*IF(D$73=".", 1, (D13/D12)^(('Summary, PPI''s'!$D13+'Summary, PPI''s'!$D12)/('Predicted PPIs'!V13+'Predicted PPIs'!V12)))*IF(N$73=".", 1, (N13/N12)^(('Summary, PPI''s'!$N13+'Summary, PPI''s'!$N12)/('Predicted PPIs'!V13+'Predicted PPIs'!V12)))*IF(O$73=".", 1, (O13/O12)^(('Summary, PPI''s'!$O13+'Summary, PPI''s'!$O12)/('Predicted PPIs'!V13+'Predicted PPIs'!V12)))*IF(P$73=".", 1, (P13/P12)^(('Summary, PPI''s'!$P13+'Summary, PPI''s'!$P12)/('Predicted PPIs'!V13+'Predicted PPIs'!V12)))</f>
        <v>102.1587692371251</v>
      </c>
      <c r="AE13" s="4">
        <f>AE12*IF(E$94=".", 1, (E13/E12)^(('Summary, PPI''s'!$E13+'Summary, PPI''s'!$E12)/('Predicted PPIs'!W13+'Predicted PPIs'!W12)))*IF(F$94=".", 1, (F13/F12)^(('Summary, PPI''s'!$F13+'Summary, PPI''s'!$F12)/('Predicted PPIs'!W13+'Predicted PPIs'!W12)))*IF(G$94=".", 1, (G13/G12)^(('Summary, PPI''s'!$G13+'Summary, PPI''s'!$G12)/('Predicted PPIs'!W13+'Predicted PPIs'!W12)))*IF(H$94=".", 1, (H13/H12)^(('Summary, PPI''s'!$H13+'Summary, PPI''s'!$H12)/('Predicted PPIs'!W13+'Predicted PPIs'!W12)))*IF(I$94=".", 1, (I13/I12)^(('Summary, PPI''s'!$I13+'Summary, PPI''s'!$I12)/('Predicted PPIs'!W13+'Predicted PPIs'!W12)))*IF(J$94=".", 1, (J13/J12)^(('Summary, PPI''s'!$J13+'Summary, PPI''s'!$J12)/('Predicted PPIs'!W13+'Predicted PPIs'!W12)))*IF(K$94=".", 1, (K13/K12)^(('Summary, PPI''s'!$K13+'Summary, PPI''s'!$K12)/('Predicted PPIs'!W13+'Predicted PPIs'!W12)))*IF(L$94=".", 1, (L13/L12)^(('Summary, PPI''s'!$L13+'Summary, PPI''s'!$L12)/('Predicted PPIs'!W13+'Predicted PPIs'!W12)))*IF(M$94=".", 1, (M13/M12)^(('Summary, PPI''s'!$M13+'Summary, PPI''s'!$M12)/('Predicted PPIs'!W13+'Predicted PPIs'!W12)))*IF(B$94=".", 1, (B13/B12)^(('Summary, PPI''s'!$B13+'Summary, PPI''s'!$B12)/('Predicted PPIs'!W13+'Predicted PPIs'!W12)))*IF(C$94=".", 1, (C13/C12)^(('Summary, PPI''s'!$C13+'Summary, PPI''s'!$C12)/('Predicted PPIs'!W13+'Predicted PPIs'!W12)))*IF(D$94=".", 1, (D13/D12)^(('Summary, PPI''s'!$D13+'Summary, PPI''s'!$D12)/('Predicted PPIs'!W13+'Predicted PPIs'!W12)))*IF(N$94=".", 1, (N13/N12)^(('Summary, PPI''s'!$N13+'Summary, PPI''s'!$N12)/('Predicted PPIs'!W13+'Predicted PPIs'!W12)))*IF(O$94=".", 1, (O13/O12)^(('Summary, PPI''s'!$O13+'Summary, PPI''s'!$O12)/('Predicted PPIs'!W13+'Predicted PPIs'!W12)))*IF(P$94=".", 1, (P13/P12)^(('Summary, PPI''s'!$P13+'Summary, PPI''s'!$P12)/('Predicted PPIs'!W13+'Predicted PPIs'!W12)))</f>
        <v>100.90019693107388</v>
      </c>
      <c r="AF13" s="4">
        <f>AF12*IF(E$123=".", 1, (E13/E12)^(('Summary, PPI''s'!$E13+'Summary, PPI''s'!$E12)/('Predicted PPIs'!X13+'Predicted PPIs'!X12)))*IF(F$123=".", 1, (F13/F12)^(('Summary, PPI''s'!$F13+'Summary, PPI''s'!$F12)/('Predicted PPIs'!X13+'Predicted PPIs'!X12)))*IF(G$123=".", 1, (G13/G12)^(('Summary, PPI''s'!$G13+'Summary, PPI''s'!$G12)/('Predicted PPIs'!X13+'Predicted PPIs'!X12)))*IF(H$123=".", 1, (H13/H12)^(('Summary, PPI''s'!$H13+'Summary, PPI''s'!$H12)/('Predicted PPIs'!X13+'Predicted PPIs'!X12)))*IF(I$123=".", 1, (I13/I12)^(('Summary, PPI''s'!$I13+'Summary, PPI''s'!$I12)/('Predicted PPIs'!X13+'Predicted PPIs'!X12)))*IF(J$123=".", 1, (J13/J12)^(('Summary, PPI''s'!$J13+'Summary, PPI''s'!$J12)/('Predicted PPIs'!X13+'Predicted PPIs'!X12)))*IF(K$123=".", 1, (K13/K12)^(('Summary, PPI''s'!$K13+'Summary, PPI''s'!$K12)/('Predicted PPIs'!X13+'Predicted PPIs'!X12)))*IF(L$123=".", 1, (L13/L12)^(('Summary, PPI''s'!$L13+'Summary, PPI''s'!$L12)/('Predicted PPIs'!X13+'Predicted PPIs'!X12)))*IF(M$123=".", 1, (M13/M12)^(('Summary, PPI''s'!$M13+'Summary, PPI''s'!$M12)/('Predicted PPIs'!X13+'Predicted PPIs'!X12)))*IF(B$123=".", 1, (B13/B12)^(('Summary, PPI''s'!$B13+'Summary, PPI''s'!$B12)/('Predicted PPIs'!X13+'Predicted PPIs'!X12)))*IF(C$123=".", 1, (C13/C12)^(('Summary, PPI''s'!$C13+'Summary, PPI''s'!$C12)/('Predicted PPIs'!X13+'Predicted PPIs'!X12)))*IF(D$123=".", 1, (D13/D12)^(('Summary, PPI''s'!$D13+'Summary, PPI''s'!$D12)/('Predicted PPIs'!X13+'Predicted PPIs'!X12)))*IF(N$123=".", 1, (N13/N12)^(('Summary, PPI''s'!$N13+'Summary, PPI''s'!$N12)/('Predicted PPIs'!X13+'Predicted PPIs'!X12)))*IF(O$123=".", 1, (O13/O12)^(('Summary, PPI''s'!$O13+'Summary, PPI''s'!$O12)/('Predicted PPIs'!X13+'Predicted PPIs'!X12)))*IF(P$123=".", 1, (P13/P12)^(('Summary, PPI''s'!$P13+'Summary, PPI''s'!$P12)/('Predicted PPIs'!X13+'Predicted PPIs'!X12)))</f>
        <v>97.294507174270166</v>
      </c>
      <c r="AH13" s="13">
        <f t="shared" si="32"/>
        <v>105.79756773894383</v>
      </c>
      <c r="AJ13" s="4">
        <v>10260.299999999999</v>
      </c>
      <c r="AK13" s="4">
        <v>-0.38600000000000001</v>
      </c>
      <c r="AL13" s="4">
        <v>-1267.588</v>
      </c>
      <c r="AM13" s="4">
        <v>-18.036999999999999</v>
      </c>
      <c r="AN13" s="4">
        <v>10198.700000000001</v>
      </c>
      <c r="AO13" s="4">
        <v>2103.8000000000002</v>
      </c>
      <c r="AP13" s="4">
        <f>1016.128+0.004+0.424+15.613-1088.678</f>
        <v>-56.509000000000015</v>
      </c>
      <c r="AQ13" s="4">
        <f>1009.464+19.452+12.269+43.99-1492.262</f>
        <v>-407.08699999999976</v>
      </c>
      <c r="AR13" s="4">
        <v>-45.755000000000003</v>
      </c>
      <c r="AS13" s="4">
        <v>-69.358999999999995</v>
      </c>
      <c r="AT13" s="4">
        <v>95.747</v>
      </c>
      <c r="AU13" s="4">
        <v>81.69</v>
      </c>
      <c r="AV13" s="4">
        <v>96.89</v>
      </c>
      <c r="AW13" s="4">
        <v>91.894999999999996</v>
      </c>
      <c r="AX13" s="4">
        <v>93.914000000000001</v>
      </c>
      <c r="AY13" s="4">
        <v>97.567999999999998</v>
      </c>
      <c r="AZ13" s="4">
        <v>92.006</v>
      </c>
      <c r="BA13" s="4">
        <v>94.626000000000005</v>
      </c>
      <c r="BB13" s="4">
        <v>99.293000000000006</v>
      </c>
      <c r="BC13" s="4">
        <v>99.840999999999994</v>
      </c>
      <c r="BG13" s="4">
        <f t="shared" ref="BG13:BG76" si="50">BG12*((AJ13/AT13)/(AJ12/AT12))^((AJ13+AJ12)/SUM(AJ12:AS13))*((AK13/AU13)/(AK12/AU12))^((AK13+AK12)/SUM(AJ12:AS13))*((AL13/AV13)/(AL12/AV12))^((AL13+AL12)/SUM(AJ12:AS13))*((AM13/AW13)/(AM12/AW12))^((AM13+AM12)/SUM(AJ12:AS13))*((AN13/AX13)/(AN12/AX12))^((AN13+AN12)/SUM(AJ12:AS13))*((AO13/AY13)/(AO12/AY12))^((AO13+AO12)/SUM(AJ12:AS13))*((AP13/AZ13)/(AP12/AZ12))^((AP13+AP12)/SUM(AJ12:AS13))*((AQ13/BA13)/(AQ12/BA12))^((AQ13+AQ12)/SUM(AJ12:AS13))*((AR13/BB13)/(AR12/BB12))^((AR13+AR12)/SUM(AJ12:AS13))*((AS13/BC13)/(AS12/BC12))^((AS13+AS12)/SUM(AJ12:AS13))</f>
        <v>93.255164479253381</v>
      </c>
      <c r="BI13" s="4">
        <v>309011475</v>
      </c>
      <c r="BJ13" s="4">
        <f>'[2]Ordinary Experience'!$E$413</f>
        <v>19.984435797665366</v>
      </c>
      <c r="BL13" s="4">
        <f t="shared" si="0"/>
        <v>95.16111934460136</v>
      </c>
      <c r="BM13" s="4">
        <f t="shared" si="34"/>
        <v>2.5761337973658316E-2</v>
      </c>
      <c r="BO13" s="4">
        <f>IF(OR('Summary, hourly ad costs'!R13=-9999,'Summary, PPI''s'!R13="."),".",(('Summary, hourly ad costs'!B13/'Summary, hourly ad costs'!R13)*100/('Summary, hourly ad costs'!B$11/'Summary, hourly ad costs'!R$11))/('Summary, PPI''s'!R13))</f>
        <v>1.0555715192090618</v>
      </c>
      <c r="BP13" s="4" t="str">
        <f>IF(OR('Summary, hourly ad costs'!S13=-9999,'Summary, PPI''s'!S13="."),".",(('Summary, hourly ad costs'!C13/'Summary, hourly ad costs'!S13)*100/('Summary, hourly ad costs'!C$11/'Summary, hourly ad costs'!S$11))/('Summary, PPI''s'!S13))</f>
        <v>.</v>
      </c>
      <c r="BQ13" s="4" t="str">
        <f>IF(OR('Summary, hourly ad costs'!T13=-9999,'Summary, PPI''s'!T13="."),".",(('Summary, hourly ad costs'!D13/'Summary, hourly ad costs'!T13)*100/('Summary, hourly ad costs'!D$11/'Summary, hourly ad costs'!T$11))/('Summary, PPI''s'!T13))</f>
        <v>.</v>
      </c>
      <c r="BR13" s="4">
        <f>IF(OR('Summary, hourly ad costs'!U13=-9999,'Summary, PPI''s'!U13="."),".",(('Summary, hourly ad costs'!E13/'Summary, hourly ad costs'!U13)*100/('Summary, hourly ad costs'!E$11/'Summary, hourly ad costs'!U$11))/('Summary, PPI''s'!U13))</f>
        <v>1.1090373165478593</v>
      </c>
      <c r="BS13" s="4">
        <f>IF(OR('Summary, hourly ad costs'!V13=-9999,'Summary, PPI''s'!V13="."),".",(('Summary, hourly ad costs'!F13/'Summary, hourly ad costs'!V13)*100/('Summary, hourly ad costs'!F$11/'Summary, hourly ad costs'!V$11))/('Summary, PPI''s'!V13))</f>
        <v>1.1997415157562885</v>
      </c>
      <c r="BT13" s="4" t="str">
        <f>IF(OR('Summary, hourly ad costs'!W13=-9999,'Summary, PPI''s'!W13="."),".",(('Summary, hourly ad costs'!G13/'Summary, hourly ad costs'!W13)*100/('Summary, hourly ad costs'!G$11/'Summary, hourly ad costs'!W$11))/('Summary, PPI''s'!W13))</f>
        <v>.</v>
      </c>
      <c r="BU13" s="4">
        <f>IF(OR('Summary, hourly ad costs'!X13=-9999,'Summary, PPI''s'!X13="."),".",(('Summary, hourly ad costs'!H13/'Summary, hourly ad costs'!X13)*100/('Summary, hourly ad costs'!H$11/'Summary, hourly ad costs'!X$11))/('Summary, PPI''s'!X13))</f>
        <v>0.94499698541263899</v>
      </c>
      <c r="BV13" s="4">
        <f>IF(OR('Summary, hourly ad costs'!Y13=-9999,'Summary, PPI''s'!Y13="."),".",(('Summary, hourly ad costs'!I13/'Summary, hourly ad costs'!Y13)*100/('Summary, hourly ad costs'!I$11/'Summary, hourly ad costs'!Y$11))/('Summary, PPI''s'!Y13))</f>
        <v>0.95558613334089615</v>
      </c>
      <c r="BW13" s="4">
        <f>IF(OR('Summary, hourly ad costs'!Z13=-9999,'Summary, PPI''s'!Z13="."),".",(('Summary, hourly ad costs'!J13/'Summary, hourly ad costs'!Z13)*100/('Summary, hourly ad costs'!J$11/'Summary, hourly ad costs'!Z$11))/('Summary, PPI''s'!Z13))</f>
        <v>0.88435338392819063</v>
      </c>
      <c r="BX13" s="4">
        <f>IF(OR('Summary, hourly ad costs'!AA13=-9999,'Summary, PPI''s'!AA13="."),".",(('Summary, hourly ad costs'!K13/'Summary, hourly ad costs'!AA13)*100/('Summary, hourly ad costs'!K$11/'Summary, hourly ad costs'!AA$11))/('Summary, PPI''s'!AA13))</f>
        <v>1.0381487273794392</v>
      </c>
      <c r="BY13" s="4">
        <f>IF(OR('Summary, hourly ad costs'!AB13=-9999,'Summary, PPI''s'!AB13="."),".",(('Summary, hourly ad costs'!L13/'Summary, hourly ad costs'!AB13)*100/('Summary, hourly ad costs'!L$11/'Summary, hourly ad costs'!AB$11))/('Summary, PPI''s'!AB13))</f>
        <v>0.66170240570914873</v>
      </c>
      <c r="BZ13" s="4">
        <f>IF(OR('Summary, hourly ad costs'!AC13=-9999,'Summary, PPI''s'!AC13="."),".",(('Summary, hourly ad costs'!M13/'Summary, hourly ad costs'!AC13)*100/('Summary, hourly ad costs'!M$11/'Summary, hourly ad costs'!AC$11))/('Summary, PPI''s'!AC13))</f>
        <v>0.73030564028283207</v>
      </c>
      <c r="CA13" s="4" t="str">
        <f>IF(OR('Summary, hourly ad costs'!AD13=-9999,'Summary, PPI''s'!AD13="."),".",(('Summary, hourly ad costs'!N13/'Summary, hourly ad costs'!AD13)*100/('Summary, hourly ad costs'!N$11/'Summary, hourly ad costs'!AD$11))/('Summary, PPI''s'!AD13))</f>
        <v>.</v>
      </c>
      <c r="CB13" s="4" t="str">
        <f>IF(OR('Summary, hourly ad costs'!AE13=-9999,'Summary, PPI''s'!AE13="."),".",(('Summary, hourly ad costs'!O13/'Summary, hourly ad costs'!AE13)*100/('Summary, hourly ad costs'!O$11/'Summary, hourly ad costs'!AE$11))/('Summary, PPI''s'!AE13))</f>
        <v>.</v>
      </c>
      <c r="CC13" s="4" t="str">
        <f>IF(OR('Summary, hourly ad costs'!AF13=-9999,'Summary, PPI''s'!AF13="."),".",(('Summary, hourly ad costs'!P13/'Summary, hourly ad costs'!AF13)*100/('Summary, hourly ad costs'!P$11/'Summary, hourly ad costs'!AF$11))/('Summary, PPI''s'!AF13))</f>
        <v>.</v>
      </c>
      <c r="CE13" s="4">
        <f t="shared" ref="CE13:CE29" si="51">IF(OR(BO13=".",BO14="."), ".", BO13/BO14-1)</f>
        <v>-6.2473624987612442E-2</v>
      </c>
      <c r="CF13" s="4" t="str">
        <f t="shared" ref="CF13:CF29" si="52">IF(OR(BP13=".",BP14="."), ".", BP13/BP14-1)</f>
        <v>.</v>
      </c>
      <c r="CG13" s="4" t="str">
        <f t="shared" ref="CG13:CG29" si="53">IF(OR(BQ13=".",BQ14="."), ".", BQ13/BQ14-1)</f>
        <v>.</v>
      </c>
      <c r="CH13" s="4">
        <f t="shared" ref="CH13:CH29" si="54">IF(OR(BR13=".",BR14="."), ".", BR13/BR14-1)</f>
        <v>4.5935227101149945E-2</v>
      </c>
      <c r="CI13" s="4">
        <f t="shared" ref="CI13:CI29" si="55">IF(OR(BS13=".",BS14="."), ".", BS13/BS14-1)</f>
        <v>2.0871873134371333E-2</v>
      </c>
      <c r="CJ13" s="4" t="str">
        <f t="shared" ref="CJ13:CJ29" si="56">IF(OR(BT13=".",BT14="."), ".", BT13/BT14-1)</f>
        <v>.</v>
      </c>
      <c r="CK13" s="4">
        <f t="shared" ref="CK13:CK29" si="57">IF(OR(BU13=".",BU14="."), ".", BU13/BU14-1)</f>
        <v>2.8699324889694511E-2</v>
      </c>
      <c r="CL13" s="4">
        <f t="shared" ref="CL13:CL29" si="58">IF(OR(BV13=".",BV14="."), ".", BV13/BV14-1)</f>
        <v>0.10156245783725049</v>
      </c>
      <c r="CM13" s="4">
        <f t="shared" ref="CM13:CM29" si="59">IF(OR(BW13=".",BW14="."), ".", BW13/BW14-1)</f>
        <v>7.6952943318833178E-2</v>
      </c>
      <c r="CN13" s="4">
        <f t="shared" ref="CN13:CN29" si="60">IF(OR(BX13=".",BX14="."), ".", BX13/BX14-1)</f>
        <v>-5.5823974515394226E-2</v>
      </c>
      <c r="CO13" s="4">
        <f t="shared" ref="CO13:CP28" si="61">_xlfn.FORECAST.LINEAR($BM13,CO$4:CO$12,$BM$4:$BM$12)</f>
        <v>0.16340432387544346</v>
      </c>
      <c r="CP13" s="4">
        <f t="shared" si="61"/>
        <v>0.12267490831134659</v>
      </c>
      <c r="CQ13" s="4" t="str">
        <f t="shared" ref="CQ13:CQ44" si="62">IF(OR(CA13=".",CA14="."), ".", CA13/CA14-1)</f>
        <v>.</v>
      </c>
      <c r="CR13" s="4" t="str">
        <f t="shared" ref="CR13:CR44" si="63">IF(OR(CB13=".",CB14="."), ".", CB13/CB14-1)</f>
        <v>.</v>
      </c>
      <c r="CS13" s="4" t="str">
        <f t="shared" ref="CS13:CS44" si="64">IF(OR(CC13=".",CC14="."), ".", CC13/CC14-1)</f>
        <v>.</v>
      </c>
      <c r="CU13" s="5">
        <f>IF(CU12=".", ".", IF('Summary, PPI''s'!R13=".",IF(OR('Summary, hourly ad costs'!R13=-9999,'Summary, hourly ad costs'!R13=0), ".", 'Predicted PPIs'!CU12*('Summary, hourly ad costs'!B13/'Summary, hourly ad costs'!R13)/('Summary, hourly ad costs'!B12/'Summary, hourly ad costs'!R12)/(1-CE12)), 'Summary, PPI''s'!R13))</f>
        <v>100.06401707121897</v>
      </c>
      <c r="CV13" s="5">
        <f>IF(CV12=".", ".", IF('Summary, PPI''s'!S13=".",IF(OR('Summary, hourly ad costs'!S13=-9999,'Summary, hourly ad costs'!S13=0), ".", 'Predicted PPIs'!CV12*('Summary, hourly ad costs'!C13/'Summary, hourly ad costs'!S13)/('Summary, hourly ad costs'!C12/'Summary, hourly ad costs'!S12)/(1-CF12)), 'Summary, PPI''s'!S13))</f>
        <v>100.06401707121897</v>
      </c>
      <c r="CW13" s="5">
        <f>IF(CW12=".", ".", IF('Summary, PPI''s'!T13=".",IF(OR('Summary, hourly ad costs'!T13=-9999,'Summary, hourly ad costs'!T13=0), ".", 'Predicted PPIs'!CW12*('Summary, hourly ad costs'!D13/'Summary, hourly ad costs'!T13)/('Summary, hourly ad costs'!D12/'Summary, hourly ad costs'!T12)/(1-CG12)), 'Summary, PPI''s'!T13))</f>
        <v>98.364121407358965</v>
      </c>
      <c r="CX13" s="5">
        <f>IF(CX12=".", ".", IF('Summary, PPI''s'!U13=".",IF(OR('Summary, hourly ad costs'!U13=-9999,'Summary, hourly ad costs'!U13=0), ".", 'Predicted PPIs'!CX12*('Summary, hourly ad costs'!E13/'Summary, hourly ad costs'!U13)/('Summary, hourly ad costs'!E12/'Summary, hourly ad costs'!U12)/(1-CH12)), 'Summary, PPI''s'!U13))</f>
        <v>100.52883191606378</v>
      </c>
      <c r="CY13" s="5">
        <f>IF(CY12=".", ".", IF('Summary, PPI''s'!V13=".",IF(OR('Summary, hourly ad costs'!V13=-9999,'Summary, hourly ad costs'!V13=0), ".", 'Predicted PPIs'!CY12*('Summary, hourly ad costs'!F13/'Summary, hourly ad costs'!V13)/('Summary, hourly ad costs'!F12/'Summary, hourly ad costs'!V12)/(1-CI12)), 'Summary, PPI''s'!V13))</f>
        <v>96.013015363070949</v>
      </c>
      <c r="CZ13" s="5">
        <f>IF(CZ12=".", ".", IF('Summary, PPI''s'!W13=".",IF(OR('Summary, hourly ad costs'!W13=-9999,'Summary, hourly ad costs'!W13=0), ".", 'Predicted PPIs'!CZ12*('Summary, hourly ad costs'!G13/'Summary, hourly ad costs'!W13)/('Summary, hourly ad costs'!G12/'Summary, hourly ad costs'!W12)/(1-CJ12)), 'Summary, PPI''s'!W13))</f>
        <v>96.123508195759911</v>
      </c>
      <c r="DA13" s="5">
        <f>IF(DA12=".", ".", IF('Summary, PPI''s'!X13=".",IF(OR('Summary, hourly ad costs'!X13=-9999,'Summary, hourly ad costs'!X13=0), ".", 'Predicted PPIs'!DA12*('Summary, hourly ad costs'!H13/'Summary, hourly ad costs'!X13)/('Summary, hourly ad costs'!H12/'Summary, hourly ad costs'!X12)/(1-CK12)), 'Summary, PPI''s'!X13))</f>
        <v>97.103999999999999</v>
      </c>
      <c r="DB13" s="5">
        <f>IF(DB12=".", ".", IF('Summary, PPI''s'!Y13=".",IF(OR('Summary, hourly ad costs'!Y13=-9999,'Summary, hourly ad costs'!Y13=0), ".", 'Predicted PPIs'!DB12*('Summary, hourly ad costs'!I13/'Summary, hourly ad costs'!Y13)/('Summary, hourly ad costs'!I12/'Summary, hourly ad costs'!Y12)/(1-CL12)), 'Summary, PPI''s'!Y13))</f>
        <v>103.15904139433552</v>
      </c>
      <c r="DC13" s="5">
        <f>IF(DC12=".", ".", IF('Summary, PPI''s'!Z13=".",IF(OR('Summary, hourly ad costs'!Z13=-9999,'Summary, hourly ad costs'!Z13=0), ".", 'Predicted PPIs'!DC12*('Summary, hourly ad costs'!J13/'Summary, hourly ad costs'!Z13)/('Summary, hourly ad costs'!J12/'Summary, hourly ad costs'!Z12)/(1-CM12)), 'Summary, PPI''s'!Z13))</f>
        <v>92.407161803713535</v>
      </c>
      <c r="DD13" s="5">
        <f>IF(DD12=".", ".", IF('Summary, PPI''s'!AA13=".",IF(OR('Summary, hourly ad costs'!AA13=-9999,'Summary, hourly ad costs'!AA13=0), ".", 'Predicted PPIs'!DD12*('Summary, hourly ad costs'!K13/'Summary, hourly ad costs'!AA13)/('Summary, hourly ad costs'!K12/'Summary, hourly ad costs'!AA12)/(1-CN12)), 'Summary, PPI''s'!AA13))</f>
        <v>90.788401774130278</v>
      </c>
      <c r="DE13" s="5">
        <f>IF(DE12=".", ".", IF('Summary, PPI''s'!AB13=".",IF(OR('Summary, hourly ad costs'!AB13=-9999,'Summary, hourly ad costs'!AB13=0), ".", 'Predicted PPIs'!DE12*('Summary, hourly ad costs'!L13/'Summary, hourly ad costs'!AB13)/('Summary, hourly ad costs'!L12/'Summary, hourly ad costs'!AB12)/(1-CO12)), 'Summary, PPI''s'!AB13))</f>
        <v>114.50187969924811</v>
      </c>
      <c r="DF13" s="5">
        <f>IF(DF12=".", ".", IF('Summary, PPI''s'!AC13=".",IF(OR('Summary, hourly ad costs'!AC13=-9999,'Summary, hourly ad costs'!AC13=0), ".", 'Predicted PPIs'!DF12*('Summary, hourly ad costs'!M13/'Summary, hourly ad costs'!AC13)/('Summary, hourly ad costs'!M12/'Summary, hourly ad costs'!AC12)/(1-CP12)), 'Summary, PPI''s'!AC13))</f>
        <v>101.95384874515749</v>
      </c>
      <c r="DG13" s="5">
        <f>IF(DG12=".", ".", IF('Summary, PPI''s'!AD13=".",IF(OR('Summary, hourly ad costs'!AD13=-9999,'Summary, hourly ad costs'!AD13=0), ".", 'Predicted PPIs'!DG12*('Summary, hourly ad costs'!N13/'Summary, hourly ad costs'!AD13)/('Summary, hourly ad costs'!N12/'Summary, hourly ad costs'!AD12)/(1-CQ12)), 'Summary, PPI''s'!AD13))</f>
        <v>97.77962631174816</v>
      </c>
      <c r="DH13" s="5">
        <f>IF(DH12=".", ".", IF('Summary, PPI''s'!AE13=".",IF(OR('Summary, hourly ad costs'!AE13=-9999,'Summary, hourly ad costs'!AE13=0), ".", 'Predicted PPIs'!DH12*('Summary, hourly ad costs'!O13/'Summary, hourly ad costs'!AE13)/('Summary, hourly ad costs'!O12/'Summary, hourly ad costs'!AE12)/(1-CR12)), 'Summary, PPI''s'!AE13))</f>
        <v>96.772999999999996</v>
      </c>
      <c r="DI13" s="5">
        <f>IF(DI12=".", ".", IF('Summary, PPI''s'!AF13=".",IF(OR('Summary, hourly ad costs'!AF13=-9999,'Summary, hourly ad costs'!AF13=0), ".", 'Predicted PPIs'!DI12*('Summary, hourly ad costs'!P13/'Summary, hourly ad costs'!AF13)/('Summary, hourly ad costs'!P12/'Summary, hourly ad costs'!AF12)/(1-CS12)), 'Summary, PPI''s'!AF13))</f>
        <v>95.468999999999994</v>
      </c>
      <c r="DK13" s="4">
        <v>94.9</v>
      </c>
      <c r="DM13" s="5">
        <f t="shared" si="16"/>
        <v>-2.8161052471986414E-2</v>
      </c>
      <c r="DN13" s="5">
        <f t="shared" si="17"/>
        <v>-2.8161052471986414E-2</v>
      </c>
      <c r="DO13" s="5">
        <f t="shared" si="18"/>
        <v>-2.6825577065090034E-2</v>
      </c>
      <c r="DP13" s="5">
        <f t="shared" si="19"/>
        <v>-2.8198336299649962E-2</v>
      </c>
      <c r="DQ13" s="5">
        <f t="shared" si="20"/>
        <v>-2.6343527669603573E-2</v>
      </c>
      <c r="DR13" s="5">
        <f t="shared" si="21"/>
        <v>-1.6071359319078327E-2</v>
      </c>
      <c r="DS13" s="5">
        <f t="shared" si="22"/>
        <v>-1.6341387029798371E-2</v>
      </c>
      <c r="DT13" s="5">
        <f t="shared" si="23"/>
        <v>-2.0924519711718936E-2</v>
      </c>
      <c r="DU13" s="5">
        <f t="shared" si="24"/>
        <v>2.4745791783941096E-2</v>
      </c>
      <c r="DV13" s="5">
        <f t="shared" si="25"/>
        <v>2.4271417417843777E-2</v>
      </c>
      <c r="DW13" s="5">
        <f t="shared" si="26"/>
        <v>-0.10929507814455885</v>
      </c>
      <c r="DX13" s="5">
        <f t="shared" si="27"/>
        <v>-0.11557640284213166</v>
      </c>
      <c r="DY13" s="5">
        <f t="shared" si="28"/>
        <v>-3.1655964798497971E-2</v>
      </c>
      <c r="DZ13" s="5">
        <f t="shared" si="29"/>
        <v>-1.51852601514052E-2</v>
      </c>
      <c r="EA13" s="5">
        <f t="shared" si="30"/>
        <v>-9.8743055828413029E-3</v>
      </c>
      <c r="EC13" s="1">
        <f t="shared" si="35"/>
        <v>100.06401707121897</v>
      </c>
      <c r="ED13" s="1">
        <f t="shared" si="36"/>
        <v>100.06401707121897</v>
      </c>
      <c r="EE13" s="1">
        <f t="shared" si="37"/>
        <v>98.364121407358965</v>
      </c>
      <c r="EF13" s="1">
        <f t="shared" si="38"/>
        <v>100.52883191606378</v>
      </c>
      <c r="EG13" s="1">
        <f t="shared" si="39"/>
        <v>96.013015363070949</v>
      </c>
      <c r="EH13" s="1">
        <f t="shared" si="40"/>
        <v>96.123508195759911</v>
      </c>
      <c r="EI13" s="1">
        <f t="shared" si="41"/>
        <v>97.103999999999999</v>
      </c>
      <c r="EJ13" s="1">
        <f t="shared" si="42"/>
        <v>103.15904139433552</v>
      </c>
      <c r="EK13" s="1">
        <f t="shared" si="43"/>
        <v>92.407161803713535</v>
      </c>
      <c r="EL13" s="1">
        <f t="shared" si="44"/>
        <v>90.788401774130278</v>
      </c>
      <c r="EM13" s="1">
        <f t="shared" si="45"/>
        <v>114.50187969924811</v>
      </c>
      <c r="EN13" s="1">
        <f t="shared" si="46"/>
        <v>101.95384874515749</v>
      </c>
      <c r="EO13" s="1">
        <f t="shared" si="47"/>
        <v>97.77962631174816</v>
      </c>
      <c r="EP13" s="1">
        <f t="shared" si="48"/>
        <v>96.772999999999996</v>
      </c>
      <c r="EQ13" s="1">
        <f t="shared" si="49"/>
        <v>95.468999999999994</v>
      </c>
      <c r="ES13" s="1">
        <f>IF(EF$26=".", 0, 'Summary, PPI''s'!E13)+IF(EG$26=".", 0, 'Summary, PPI''s'!F13)+IF(EH$26=".", 0, 'Summary, PPI''s'!G13)+IF(EI$26=".", 0, 'Summary, PPI''s'!H13)+IF(EJ$26=".", 0, 'Summary, PPI''s'!I13)+IF(EK$26=".", 0, 'Summary, PPI''s'!J13)+IF(EL$26=".", 0, 'Summary, PPI''s'!K13)+IF(EM$26=".", 0, 'Summary, PPI''s'!L13)+IF(EN$26=".", 0, 'Summary, PPI''s'!M13)+IF(EC$26=".", 0, 'Summary, PPI''s'!B13)+IF(ED$26=".", 0, 'Summary, PPI''s'!C13)+IF(EE$26=".", 0, 'Summary, PPI''s'!D13)+IF(EO$26=".", 0, 'Summary, PPI''s'!N13)+IF(EP$26=".", 0, 'Summary, PPI''s'!O13)+IF(EQ$26=".", 0, 'Summary, PPI''s'!P13)</f>
        <v>295111721.37295425</v>
      </c>
      <c r="ET13" s="1">
        <f>'Summary, hourly ad costs'!E13+'Summary, hourly ad costs'!F13+'Summary, hourly ad costs'!H13+'Summary, hourly ad costs'!I13+'Summary, hourly ad costs'!J13+'Summary, hourly ad costs'!K13+'Summary, hourly ad costs'!L13+'Summary, hourly ad costs'!M13+'Summary, hourly ad costs'!B13</f>
        <v>154347631.15348345</v>
      </c>
      <c r="EV13" s="13">
        <f>EV12*IF(EF$26=".", 1, (EF13/EF12)^(('Summary, PPI''s'!$E13+'Summary, PPI''s'!$E12)/('Predicted PPIs'!ES13+'Predicted PPIs'!ES12)))*IF(EG$26=".", 1, (EG13/EG12)^(('Summary, PPI''s'!$F13+'Summary, PPI''s'!$F12)/('Predicted PPIs'!ES13+'Predicted PPIs'!ES12)))*IF(EH$26=".", 1, (EH13/EH12)^(('Summary, PPI''s'!$G13+'Summary, PPI''s'!$G12)/('Predicted PPIs'!ES13+'Predicted PPIs'!ES12)))*IF(EI$26=".", 1, (EI13/EI12)^(('Summary, PPI''s'!$H13+'Summary, PPI''s'!$H12)/('Predicted PPIs'!ES13+'Predicted PPIs'!ES12)))*IF(EJ$26=".", 1, (EJ13/EJ12)^(('Summary, PPI''s'!$I13+'Summary, PPI''s'!$I12)/('Predicted PPIs'!ES13+'Predicted PPIs'!ES12)))*IF(EK$26=".", 1, (EK13/EK12)^(('Summary, PPI''s'!$J13+'Summary, PPI''s'!$J12)/('Predicted PPIs'!ES13+'Predicted PPIs'!ES12)))*IF(EL$26=".", 1, (EL13/EL12)^(('Summary, PPI''s'!$K13+'Summary, PPI''s'!$K12)/('Predicted PPIs'!ES13+'Predicted PPIs'!ES12)))*IF(EM$26=".", 1, (EM13/EM12)^(('Summary, PPI''s'!$L13+'Summary, PPI''s'!$L12)/('Predicted PPIs'!ES13+'Predicted PPIs'!ES12)))*IF(EN$26=".", 1, (EN13/EN12)^(('Summary, PPI''s'!$M13+'Summary, PPI''s'!$M12)/('Predicted PPIs'!ES13+'Predicted PPIs'!ES12)))*IF(EC$26=".", 1, (EC13/EC12)^(('Summary, PPI''s'!$B13+'Summary, PPI''s'!$B12)/('Predicted PPIs'!ES13+'Predicted PPIs'!ES12)))*IF(ED$26=".", 1, (ED13/ED12)^(('Summary, PPI''s'!$C13+'Summary, PPI''s'!$C12)/('Predicted PPIs'!ES13+'Predicted PPIs'!ES12)))*IF(EE$26=".", 1, (EE13/EE12)^(('Summary, PPI''s'!$D13+'Summary, PPI''s'!$D12)/('Predicted PPIs'!ES13+'Predicted PPIs'!ES12)))*IF(EO$26=".", 1, (EO13/EO12)^(('Summary, PPI''s'!$N13+'Summary, PPI''s'!$N12)/('Predicted PPIs'!ES13+'Predicted PPIs'!ES12)))*IF(EP$26=".", 1, (EP13/EP12)^(('Summary, PPI''s'!$O13+'Summary, PPI''s'!$O12)/('Predicted PPIs'!ES13+'Predicted PPIs'!ES12)))*IF(EQ$26=".", 1, (EQ13/EQ12)^(('Summary, PPI''s'!$P13+'Summary, PPI''s'!$P12)/('Predicted PPIs'!ES13+'Predicted PPIs'!ES12)))</f>
        <v>105.79756773894383</v>
      </c>
      <c r="EW13" s="13">
        <f>EW12*IF(EF$26=".", 1, (EF13/EF12)^(('Summary, PPI''s'!$E13+'Summary, PPI''s'!$E12)/('Predicted PPIs'!ET13+'Predicted PPIs'!ET12)))*IF(EG$26=".", 1, (EG13/EG12)^(('Summary, PPI''s'!$F13+'Summary, PPI''s'!$F12)/('Predicted PPIs'!ET13+'Predicted PPIs'!ET12)))*IF(EH$26=".", 1, (EH13/EH12)^(('Summary, PPI''s'!$G13+'Summary, PPI''s'!$G12)/('Predicted PPIs'!ET13+'Predicted PPIs'!ET12)))*IF(EK$26=".", 1, (EK13/EK12)^(('Summary, PPI''s'!$J13+'Summary, PPI''s'!$J12)/('Predicted PPIs'!ET13+'Predicted PPIs'!ET12)))*IF(EL$26=".", 1, (EL13/EL12)^(('Summary, PPI''s'!$K13+'Summary, PPI''s'!$K12)/('Predicted PPIs'!ET13+'Predicted PPIs'!ET12)))*IF(EM$26=".", 1, (EM13/EM12)^(('Summary, PPI''s'!$L13+'Summary, PPI''s'!$L12)/('Predicted PPIs'!ET13+'Predicted PPIs'!ET12)))*IF(EN$26=".", 1, (EN13/EN12)^(('Summary, PPI''s'!$M13+'Summary, PPI''s'!$M12)/('Predicted PPIs'!ET13+'Predicted PPIs'!ET12)))*IF(EC$26=".", 1, (EC13/EC12)^(('Summary, PPI''s'!$B13+'Summary, PPI''s'!$B12)/('Predicted PPIs'!ET13+'Predicted PPIs'!ET12)))</f>
        <v>118.72383293872034</v>
      </c>
      <c r="EY13" s="2"/>
    </row>
    <row r="14" spans="1:155" x14ac:dyDescent="0.3">
      <c r="A14" s="4">
        <v>2009</v>
      </c>
      <c r="B14" s="10">
        <f>IF(B13=".", ".", IF('Summary, PPI''s'!R14=".",IF(OR('Summary, hourly ad costs'!R14=-9999,'Summary, hourly ad costs'!R14=0), ".", 'Predicted PPIs'!B13*('Summary, hourly ad costs'!B14/'Summary, hourly ad costs'!R14)/('Summary, hourly ad costs'!B13/'Summary, hourly ad costs'!R13)), 'Summary, PPI''s'!R14))</f>
        <v>99.775940250733512</v>
      </c>
      <c r="C14" s="10">
        <f>IF(C13=".", ".", IF('Summary, PPI''s'!S14=".",IF(OR('Summary, hourly ad costs'!S14=-9999,'Summary, hourly ad costs'!S14=0), ".", 'Predicted PPIs'!C13*('Summary, hourly ad costs'!C14/'Summary, hourly ad costs'!S14)/('Summary, hourly ad costs'!C13/'Summary, hourly ad costs'!S13)), 'Summary, PPI''s'!S14))</f>
        <v>99.775940250733512</v>
      </c>
      <c r="D14" s="10">
        <f>IF(D13=".", ".", IF('Summary, PPI''s'!T14=".",IF(OR('Summary, hourly ad costs'!T14=-9999,'Summary, hourly ad costs'!T14=0), ".", 'Predicted PPIs'!D13*('Summary, hourly ad costs'!D14/'Summary, hourly ad costs'!T14)/('Summary, hourly ad costs'!D13/'Summary, hourly ad costs'!T13)), 'Summary, PPI''s'!T14))</f>
        <v>97.946343182161385</v>
      </c>
      <c r="E14" s="10">
        <f>IF(E13=".", ".", IF('Summary, PPI''s'!U14=".",IF(OR('Summary, hourly ad costs'!U14=-9999,'Summary, hourly ad costs'!U14=0), ".", 'Predicted PPIs'!E13*('Summary, hourly ad costs'!E14/'Summary, hourly ad costs'!U14)/('Summary, hourly ad costs'!E13/'Summary, hourly ad costs'!U13)), 'Summary, PPI''s'!U14))</f>
        <v>100.24326268138933</v>
      </c>
      <c r="F14" s="10">
        <f>IF(F13=".", ".", IF('Summary, PPI''s'!V14=".",IF(OR('Summary, hourly ad costs'!V14=-9999,'Summary, hourly ad costs'!V14=0), ".", 'Predicted PPIs'!F13*('Summary, hourly ad costs'!F14/'Summary, hourly ad costs'!V14)/('Summary, hourly ad costs'!F13/'Summary, hourly ad costs'!V13)), 'Summary, PPI''s'!V14))</f>
        <v>95.557889534165326</v>
      </c>
      <c r="G14" s="10">
        <f>IF(G13=".", ".", IF('Summary, PPI''s'!W14=".",IF(OR('Summary, hourly ad costs'!W14=-9999,'Summary, hourly ad costs'!W14=0), ".", 'Predicted PPIs'!G13*('Summary, hourly ad costs'!G14/'Summary, hourly ad costs'!W14)/('Summary, hourly ad costs'!G13/'Summary, hourly ad costs'!W13)), 'Summary, PPI''s'!W14))</f>
        <v>94.669090695833219</v>
      </c>
      <c r="H14" s="10">
        <f>IF(H13=".", ".", IF('Summary, PPI''s'!X14=".",IF(OR('Summary, hourly ad costs'!X14=-9999,'Summary, hourly ad costs'!X14=0), ".", 'Predicted PPIs'!H13*('Summary, hourly ad costs'!H14/'Summary, hourly ad costs'!X14)/('Summary, hourly ad costs'!H13/'Summary, hourly ad costs'!X13)), 'Summary, PPI''s'!X14))</f>
        <v>95.661000000000001</v>
      </c>
      <c r="I14" s="10">
        <f>IF(I13=".", ".", IF('Summary, PPI''s'!Y14=".",IF(OR('Summary, hourly ad costs'!Y14=-9999,'Summary, hourly ad costs'!Y14=0), ".", 'Predicted PPIs'!I13*('Summary, hourly ad costs'!I14/'Summary, hourly ad costs'!Y14)/('Summary, hourly ad costs'!I13/'Summary, hourly ad costs'!Y13)), 'Summary, PPI''s'!Y14))</f>
        <v>102.10178125831231</v>
      </c>
      <c r="J14" s="10">
        <f>IF(J13=".", ".", IF('Summary, PPI''s'!Z14=".",IF(OR('Summary, hourly ad costs'!Z14=-9999,'Summary, hourly ad costs'!Z14=0), ".", 'Predicted PPIs'!J13*('Summary, hourly ad costs'!J14/'Summary, hourly ad costs'!Z14)/('Summary, hourly ad costs'!J13/'Summary, hourly ad costs'!Z13)), 'Summary, PPI''s'!Z14))</f>
        <v>87.383952254641883</v>
      </c>
      <c r="K14" s="10">
        <f>IF(K13=".", ".", IF('Summary, PPI''s'!AA14=".",IF(OR('Summary, hourly ad costs'!AA14=-9999,'Summary, hourly ad costs'!AA14=0), ".", 'Predicted PPIs'!K13*('Summary, hourly ad costs'!K14/'Summary, hourly ad costs'!AA14)/('Summary, hourly ad costs'!K13/'Summary, hourly ad costs'!AA13)), 'Summary, PPI''s'!AA14))</f>
        <v>85.892948737289913</v>
      </c>
      <c r="L14" s="10">
        <f>IF(L13=".", ".", IF('Summary, PPI''s'!AB14=".",IF(OR('Summary, hourly ad costs'!AB14=-9999,'Summary, hourly ad costs'!AB14=0), ".", 'Predicted PPIs'!L13*('Summary, hourly ad costs'!L14/'Summary, hourly ad costs'!AB14)/('Summary, hourly ad costs'!L13/'Summary, hourly ad costs'!AB13)), 'Summary, PPI''s'!AB14))</f>
        <v>104.21652191855655</v>
      </c>
      <c r="M14" s="10">
        <f>IF(M13=".", ".", IF('Summary, PPI''s'!AC14=".",IF(OR('Summary, hourly ad costs'!AC14=-9999,'Summary, hourly ad costs'!AC14=0), ".", 'Predicted PPIs'!M13*('Summary, hourly ad costs'!M14/'Summary, hourly ad costs'!AC14)/('Summary, hourly ad costs'!M13/'Summary, hourly ad costs'!AC13)), 'Summary, PPI''s'!AC14))</f>
        <v>98.004507237012461</v>
      </c>
      <c r="N14" s="10">
        <f>IF(N13=".", ".", IF('Summary, PPI''s'!AD14=".",IF(OR('Summary, hourly ad costs'!AD14=-9999,'Summary, hourly ad costs'!AD14=0), ".", 'Predicted PPIs'!N13*('Summary, hourly ad costs'!N14/'Summary, hourly ad costs'!AD14)/('Summary, hourly ad costs'!N13/'Summary, hourly ad costs'!AD13)), 'Summary, PPI''s'!AD14))</f>
        <v>97.850012797542888</v>
      </c>
      <c r="O14" s="10">
        <f>IF(O13=".", ".", IF('Summary, PPI''s'!AE14=".",IF(OR('Summary, hourly ad costs'!AE14=-9999,'Summary, hourly ad costs'!AE14=0), ".", 'Predicted PPIs'!O13*('Summary, hourly ad costs'!O14/'Summary, hourly ad costs'!AE14)/('Summary, hourly ad costs'!O13/'Summary, hourly ad costs'!AE13)), 'Summary, PPI''s'!AE14))</f>
        <v>95.222999999999999</v>
      </c>
      <c r="P14" s="10">
        <f>IF(P13=".", ".", IF('Summary, PPI''s'!AF14=".",IF(OR('Summary, hourly ad costs'!AF14=-9999,'Summary, hourly ad costs'!AF14=0), ".", 'Predicted PPIs'!P13*('Summary, hourly ad costs'!P14/'Summary, hourly ad costs'!AF14)/('Summary, hourly ad costs'!P13/'Summary, hourly ad costs'!AF13)), 'Summary, PPI''s'!AF14))</f>
        <v>93.436000000000007</v>
      </c>
      <c r="R14" s="1">
        <f>IF(E$26=".", 0, 'Summary, PPI''s'!E14)+IF(F$26=".", 0, 'Summary, PPI''s'!F14)+IF(G$26=".", 0, 'Summary, PPI''s'!G14)+IF(H$26=".", 0, 'Summary, PPI''s'!H14)+IF(I$26=".", 0, 'Summary, PPI''s'!I14)+IF(J$26=".", 0, 'Summary, PPI''s'!J14)+IF(K$26=".", 0, 'Summary, PPI''s'!K14)+IF(L$26=".", 0, 'Summary, PPI''s'!L14)+IF(M$26=".", 0, 'Summary, PPI''s'!M14)+IF(B$26=".", 0, 'Summary, PPI''s'!B14)+IF(C$26=".", 0, 'Summary, PPI''s'!C14)+IF(D$26=".", 0, 'Summary, PPI''s'!D14)+IF(N$26=".", 0, 'Summary, PPI''s'!N14)+IF(O$26=".", 0, 'Summary, PPI''s'!O14)+IF(P$26=".", 0, 'Summary, PPI''s'!P14)</f>
        <v>286603367.81612933</v>
      </c>
      <c r="S14" s="1">
        <f>IF(E$36=".", 0, 'Summary, PPI''s'!E14)+IF(F$36=".", 0, 'Summary, PPI''s'!F14)+IF(G$36=".", 0, 'Summary, PPI''s'!G14)+IF(H$36=".", 0, 'Summary, PPI''s'!H14)+IF(I$36=".", 0, 'Summary, PPI''s'!I14)+IF(J$36=".", 0, 'Summary, PPI''s'!J14)+IF(K$36=".", 0, 'Summary, PPI''s'!K14)+IF(L$36=".", 0, 'Summary, PPI''s'!L14)+IF(M$36=".", 0, 'Summary, PPI''s'!M14)+IF(B$36=".", 0, 'Summary, PPI''s'!B14)+IF(C$36=".", 0, 'Summary, PPI''s'!C14)+IF(D$36=".", 0, 'Summary, PPI''s'!D14)+IF(N$36=".", 0, 'Summary, PPI''s'!N14)+IF(O$36=".", 0, 'Summary, PPI''s'!O14)+IF(P$36=".", 0, 'Summary, PPI''s'!P14)</f>
        <v>262725738.64892447</v>
      </c>
      <c r="T14" s="1">
        <f>IF(E$46=".", 0, 'Summary, PPI''s'!E14)+IF(F$46=".", 0, 'Summary, PPI''s'!F14)+IF(G$46=".", 0, 'Summary, PPI''s'!G14)+IF(H$46=".", 0, 'Summary, PPI''s'!H14)+IF(I$46=".", 0, 'Summary, PPI''s'!I14)+IF(J$46=".", 0, 'Summary, PPI''s'!J14)+IF(K$46=".", 0, 'Summary, PPI''s'!K14)+IF(L$46=".", 0, 'Summary, PPI''s'!L14)+IF(M$46=".", 0, 'Summary, PPI''s'!M14)+IF(B$46=".", 0, 'Summary, PPI''s'!B14)+IF(C$46=".", 0, 'Summary, PPI''s'!C14)+IF(D$46=".", 0, 'Summary, PPI''s'!D14)+IF(N$46=".", 0, 'Summary, PPI''s'!N14)+IF(O$46=".", 0, 'Summary, PPI''s'!O14)+IF(P$46=".", 0, 'Summary, PPI''s'!P14)</f>
        <v>161548059.81316382</v>
      </c>
      <c r="U14" s="1">
        <f>IF(E$60=".", 0, 'Summary, PPI''s'!E14)+IF(F$60=".", 0, 'Summary, PPI''s'!F14)+IF(G$60=".", 0, 'Summary, PPI''s'!G14)+IF(H$60=".", 0, 'Summary, PPI''s'!H14)+IF(I$60=".", 0, 'Summary, PPI''s'!I14)+IF(J$60=".", 0, 'Summary, PPI''s'!J14)+IF(K$60=".", 0, 'Summary, PPI''s'!K14)+IF(L$60=".", 0, 'Summary, PPI''s'!L14)+IF(M$60=".", 0, 'Summary, PPI''s'!M14)+IF(B$60=".", 0, 'Summary, PPI''s'!B14)+IF(C$60=".", 0, 'Summary, PPI''s'!C14)+IF(D$60=".", 0, 'Summary, PPI''s'!D14)+IF(N$60=".", 0, 'Summary, PPI''s'!N14)+IF(O$60=".", 0, 'Summary, PPI''s'!O14)+IF(P$60=".", 0, 'Summary, PPI''s'!P14)</f>
        <v>108853714.6011565</v>
      </c>
      <c r="V14" s="1">
        <f>IF(E$73=".", 0, 'Summary, PPI''s'!E14)+IF(F$73=".", 0, 'Summary, PPI''s'!F14)+IF(G$73=".", 0, 'Summary, PPI''s'!G14)+IF(H$73=".", 0, 'Summary, PPI''s'!H14)+IF(I$73=".", 0, 'Summary, PPI''s'!I14)+IF(J$73=".", 0, 'Summary, PPI''s'!J14)+IF(K$73=".", 0, 'Summary, PPI''s'!K14)+IF(L$73=".", 0, 'Summary, PPI''s'!L14)+IF(M$73=".", 0, 'Summary, PPI''s'!M14)+IF(B$73=".", 0, 'Summary, PPI''s'!B14)+IF(C$73=".", 0, 'Summary, PPI''s'!C14)+IF(D$73=".", 0, 'Summary, PPI''s'!D14)+IF(N$73=".", 0, 'Summary, PPI''s'!N14)+IF(O$73=".", 0, 'Summary, PPI''s'!O14)+IF(P$73=".", 0, 'Summary, PPI''s'!P14)</f>
        <v>86624807.204592556</v>
      </c>
      <c r="W14" s="1">
        <f>IF(E$94=".",0,'Summary, PPI''s'!E14)+IF(F$94=".",0,'Summary, PPI''s'!F14)+IF(G$94=".",0,'Summary, PPI''s'!G14)+IF(H$94=".",0,'Summary, PPI''s'!H14)+IF(I$94=".",0,'Summary, PPI''s'!I14)+IF(J$94=".",0,'Summary, PPI''s'!J14)+IF(K$94=".",0,'Summary, PPI''s'!K14)+IF(L$94=".",0,'Summary, PPI''s'!L14)+IF(M$94=".",0,'Summary, PPI''s'!M14)+IF(B$94=".",0,'Summary, PPI''s'!B14)+IF(C$94=".",0,'Summary, PPI''s'!C14)+IF(D$94=".",0,'Summary, PPI''s'!D14)+IF(N$94=".",0,'Summary, PPI''s'!N14)+IF(O$94=".",0,'Summary, PPI''s'!O14)+IF(P$94=".",0,'Summary, PPI''s'!P14)</f>
        <v>61021074.837011993</v>
      </c>
      <c r="X14" s="1">
        <f>IF(E$123=".", 0, 'Summary, PPI''s'!E14)+IF(F$123=".", 0, 'Summary, PPI''s'!F14)+IF(G$123=".", 0, 'Summary, PPI''s'!G14)+IF(H$123=".", 0, 'Summary, PPI''s'!H14)+IF(I$123=".", 0, 'Summary, PPI''s'!I14)+IF(J$123=".", 0, 'Summary, PPI''s'!J14)+IF(K$123=".", 0, 'Summary, PPI''s'!K14)+IF(L$123=".", 0, 'Summary, PPI''s'!L14)+IF(M$123=".", 0, 'Summary, PPI''s'!M14)+IF(B$123=".", 0, 'Summary, PPI''s'!B14)+IF(C$123=".", 0, 'Summary, PPI''s'!C14)+IF(D$123=".", 0, 'Summary, PPI''s'!D14)+IF(N$123=".", 0, 'Summary, PPI''s'!N14)+IF(O$123=".", 0, 'Summary, PPI''s'!O14)+IF(P$123=".", 0, 'Summary, PPI''s'!P14)</f>
        <v>47163405.073921733</v>
      </c>
      <c r="Z14" s="4">
        <f>Z13*IF(E$26=".", 1, (E14/E13)^(('Summary, PPI''s'!$E14+'Summary, PPI''s'!$E13)/('Predicted PPIs'!R14+'Predicted PPIs'!R13)))*IF(F$26=".", 1, (F14/F13)^(('Summary, PPI''s'!$F14+'Summary, PPI''s'!$F13)/('Predicted PPIs'!R14+'Predicted PPIs'!R13)))*IF(G$26=".", 1, (G14/G13)^(('Summary, PPI''s'!$G14+'Summary, PPI''s'!$G13)/('Predicted PPIs'!R14+'Predicted PPIs'!R13)))*IF(H$26=".", 1, (H14/H13)^(('Summary, PPI''s'!$H14+'Summary, PPI''s'!$H13)/('Predicted PPIs'!R14+'Predicted PPIs'!R13)))*IF(I$26=".", 1, (I14/I13)^(('Summary, PPI''s'!$I14+'Summary, PPI''s'!$I13)/('Predicted PPIs'!R14+'Predicted PPIs'!R13)))*IF(J$26=".", 1, (J14/J13)^(('Summary, PPI''s'!$J14+'Summary, PPI''s'!$J13)/('Predicted PPIs'!R14+'Predicted PPIs'!R13)))*IF(K$26=".", 1, (K14/K13)^(('Summary, PPI''s'!$K14+'Summary, PPI''s'!$K13)/('Predicted PPIs'!R14+'Predicted PPIs'!R13)))*IF(L$26=".", 1, (L14/L13)^(('Summary, PPI''s'!$L14+'Summary, PPI''s'!$L13)/('Predicted PPIs'!R14+'Predicted PPIs'!R13)))*IF(M$26=".", 1, (M14/M13)^(('Summary, PPI''s'!$M14+'Summary, PPI''s'!$M13)/('Predicted PPIs'!R14+'Predicted PPIs'!R13)))*IF(B$26=".", 1, (B14/B13)^(('Summary, PPI''s'!$B14+'Summary, PPI''s'!$B13)/('Predicted PPIs'!R14+'Predicted PPIs'!R13)))*IF(C$26=".", 1, (C14/C13)^(('Summary, PPI''s'!$C14+'Summary, PPI''s'!$C13)/('Predicted PPIs'!R14+'Predicted PPIs'!R13)))*IF(D$26=".", 1, (D14/D13)^(('Summary, PPI''s'!$D14+'Summary, PPI''s'!$D13)/('Predicted PPIs'!R14+'Predicted PPIs'!R13)))*IF(N$26=".", 1, (N14/N13)^(('Summary, PPI''s'!$N14+'Summary, PPI''s'!$N13)/('Predicted PPIs'!R14+'Predicted PPIs'!R13)))*IF(O$26=".", 1, (O14/O13)^(('Summary, PPI''s'!$O14+'Summary, PPI''s'!$O13)/('Predicted PPIs'!R14+'Predicted PPIs'!R13)))*IF(P$26=".", 1, (P14/P13)^(('Summary, PPI''s'!$P14+'Summary, PPI''s'!$P13)/('Predicted PPIs'!R14+'Predicted PPIs'!R13)))</f>
        <v>103.71470167286185</v>
      </c>
      <c r="AA14" s="4">
        <f>AA13*IF(E$36=".", 1, (E14/E13)^(('Summary, PPI''s'!$E14+'Summary, PPI''s'!$E13)/('Predicted PPIs'!S14+'Predicted PPIs'!S13)))*IF(F$36=".", 1, (F14/F13)^(('Summary, PPI''s'!$F14+'Summary, PPI''s'!$F13)/('Predicted PPIs'!S14+'Predicted PPIs'!S13)))*IF(G$36=".", 1, (G14/G13)^(('Summary, PPI''s'!$G14+'Summary, PPI''s'!$G13)/('Predicted PPIs'!S14+'Predicted PPIs'!S13)))*IF(H$36=".", 1, (H14/H13)^(('Summary, PPI''s'!$H14+'Summary, PPI''s'!$H13)/('Predicted PPIs'!S14+'Predicted PPIs'!S13)))*IF(I$36=".", 1, (I14/I13)^(('Summary, PPI''s'!$I14+'Summary, PPI''s'!$I13)/('Predicted PPIs'!S14+'Predicted PPIs'!S13)))*IF(J$36=".", 1, (J14/J13)^(('Summary, PPI''s'!$J14+'Summary, PPI''s'!$J13)/('Predicted PPIs'!S14+'Predicted PPIs'!S13)))*IF(K$36=".", 1, (K14/K13)^(('Summary, PPI''s'!$K14+'Summary, PPI''s'!$K13)/('Predicted PPIs'!S14+'Predicted PPIs'!S13)))*IF(L$36=".", 1, (L14/L13)^(('Summary, PPI''s'!$L14+'Summary, PPI''s'!$L13)/('Predicted PPIs'!S14+'Predicted PPIs'!S13)))*IF(M$36=".", 1, (M14/M13)^(('Summary, PPI''s'!$M14+'Summary, PPI''s'!$M13)/('Predicted PPIs'!S14+'Predicted PPIs'!S13)))*IF(B$36=".", 1, (B14/B13)^(('Summary, PPI''s'!$B14+'Summary, PPI''s'!$B13)/('Predicted PPIs'!S14+'Predicted PPIs'!S13)))*IF(C$36=".", 1, (C14/C13)^(('Summary, PPI''s'!$C14+'Summary, PPI''s'!$C13)/('Predicted PPIs'!S14+'Predicted PPIs'!S13)))*IF(D$36=".", 1, (D14/D13)^(('Summary, PPI''s'!$D14+'Summary, PPI''s'!$D13)/('Predicted PPIs'!S14+'Predicted PPIs'!S13)))*IF(N$36=".", 1, (N14/N13)^(('Summary, PPI''s'!$N14+'Summary, PPI''s'!$N13)/('Predicted PPIs'!S14+'Predicted PPIs'!S13)))*IF(O$36=".", 1, (O14/O13)^(('Summary, PPI''s'!$O14+'Summary, PPI''s'!$O13)/('Predicted PPIs'!S14+'Predicted PPIs'!S13)))*IF(P$36=".", 1, (P14/P13)^(('Summary, PPI''s'!$P14+'Summary, PPI''s'!$P13)/('Predicted PPIs'!S14+'Predicted PPIs'!S13)))</f>
        <v>92.559604348521319</v>
      </c>
      <c r="AB14" s="4">
        <f>AB13*IF(E$46=".", 1, (E14/E13)^(('Summary, PPI''s'!$E14+'Summary, PPI''s'!$E13)/('Predicted PPIs'!T14+'Predicted PPIs'!T13)))*IF(F$46=".", 1, (F14/F13)^(('Summary, PPI''s'!$F14+'Summary, PPI''s'!$F13)/('Predicted PPIs'!T14+'Predicted PPIs'!T13)))*IF(G$46=".", 1, (G14/G13)^(('Summary, PPI''s'!$G14+'Summary, PPI''s'!$G13)/('Predicted PPIs'!T14+'Predicted PPIs'!T13)))*IF(H$46=".", 1, (H14/H13)^(('Summary, PPI''s'!$H14+'Summary, PPI''s'!$H13)/('Predicted PPIs'!T14+'Predicted PPIs'!T13)))*IF(I$46=".", 1, (I14/I13)^(('Summary, PPI''s'!$I14+'Summary, PPI''s'!$I13)/('Predicted PPIs'!T14+'Predicted PPIs'!T13)))*IF(J$46=".", 1, (J14/J13)^(('Summary, PPI''s'!$J14+'Summary, PPI''s'!$J13)/('Predicted PPIs'!T14+'Predicted PPIs'!T13)))*IF(K$46=".", 1, (K14/K13)^(('Summary, PPI''s'!$K14+'Summary, PPI''s'!$K13)/('Predicted PPIs'!T14+'Predicted PPIs'!T13)))*IF(L$46=".", 1, (L14/L13)^(('Summary, PPI''s'!$L14+'Summary, PPI''s'!$L13)/('Predicted PPIs'!T14+'Predicted PPIs'!T13)))*IF(M$46=".", 1, (M14/M13)^(('Summary, PPI''s'!$M14+'Summary, PPI''s'!$M13)/('Predicted PPIs'!T14+'Predicted PPIs'!T13)))*IF(B$46=".", 1, (B14/B13)^(('Summary, PPI''s'!$B14+'Summary, PPI''s'!$B13)/('Predicted PPIs'!T14+'Predicted PPIs'!T13)))*IF(C$46=".", 1, (C14/C13)^(('Summary, PPI''s'!$C14+'Summary, PPI''s'!$C13)/('Predicted PPIs'!T14+'Predicted PPIs'!T13)))*IF(D$46=".", 1, (D14/D13)^(('Summary, PPI''s'!$D14+'Summary, PPI''s'!$D13)/('Predicted PPIs'!T14+'Predicted PPIs'!T13)))*IF(N$46=".", 1, (N14/N13)^(('Summary, PPI''s'!$N14+'Summary, PPI''s'!$N13)/('Predicted PPIs'!T14+'Predicted PPIs'!T13)))*IF(O$46=".", 1, (O14/O13)^(('Summary, PPI''s'!$O14+'Summary, PPI''s'!$O13)/('Predicted PPIs'!T14+'Predicted PPIs'!T13)))*IF(P$46=".", 1, (P14/P13)^(('Summary, PPI''s'!$P14+'Summary, PPI''s'!$P13)/('Predicted PPIs'!T14+'Predicted PPIs'!T13)))</f>
        <v>93.418243620314016</v>
      </c>
      <c r="AC14" s="4">
        <f>AC13*IF(E$60=".",1,(E14/E13)^(('Summary, PPI''s'!$E14+'Summary, PPI''s'!$E13)/('Predicted PPIs'!U14+'Predicted PPIs'!U13)))*IF(F$60=".",1,(F14/F13)^(('Summary, PPI''s'!$F14+'Summary, PPI''s'!$F13)/('Predicted PPIs'!U14+'Predicted PPIs'!U13)))*IF(G$60=".",1,(G14/G13)^(('Summary, PPI''s'!$G14+'Summary, PPI''s'!$G13)/('Predicted PPIs'!U14+'Predicted PPIs'!U13)))*IF(H$60=".",1,(H14/H13)^(('Summary, PPI''s'!$H14+'Summary, PPI''s'!$H13)/('Predicted PPIs'!U14+'Predicted PPIs'!U13)))*IF(I$60=".",1,(I14/I13)^(('Summary, PPI''s'!$I14+'Summary, PPI''s'!$I13)/('Predicted PPIs'!U14+'Predicted PPIs'!U13)))*IF(J$60=".",1,(J14/J13)^(('Summary, PPI''s'!$J14+'Summary, PPI''s'!$J13)/('Predicted PPIs'!U14+'Predicted PPIs'!U13)))*IF(K$60=".",1,(K14/K13)^(('Summary, PPI''s'!$K14+'Summary, PPI''s'!$K13)/('Predicted PPIs'!U14+'Predicted PPIs'!U13)))*IF(L$60=".",1,(L14/L13)^(('Summary, PPI''s'!$L14+'Summary, PPI''s'!$L13)/('Predicted PPIs'!U14+'Predicted PPIs'!U13)))*IF(M$60=".",1,(M14/M13)^(('Summary, PPI''s'!$M14+'Summary, PPI''s'!$M13)/('Predicted PPIs'!U14+'Predicted PPIs'!U13)))*IF(B$60=".",1,(B14/B13)^(('Summary, PPI''s'!$B14+'Summary, PPI''s'!$B13)/('Predicted PPIs'!U14+'Predicted PPIs'!U13)))*IF(C$60=".",1,(C14/C13)^(('Summary, PPI''s'!$C14+'Summary, PPI''s'!$C13)/('Predicted PPIs'!U14+'Predicted PPIs'!U13)))*IF(D$60=".",1,(D14/D13)^(('Summary, PPI''s'!$D14+'Summary, PPI''s'!$D13)/('Predicted PPIs'!U14+'Predicted PPIs'!U13)))*IF(N$60=".",1,(N14/N13)^(('Summary, PPI''s'!$N14+'Summary, PPI''s'!$N13)/('Predicted PPIs'!U14+'Predicted PPIs'!U13)))*IF(O$60=".",1,(O14/O13)^(('Summary, PPI''s'!$O14+'Summary, PPI''s'!$O13)/('Predicted PPIs'!U14+'Predicted PPIs'!U13)))*IF(P$60=".",1,(P14/P13)^(('Summary, PPI''s'!$P14+'Summary, PPI''s'!$P13)/('Predicted PPIs'!U14+'Predicted PPIs'!U13)))</f>
        <v>99.682865138171962</v>
      </c>
      <c r="AD14" s="4">
        <f>AD13*IF(E$73=".", 1, (E14/E13)^(('Summary, PPI''s'!$E14+'Summary, PPI''s'!$E13)/('Predicted PPIs'!V14+'Predicted PPIs'!V13)))*IF(F$73=".", 1, (F14/F13)^(('Summary, PPI''s'!$F14+'Summary, PPI''s'!$F13)/('Predicted PPIs'!V14+'Predicted PPIs'!V13)))*IF(G$73=".", 1, (G14/G13)^(('Summary, PPI''s'!$G14+'Summary, PPI''s'!$G13)/('Predicted PPIs'!V14+'Predicted PPIs'!V13)))*IF(H$73=".", 1, (H14/H13)^(('Summary, PPI''s'!$H14+'Summary, PPI''s'!$H13)/('Predicted PPIs'!V14+'Predicted PPIs'!V13)))*IF(I$73=".", 1, (I14/I13)^(('Summary, PPI''s'!$I14+'Summary, PPI''s'!$I13)/('Predicted PPIs'!V14+'Predicted PPIs'!V13)))*IF(J$73=".", 1, (J14/J13)^(('Summary, PPI''s'!$J14+'Summary, PPI''s'!$J13)/('Predicted PPIs'!V14+'Predicted PPIs'!V13)))*IF(K$73=".", 1, (K14/K13)^(('Summary, PPI''s'!$K14+'Summary, PPI''s'!$K13)/('Predicted PPIs'!V14+'Predicted PPIs'!V13)))*IF(L$73=".", 1, (L14/L13)^(('Summary, PPI''s'!$L14+'Summary, PPI''s'!$L13)/('Predicted PPIs'!V14+'Predicted PPIs'!V13)))*IF(M$73=".", 1, (M14/M13)^(('Summary, PPI''s'!$M14+'Summary, PPI''s'!$M13)/('Predicted PPIs'!V14+'Predicted PPIs'!V13)))*IF(B$73=".", 1, (B14/B13)^(('Summary, PPI''s'!$B14+'Summary, PPI''s'!$B13)/('Predicted PPIs'!V14+'Predicted PPIs'!V13)))*IF(C$73=".", 1, (C14/C13)^(('Summary, PPI''s'!$C14+'Summary, PPI''s'!$C13)/('Predicted PPIs'!V14+'Predicted PPIs'!V13)))*IF(D$73=".", 1, (D14/D13)^(('Summary, PPI''s'!$D14+'Summary, PPI''s'!$D13)/('Predicted PPIs'!V14+'Predicted PPIs'!V13)))*IF(N$73=".", 1, (N14/N13)^(('Summary, PPI''s'!$N14+'Summary, PPI''s'!$N13)/('Predicted PPIs'!V14+'Predicted PPIs'!V13)))*IF(O$73=".", 1, (O14/O13)^(('Summary, PPI''s'!$O14+'Summary, PPI''s'!$O13)/('Predicted PPIs'!V14+'Predicted PPIs'!V13)))*IF(P$73=".", 1, (P14/P13)^(('Summary, PPI''s'!$P14+'Summary, PPI''s'!$P13)/('Predicted PPIs'!V14+'Predicted PPIs'!V13)))</f>
        <v>100.03844679870971</v>
      </c>
      <c r="AE14" s="4">
        <f>AE13*IF(E$94=".", 1, (E14/E13)^(('Summary, PPI''s'!$E14+'Summary, PPI''s'!$E13)/('Predicted PPIs'!W14+'Predicted PPIs'!W13)))*IF(F$94=".", 1, (F14/F13)^(('Summary, PPI''s'!$F14+'Summary, PPI''s'!$F13)/('Predicted PPIs'!W14+'Predicted PPIs'!W13)))*IF(G$94=".", 1, (G14/G13)^(('Summary, PPI''s'!$G14+'Summary, PPI''s'!$G13)/('Predicted PPIs'!W14+'Predicted PPIs'!W13)))*IF(H$94=".", 1, (H14/H13)^(('Summary, PPI''s'!$H14+'Summary, PPI''s'!$H13)/('Predicted PPIs'!W14+'Predicted PPIs'!W13)))*IF(I$94=".", 1, (I14/I13)^(('Summary, PPI''s'!$I14+'Summary, PPI''s'!$I13)/('Predicted PPIs'!W14+'Predicted PPIs'!W13)))*IF(J$94=".", 1, (J14/J13)^(('Summary, PPI''s'!$J14+'Summary, PPI''s'!$J13)/('Predicted PPIs'!W14+'Predicted PPIs'!W13)))*IF(K$94=".", 1, (K14/K13)^(('Summary, PPI''s'!$K14+'Summary, PPI''s'!$K13)/('Predicted PPIs'!W14+'Predicted PPIs'!W13)))*IF(L$94=".", 1, (L14/L13)^(('Summary, PPI''s'!$L14+'Summary, PPI''s'!$L13)/('Predicted PPIs'!W14+'Predicted PPIs'!W13)))*IF(M$94=".", 1, (M14/M13)^(('Summary, PPI''s'!$M14+'Summary, PPI''s'!$M13)/('Predicted PPIs'!W14+'Predicted PPIs'!W13)))*IF(B$94=".", 1, (B14/B13)^(('Summary, PPI''s'!$B14+'Summary, PPI''s'!$B13)/('Predicted PPIs'!W14+'Predicted PPIs'!W13)))*IF(C$94=".", 1, (C14/C13)^(('Summary, PPI''s'!$C14+'Summary, PPI''s'!$C13)/('Predicted PPIs'!W14+'Predicted PPIs'!W13)))*IF(D$94=".", 1, (D14/D13)^(('Summary, PPI''s'!$D14+'Summary, PPI''s'!$D13)/('Predicted PPIs'!W14+'Predicted PPIs'!W13)))*IF(N$94=".", 1, (N14/N13)^(('Summary, PPI''s'!$N14+'Summary, PPI''s'!$N13)/('Predicted PPIs'!W14+'Predicted PPIs'!W13)))*IF(O$94=".", 1, (O14/O13)^(('Summary, PPI''s'!$O14+'Summary, PPI''s'!$O13)/('Predicted PPIs'!W14+'Predicted PPIs'!W13)))*IF(P$94=".", 1, (P14/P13)^(('Summary, PPI''s'!$P14+'Summary, PPI''s'!$P13)/('Predicted PPIs'!W14+'Predicted PPIs'!W13)))</f>
        <v>100.38364918092596</v>
      </c>
      <c r="AF14" s="4">
        <f>AF13*IF(E$123=".", 1, (E14/E13)^(('Summary, PPI''s'!$E14+'Summary, PPI''s'!$E13)/('Predicted PPIs'!X14+'Predicted PPIs'!X13)))*IF(F$123=".", 1, (F14/F13)^(('Summary, PPI''s'!$F14+'Summary, PPI''s'!$F13)/('Predicted PPIs'!X14+'Predicted PPIs'!X13)))*IF(G$123=".", 1, (G14/G13)^(('Summary, PPI''s'!$G14+'Summary, PPI''s'!$G13)/('Predicted PPIs'!X14+'Predicted PPIs'!X13)))*IF(H$123=".", 1, (H14/H13)^(('Summary, PPI''s'!$H14+'Summary, PPI''s'!$H13)/('Predicted PPIs'!X14+'Predicted PPIs'!X13)))*IF(I$123=".", 1, (I14/I13)^(('Summary, PPI''s'!$I14+'Summary, PPI''s'!$I13)/('Predicted PPIs'!X14+'Predicted PPIs'!X13)))*IF(J$123=".", 1, (J14/J13)^(('Summary, PPI''s'!$J14+'Summary, PPI''s'!$J13)/('Predicted PPIs'!X14+'Predicted PPIs'!X13)))*IF(K$123=".", 1, (K14/K13)^(('Summary, PPI''s'!$K14+'Summary, PPI''s'!$K13)/('Predicted PPIs'!X14+'Predicted PPIs'!X13)))*IF(L$123=".", 1, (L14/L13)^(('Summary, PPI''s'!$L14+'Summary, PPI''s'!$L13)/('Predicted PPIs'!X14+'Predicted PPIs'!X13)))*IF(M$123=".", 1, (M14/M13)^(('Summary, PPI''s'!$M14+'Summary, PPI''s'!$M13)/('Predicted PPIs'!X14+'Predicted PPIs'!X13)))*IF(B$123=".", 1, (B14/B13)^(('Summary, PPI''s'!$B14+'Summary, PPI''s'!$B13)/('Predicted PPIs'!X14+'Predicted PPIs'!X13)))*IF(C$123=".", 1, (C14/C13)^(('Summary, PPI''s'!$C14+'Summary, PPI''s'!$C13)/('Predicted PPIs'!X14+'Predicted PPIs'!X13)))*IF(D$123=".", 1, (D14/D13)^(('Summary, PPI''s'!$D14+'Summary, PPI''s'!$D13)/('Predicted PPIs'!X14+'Predicted PPIs'!X13)))*IF(N$123=".", 1, (N14/N13)^(('Summary, PPI''s'!$N14+'Summary, PPI''s'!$N13)/('Predicted PPIs'!X14+'Predicted PPIs'!X13)))*IF(O$123=".", 1, (O14/O13)^(('Summary, PPI''s'!$O14+'Summary, PPI''s'!$O13)/('Predicted PPIs'!X14+'Predicted PPIs'!X13)))*IF(P$123=".", 1, (P14/P13)^(('Summary, PPI''s'!$P14+'Summary, PPI''s'!$P13)/('Predicted PPIs'!X14+'Predicted PPIs'!X13)))</f>
        <v>96.951527279108731</v>
      </c>
      <c r="AH14" s="13">
        <f t="shared" si="32"/>
        <v>103.71470167286185</v>
      </c>
      <c r="AJ14" s="4">
        <v>9891.2000000000007</v>
      </c>
      <c r="AK14" s="4">
        <v>-0.34499999999999997</v>
      </c>
      <c r="AL14" s="4">
        <v>-1244.066</v>
      </c>
      <c r="AM14" s="4">
        <v>-18.056999999999999</v>
      </c>
      <c r="AN14" s="4">
        <v>9295</v>
      </c>
      <c r="AO14" s="4">
        <v>2054.3000000000002</v>
      </c>
      <c r="AP14" s="4">
        <f>1098.694+0.004+0.405+16.114-1184.935</f>
        <v>-69.718000000000075</v>
      </c>
      <c r="AQ14" s="4">
        <f>983.52+18.988+11.877+42.33-1452.924</f>
        <v>-396.20900000000006</v>
      </c>
      <c r="AR14" s="4">
        <v>-46.503</v>
      </c>
      <c r="AS14" s="4">
        <v>-63.692999999999998</v>
      </c>
      <c r="AT14" s="4">
        <v>94.061999999999998</v>
      </c>
      <c r="AU14" s="4">
        <v>72.63</v>
      </c>
      <c r="AV14" s="4">
        <v>96.902000000000001</v>
      </c>
      <c r="AW14" s="4">
        <v>91.516000000000005</v>
      </c>
      <c r="AX14" s="4">
        <v>89.879000000000005</v>
      </c>
      <c r="AY14" s="4">
        <v>99.075999999999993</v>
      </c>
      <c r="AZ14" s="4">
        <v>92.613</v>
      </c>
      <c r="BA14" s="4">
        <v>92.352000000000004</v>
      </c>
      <c r="BB14" s="4">
        <v>100.66500000000001</v>
      </c>
      <c r="BC14" s="4">
        <v>100.393</v>
      </c>
      <c r="BG14" s="4">
        <f t="shared" si="50"/>
        <v>89.920099254278327</v>
      </c>
      <c r="BI14" s="4">
        <f>BI$13*'[2]Ordinary Experience'!$D$412/'[2]Ordinary Experience'!$D$413</f>
        <v>306161324.51983351</v>
      </c>
      <c r="BJ14" s="4">
        <f>'[2]Ordinary Experience'!$E$412</f>
        <v>20.121672673259901</v>
      </c>
      <c r="BL14" s="4">
        <f t="shared" si="0"/>
        <v>92.771208878458538</v>
      </c>
      <c r="BM14" s="4">
        <f t="shared" si="34"/>
        <v>-8.7141187542047915E-2</v>
      </c>
      <c r="BO14" s="4">
        <f>IF(OR('Summary, hourly ad costs'!R14=-9999,'Summary, PPI''s'!R14="."),".",(('Summary, hourly ad costs'!B14/'Summary, hourly ad costs'!R14)*100/('Summary, hourly ad costs'!B$11/'Summary, hourly ad costs'!R$11))/('Summary, PPI''s'!R14))</f>
        <v>1.1259112781708296</v>
      </c>
      <c r="BP14" s="4" t="str">
        <f>IF(OR('Summary, hourly ad costs'!S14=-9999,'Summary, PPI''s'!S14="."),".",(('Summary, hourly ad costs'!C14/'Summary, hourly ad costs'!S14)*100/('Summary, hourly ad costs'!C$11/'Summary, hourly ad costs'!S$11))/('Summary, PPI''s'!S14))</f>
        <v>.</v>
      </c>
      <c r="BQ14" s="4" t="str">
        <f>IF(OR('Summary, hourly ad costs'!T14=-9999,'Summary, PPI''s'!T14="."),".",(('Summary, hourly ad costs'!D14/'Summary, hourly ad costs'!T14)*100/('Summary, hourly ad costs'!D$11/'Summary, hourly ad costs'!T$11))/('Summary, PPI''s'!T14))</f>
        <v>.</v>
      </c>
      <c r="BR14" s="4">
        <f>IF(OR('Summary, hourly ad costs'!U14=-9999,'Summary, PPI''s'!U14="."),".",(('Summary, hourly ad costs'!E14/'Summary, hourly ad costs'!U14)*100/('Summary, hourly ad costs'!E$11/'Summary, hourly ad costs'!U$11))/('Summary, PPI''s'!U14))</f>
        <v>1.0603307813062184</v>
      </c>
      <c r="BS14" s="4">
        <f>IF(OR('Summary, hourly ad costs'!V14=-9999,'Summary, PPI''s'!V14="."),".",(('Summary, hourly ad costs'!F14/'Summary, hourly ad costs'!V14)*100/('Summary, hourly ad costs'!F$11/'Summary, hourly ad costs'!V$11))/('Summary, PPI''s'!V14))</f>
        <v>1.1752126269016854</v>
      </c>
      <c r="BT14" s="4" t="str">
        <f>IF(OR('Summary, hourly ad costs'!W14=-9999,'Summary, PPI''s'!W14="."),".",(('Summary, hourly ad costs'!G14/'Summary, hourly ad costs'!W14)*100/('Summary, hourly ad costs'!G$11/'Summary, hourly ad costs'!W$11))/('Summary, PPI''s'!W14))</f>
        <v>.</v>
      </c>
      <c r="BU14" s="4">
        <f>IF(OR('Summary, hourly ad costs'!X14=-9999,'Summary, PPI''s'!X14="."),".",(('Summary, hourly ad costs'!H14/'Summary, hourly ad costs'!X14)*100/('Summary, hourly ad costs'!H$11/'Summary, hourly ad costs'!X$11))/('Summary, PPI''s'!X14))</f>
        <v>0.91863284299712089</v>
      </c>
      <c r="BV14" s="4">
        <f>IF(OR('Summary, hourly ad costs'!Y14=-9999,'Summary, PPI''s'!Y14="."),".",(('Summary, hourly ad costs'!I14/'Summary, hourly ad costs'!Y14)*100/('Summary, hourly ad costs'!I$11/'Summary, hourly ad costs'!Y$11))/('Summary, PPI''s'!Y14))</f>
        <v>0.86748248049143173</v>
      </c>
      <c r="BW14" s="4">
        <f>IF(OR('Summary, hourly ad costs'!Z14=-9999,'Summary, PPI''s'!Z14="."),".",(('Summary, hourly ad costs'!J14/'Summary, hourly ad costs'!Z14)*100/('Summary, hourly ad costs'!J$11/'Summary, hourly ad costs'!Z$11))/('Summary, PPI''s'!Z14))</f>
        <v>0.82116251170909027</v>
      </c>
      <c r="BX14" s="4">
        <f>IF(OR('Summary, hourly ad costs'!AA14=-9999,'Summary, PPI''s'!AA14="."),".",(('Summary, hourly ad costs'!K14/'Summary, hourly ad costs'!AA14)*100/('Summary, hourly ad costs'!K$11/'Summary, hourly ad costs'!AA$11))/('Summary, PPI''s'!AA14))</f>
        <v>1.0995287947992549</v>
      </c>
      <c r="BY14" s="4" t="str">
        <f>IF(OR('Summary, hourly ad costs'!AB14=-9999,'Summary, PPI''s'!AB14="."),".",(('Summary, hourly ad costs'!L14/'Summary, hourly ad costs'!AB14)*100/('Summary, hourly ad costs'!L$11/'Summary, hourly ad costs'!AB$11))/('Summary, PPI''s'!AB14))</f>
        <v>.</v>
      </c>
      <c r="BZ14" s="4" t="str">
        <f>IF(OR('Summary, hourly ad costs'!AC14=-9999,'Summary, PPI''s'!AC14="."),".",(('Summary, hourly ad costs'!M14/'Summary, hourly ad costs'!AC14)*100/('Summary, hourly ad costs'!M$11/'Summary, hourly ad costs'!AC$11))/('Summary, PPI''s'!AC14))</f>
        <v>.</v>
      </c>
      <c r="CA14" s="4" t="str">
        <f>IF(OR('Summary, hourly ad costs'!AD14=-9999,'Summary, PPI''s'!AD14="."),".",(('Summary, hourly ad costs'!N14/'Summary, hourly ad costs'!AD14)*100/('Summary, hourly ad costs'!N$11/'Summary, hourly ad costs'!AD$11))/('Summary, PPI''s'!AD14))</f>
        <v>.</v>
      </c>
      <c r="CB14" s="4" t="str">
        <f>IF(OR('Summary, hourly ad costs'!AE14=-9999,'Summary, PPI''s'!AE14="."),".",(('Summary, hourly ad costs'!O14/'Summary, hourly ad costs'!AE14)*100/('Summary, hourly ad costs'!O$11/'Summary, hourly ad costs'!AE$11))/('Summary, PPI''s'!AE14))</f>
        <v>.</v>
      </c>
      <c r="CC14" s="4" t="str">
        <f>IF(OR('Summary, hourly ad costs'!AF14=-9999,'Summary, PPI''s'!AF14="."),".",(('Summary, hourly ad costs'!P14/'Summary, hourly ad costs'!AF14)*100/('Summary, hourly ad costs'!P$11/'Summary, hourly ad costs'!AF$11))/('Summary, PPI''s'!AF14))</f>
        <v>.</v>
      </c>
      <c r="CE14" s="4">
        <f t="shared" si="51"/>
        <v>-3.3716120217403667E-2</v>
      </c>
      <c r="CF14" s="4" t="str">
        <f t="shared" si="52"/>
        <v>.</v>
      </c>
      <c r="CG14" s="4" t="str">
        <f t="shared" si="53"/>
        <v>.</v>
      </c>
      <c r="CH14" s="4">
        <f t="shared" si="54"/>
        <v>-0.28233282298389684</v>
      </c>
      <c r="CI14" s="4">
        <f t="shared" si="55"/>
        <v>-0.27891705707156045</v>
      </c>
      <c r="CJ14" s="4" t="str">
        <f t="shared" si="56"/>
        <v>.</v>
      </c>
      <c r="CK14" s="4">
        <f t="shared" si="57"/>
        <v>2.8681360066330042E-2</v>
      </c>
      <c r="CL14" s="4">
        <f t="shared" si="58"/>
        <v>-2.9934717667556732E-2</v>
      </c>
      <c r="CM14" s="4">
        <f t="shared" si="59"/>
        <v>1.9561508745554068E-2</v>
      </c>
      <c r="CN14" s="4">
        <f t="shared" si="60"/>
        <v>-8.8253400953649197E-2</v>
      </c>
      <c r="CO14" s="4">
        <f t="shared" si="61"/>
        <v>-0.5783833210451752</v>
      </c>
      <c r="CP14" s="4">
        <f t="shared" si="61"/>
        <v>0.42163898155110757</v>
      </c>
      <c r="CQ14" s="4" t="str">
        <f t="shared" si="62"/>
        <v>.</v>
      </c>
      <c r="CR14" s="4" t="str">
        <f t="shared" si="63"/>
        <v>.</v>
      </c>
      <c r="CS14" s="4" t="str">
        <f t="shared" si="64"/>
        <v>.</v>
      </c>
      <c r="CU14" s="5">
        <f>IF(CU13=".", ".", IF('Summary, PPI''s'!R14=".",IF(OR('Summary, hourly ad costs'!R14=-9999,'Summary, hourly ad costs'!R14=0), ".", 'Predicted PPIs'!CU13*('Summary, hourly ad costs'!B14/'Summary, hourly ad costs'!R14)/('Summary, hourly ad costs'!B13/'Summary, hourly ad costs'!R13)/(1-CE13)), 'Summary, PPI''s'!R14))</f>
        <v>99.775940250733512</v>
      </c>
      <c r="CV14" s="5">
        <f>IF(CV13=".", ".", IF('Summary, PPI''s'!S14=".",IF(OR('Summary, hourly ad costs'!S14=-9999,'Summary, hourly ad costs'!S14=0), ".", 'Predicted PPIs'!CV13*('Summary, hourly ad costs'!C14/'Summary, hourly ad costs'!S14)/('Summary, hourly ad costs'!C13/'Summary, hourly ad costs'!S13)/(1-CF13)), 'Summary, PPI''s'!S14))</f>
        <v>99.775940250733512</v>
      </c>
      <c r="CW14" s="5">
        <f>IF(CW13=".", ".", IF('Summary, PPI''s'!T14=".",IF(OR('Summary, hourly ad costs'!T14=-9999,'Summary, hourly ad costs'!T14=0), ".", 'Predicted PPIs'!CW13*('Summary, hourly ad costs'!D14/'Summary, hourly ad costs'!T14)/('Summary, hourly ad costs'!D13/'Summary, hourly ad costs'!T13)/(1-CG13)), 'Summary, PPI''s'!T14))</f>
        <v>97.946343182161385</v>
      </c>
      <c r="CX14" s="5">
        <f>IF(CX13=".", ".", IF('Summary, PPI''s'!U14=".",IF(OR('Summary, hourly ad costs'!U14=-9999,'Summary, hourly ad costs'!U14=0), ".", 'Predicted PPIs'!CX13*('Summary, hourly ad costs'!E14/'Summary, hourly ad costs'!U14)/('Summary, hourly ad costs'!E13/'Summary, hourly ad costs'!U13)/(1-CH13)), 'Summary, PPI''s'!U14))</f>
        <v>100.24326268138933</v>
      </c>
      <c r="CY14" s="5">
        <f>IF(CY13=".", ".", IF('Summary, PPI''s'!V14=".",IF(OR('Summary, hourly ad costs'!V14=-9999,'Summary, hourly ad costs'!V14=0), ".", 'Predicted PPIs'!CY13*('Summary, hourly ad costs'!F14/'Summary, hourly ad costs'!V14)/('Summary, hourly ad costs'!F13/'Summary, hourly ad costs'!V13)/(1-CI13)), 'Summary, PPI''s'!V14))</f>
        <v>95.557889534165326</v>
      </c>
      <c r="CZ14" s="5">
        <f>IF(CZ13=".", ".", IF('Summary, PPI''s'!W14=".",IF(OR('Summary, hourly ad costs'!W14=-9999,'Summary, hourly ad costs'!W14=0), ".", 'Predicted PPIs'!CZ13*('Summary, hourly ad costs'!G14/'Summary, hourly ad costs'!W14)/('Summary, hourly ad costs'!G13/'Summary, hourly ad costs'!W13)/(1-CJ13)), 'Summary, PPI''s'!W14))</f>
        <v>94.669090695833219</v>
      </c>
      <c r="DA14" s="5">
        <f>IF(DA13=".", ".", IF('Summary, PPI''s'!X14=".",IF(OR('Summary, hourly ad costs'!X14=-9999,'Summary, hourly ad costs'!X14=0), ".", 'Predicted PPIs'!DA13*('Summary, hourly ad costs'!H14/'Summary, hourly ad costs'!X14)/('Summary, hourly ad costs'!H13/'Summary, hourly ad costs'!X13)/(1-CK13)), 'Summary, PPI''s'!X14))</f>
        <v>95.661000000000001</v>
      </c>
      <c r="DB14" s="5">
        <f>IF(DB13=".", ".", IF('Summary, PPI''s'!Y14=".",IF(OR('Summary, hourly ad costs'!Y14=-9999,'Summary, hourly ad costs'!Y14=0), ".", 'Predicted PPIs'!DB13*('Summary, hourly ad costs'!I14/'Summary, hourly ad costs'!Y14)/('Summary, hourly ad costs'!I13/'Summary, hourly ad costs'!Y13)/(1-CL13)), 'Summary, PPI''s'!Y14))</f>
        <v>102.10178125831231</v>
      </c>
      <c r="DC14" s="5">
        <f>IF(DC13=".", ".", IF('Summary, PPI''s'!Z14=".",IF(OR('Summary, hourly ad costs'!Z14=-9999,'Summary, hourly ad costs'!Z14=0), ".", 'Predicted PPIs'!DC13*('Summary, hourly ad costs'!J14/'Summary, hourly ad costs'!Z14)/('Summary, hourly ad costs'!J13/'Summary, hourly ad costs'!Z13)/(1-CM13)), 'Summary, PPI''s'!Z14))</f>
        <v>87.383952254641883</v>
      </c>
      <c r="DD14" s="5">
        <f>IF(DD13=".", ".", IF('Summary, PPI''s'!AA14=".",IF(OR('Summary, hourly ad costs'!AA14=-9999,'Summary, hourly ad costs'!AA14=0), ".", 'Predicted PPIs'!DD13*('Summary, hourly ad costs'!K14/'Summary, hourly ad costs'!AA14)/('Summary, hourly ad costs'!K13/'Summary, hourly ad costs'!AA13)/(1-CN13)), 'Summary, PPI''s'!AA14))</f>
        <v>85.892948737289913</v>
      </c>
      <c r="DE14" s="5">
        <f>IF(DE13=".", ".", IF('Summary, PPI''s'!AB14=".",IF(OR('Summary, hourly ad costs'!AB14=-9999,'Summary, hourly ad costs'!AB14=0), ".", 'Predicted PPIs'!DE13*('Summary, hourly ad costs'!L14/'Summary, hourly ad costs'!AB14)/('Summary, hourly ad costs'!L13/'Summary, hourly ad costs'!AB13)/(1-CO13)), 'Summary, PPI''s'!AB14))</f>
        <v>124.57214983626126</v>
      </c>
      <c r="DF14" s="5">
        <f>IF(DF13=".", ".", IF('Summary, PPI''s'!AC14=".",IF(OR('Summary, hourly ad costs'!AC14=-9999,'Summary, hourly ad costs'!AC14=0), ".", 'Predicted PPIs'!DF13*('Summary, hourly ad costs'!M14/'Summary, hourly ad costs'!AC14)/('Summary, hourly ad costs'!M13/'Summary, hourly ad costs'!AC13)/(1-CP13)), 'Summary, PPI''s'!AC14))</f>
        <v>111.70831447254726</v>
      </c>
      <c r="DG14" s="5">
        <f>IF(DG13=".", ".", IF('Summary, PPI''s'!AD14=".",IF(OR('Summary, hourly ad costs'!AD14=-9999,'Summary, hourly ad costs'!AD14=0), ".", 'Predicted PPIs'!DG13*('Summary, hourly ad costs'!N14/'Summary, hourly ad costs'!AD14)/('Summary, hourly ad costs'!N13/'Summary, hourly ad costs'!AD13)/(1-CQ13)), 'Summary, PPI''s'!AD14))</f>
        <v>97.850012797542888</v>
      </c>
      <c r="DH14" s="5">
        <f>IF(DH13=".", ".", IF('Summary, PPI''s'!AE14=".",IF(OR('Summary, hourly ad costs'!AE14=-9999,'Summary, hourly ad costs'!AE14=0), ".", 'Predicted PPIs'!DH13*('Summary, hourly ad costs'!O14/'Summary, hourly ad costs'!AE14)/('Summary, hourly ad costs'!O13/'Summary, hourly ad costs'!AE13)/(1-CR13)), 'Summary, PPI''s'!AE14))</f>
        <v>95.222999999999999</v>
      </c>
      <c r="DI14" s="5">
        <f>IF(DI13=".", ".", IF('Summary, PPI''s'!AF14=".",IF(OR('Summary, hourly ad costs'!AF14=-9999,'Summary, hourly ad costs'!AF14=0), ".", 'Predicted PPIs'!DI13*('Summary, hourly ad costs'!P14/'Summary, hourly ad costs'!AF14)/('Summary, hourly ad costs'!P13/'Summary, hourly ad costs'!AF13)/(1-CS13)), 'Summary, PPI''s'!AF14))</f>
        <v>93.436000000000007</v>
      </c>
      <c r="DK14" s="4">
        <v>91.962000000000003</v>
      </c>
      <c r="DM14" s="5">
        <f t="shared" si="16"/>
        <v>-3.5381949728443884E-2</v>
      </c>
      <c r="DN14" s="5">
        <f t="shared" si="17"/>
        <v>-3.5381949728443884E-2</v>
      </c>
      <c r="DO14" s="5">
        <f t="shared" si="18"/>
        <v>-2.3500004095919125E-2</v>
      </c>
      <c r="DP14" s="5">
        <f t="shared" si="19"/>
        <v>-2.414281460943668E-2</v>
      </c>
      <c r="DQ14" s="5">
        <f t="shared" si="20"/>
        <v>-1.201081800248327E-2</v>
      </c>
      <c r="DR14" s="5">
        <f t="shared" si="21"/>
        <v>-9.4833289127702614E-3</v>
      </c>
      <c r="DS14" s="5">
        <f t="shared" si="22"/>
        <v>-1.1339101681627994E-2</v>
      </c>
      <c r="DT14" s="5">
        <f t="shared" si="23"/>
        <v>-7.6575862705744457E-2</v>
      </c>
      <c r="DU14" s="5">
        <f t="shared" si="24"/>
        <v>-0.1616343280649406</v>
      </c>
      <c r="DV14" s="5">
        <f t="shared" si="25"/>
        <v>-2.7404047620775973E-3</v>
      </c>
      <c r="DW14" s="5">
        <f t="shared" si="26"/>
        <v>0.46210778682781539</v>
      </c>
      <c r="DX14" s="5">
        <f t="shared" si="27"/>
        <v>-0.54965317061059205</v>
      </c>
      <c r="DY14" s="5">
        <f t="shared" si="28"/>
        <v>-3.4216001691786735E-2</v>
      </c>
      <c r="DZ14" s="5">
        <f t="shared" si="29"/>
        <v>-9.1863037743531439E-3</v>
      </c>
      <c r="EA14" s="5">
        <f t="shared" si="30"/>
        <v>-1.6288078089634728E-2</v>
      </c>
      <c r="EC14" s="1">
        <f t="shared" si="35"/>
        <v>99.775940250733512</v>
      </c>
      <c r="ED14" s="1">
        <f t="shared" si="36"/>
        <v>99.775940250733512</v>
      </c>
      <c r="EE14" s="1">
        <f t="shared" si="37"/>
        <v>97.946343182161385</v>
      </c>
      <c r="EF14" s="1">
        <f t="shared" si="38"/>
        <v>100.24326268138933</v>
      </c>
      <c r="EG14" s="1">
        <f t="shared" si="39"/>
        <v>95.557889534165326</v>
      </c>
      <c r="EH14" s="1">
        <f t="shared" si="40"/>
        <v>94.669090695833219</v>
      </c>
      <c r="EI14" s="1">
        <f t="shared" si="41"/>
        <v>95.661000000000001</v>
      </c>
      <c r="EJ14" s="1">
        <f t="shared" si="42"/>
        <v>102.10178125831231</v>
      </c>
      <c r="EK14" s="1">
        <f t="shared" si="43"/>
        <v>87.383952254641883</v>
      </c>
      <c r="EL14" s="1">
        <f t="shared" si="44"/>
        <v>85.892948737289913</v>
      </c>
      <c r="EM14" s="1">
        <f t="shared" si="45"/>
        <v>124.57214983626126</v>
      </c>
      <c r="EN14" s="1">
        <f t="shared" si="46"/>
        <v>111.70831447254726</v>
      </c>
      <c r="EO14" s="1">
        <f t="shared" si="47"/>
        <v>97.850012797542888</v>
      </c>
      <c r="EP14" s="1">
        <f t="shared" si="48"/>
        <v>95.222999999999999</v>
      </c>
      <c r="EQ14" s="1">
        <f t="shared" si="49"/>
        <v>93.436000000000007</v>
      </c>
      <c r="ES14" s="1">
        <f>IF(EF$26=".", 0, 'Summary, PPI''s'!E14)+IF(EG$26=".", 0, 'Summary, PPI''s'!F14)+IF(EH$26=".", 0, 'Summary, PPI''s'!G14)+IF(EI$26=".", 0, 'Summary, PPI''s'!H14)+IF(EJ$26=".", 0, 'Summary, PPI''s'!I14)+IF(EK$26=".", 0, 'Summary, PPI''s'!J14)+IF(EL$26=".", 0, 'Summary, PPI''s'!K14)+IF(EM$26=".", 0, 'Summary, PPI''s'!L14)+IF(EN$26=".", 0, 'Summary, PPI''s'!M14)+IF(EC$26=".", 0, 'Summary, PPI''s'!B14)+IF(ED$26=".", 0, 'Summary, PPI''s'!C14)+IF(EE$26=".", 0, 'Summary, PPI''s'!D14)+IF(EO$26=".", 0, 'Summary, PPI''s'!N14)+IF(EP$26=".", 0, 'Summary, PPI''s'!O14)+IF(EQ$26=".", 0, 'Summary, PPI''s'!P14)</f>
        <v>286603367.81612933</v>
      </c>
      <c r="ET14" s="1">
        <f>'Summary, hourly ad costs'!E14+'Summary, hourly ad costs'!F14+'Summary, hourly ad costs'!H14+'Summary, hourly ad costs'!I14+'Summary, hourly ad costs'!J14+'Summary, hourly ad costs'!K14+'Summary, hourly ad costs'!L14+'Summary, hourly ad costs'!M14+'Summary, hourly ad costs'!B14</f>
        <v>142748300.56141278</v>
      </c>
      <c r="EV14" s="13">
        <f>EV13*IF(EF$26=".", 1, (EF14/EF13)^(('Summary, PPI''s'!$E14+'Summary, PPI''s'!$E13)/('Predicted PPIs'!ES14+'Predicted PPIs'!ES13)))*IF(EG$26=".", 1, (EG14/EG13)^(('Summary, PPI''s'!$F14+'Summary, PPI''s'!$F13)/('Predicted PPIs'!ES14+'Predicted PPIs'!ES13)))*IF(EH$26=".", 1, (EH14/EH13)^(('Summary, PPI''s'!$G14+'Summary, PPI''s'!$G13)/('Predicted PPIs'!ES14+'Predicted PPIs'!ES13)))*IF(EI$26=".", 1, (EI14/EI13)^(('Summary, PPI''s'!$H14+'Summary, PPI''s'!$H13)/('Predicted PPIs'!ES14+'Predicted PPIs'!ES13)))*IF(EJ$26=".", 1, (EJ14/EJ13)^(('Summary, PPI''s'!$I14+'Summary, PPI''s'!$I13)/('Predicted PPIs'!ES14+'Predicted PPIs'!ES13)))*IF(EK$26=".", 1, (EK14/EK13)^(('Summary, PPI''s'!$J14+'Summary, PPI''s'!$J13)/('Predicted PPIs'!ES14+'Predicted PPIs'!ES13)))*IF(EL$26=".", 1, (EL14/EL13)^(('Summary, PPI''s'!$K14+'Summary, PPI''s'!$K13)/('Predicted PPIs'!ES14+'Predicted PPIs'!ES13)))*IF(EM$26=".", 1, (EM14/EM13)^(('Summary, PPI''s'!$L14+'Summary, PPI''s'!$L13)/('Predicted PPIs'!ES14+'Predicted PPIs'!ES13)))*IF(EN$26=".", 1, (EN14/EN13)^(('Summary, PPI''s'!$M14+'Summary, PPI''s'!$M13)/('Predicted PPIs'!ES14+'Predicted PPIs'!ES13)))*IF(EC$26=".", 1, (EC14/EC13)^(('Summary, PPI''s'!$B14+'Summary, PPI''s'!$B13)/('Predicted PPIs'!ES14+'Predicted PPIs'!ES13)))*IF(ED$26=".", 1, (ED14/ED13)^(('Summary, PPI''s'!$C14+'Summary, PPI''s'!$C13)/('Predicted PPIs'!ES14+'Predicted PPIs'!ES13)))*IF(EE$26=".", 1, (EE14/EE13)^(('Summary, PPI''s'!$D14+'Summary, PPI''s'!$D13)/('Predicted PPIs'!ES14+'Predicted PPIs'!ES13)))*IF(EO$26=".", 1, (EO14/EO13)^(('Summary, PPI''s'!$N14+'Summary, PPI''s'!$N13)/('Predicted PPIs'!ES14+'Predicted PPIs'!ES13)))*IF(EP$26=".", 1, (EP14/EP13)^(('Summary, PPI''s'!$O14+'Summary, PPI''s'!$O13)/('Predicted PPIs'!ES14+'Predicted PPIs'!ES13)))*IF(EQ$26=".", 1, (EQ14/EQ13)^(('Summary, PPI''s'!$P14+'Summary, PPI''s'!$P13)/('Predicted PPIs'!ES14+'Predicted PPIs'!ES13)))</f>
        <v>105.2002576117191</v>
      </c>
      <c r="EW14" s="13">
        <f>EW13*IF(EF$26=".", 1, (EF14/EF13)^(('Summary, PPI''s'!$E14+'Summary, PPI''s'!$E13)/('Predicted PPIs'!ET14+'Predicted PPIs'!ET13)))*IF(EG$26=".", 1, (EG14/EG13)^(('Summary, PPI''s'!$F14+'Summary, PPI''s'!$F13)/('Predicted PPIs'!ET14+'Predicted PPIs'!ET13)))*IF(EH$26=".", 1, (EH14/EH13)^(('Summary, PPI''s'!$G14+'Summary, PPI''s'!$G13)/('Predicted PPIs'!ET14+'Predicted PPIs'!ET13)))*IF(EK$26=".", 1, (EK14/EK13)^(('Summary, PPI''s'!$J14+'Summary, PPI''s'!$J13)/('Predicted PPIs'!ET14+'Predicted PPIs'!ET13)))*IF(EL$26=".", 1, (EL14/EL13)^(('Summary, PPI''s'!$K14+'Summary, PPI''s'!$K13)/('Predicted PPIs'!ET14+'Predicted PPIs'!ET13)))*IF(EM$26=".", 1, (EM14/EM13)^(('Summary, PPI''s'!$L14+'Summary, PPI''s'!$L13)/('Predicted PPIs'!ET14+'Predicted PPIs'!ET13)))*IF(EN$26=".", 1, (EN14/EN13)^(('Summary, PPI''s'!$M14+'Summary, PPI''s'!$M13)/('Predicted PPIs'!ET14+'Predicted PPIs'!ET13)))*IF(EC$26=".", 1, (EC14/EC13)^(('Summary, PPI''s'!$B14+'Summary, PPI''s'!$B13)/('Predicted PPIs'!ET14+'Predicted PPIs'!ET13)))</f>
        <v>117.73002883274572</v>
      </c>
      <c r="EY14" s="2"/>
    </row>
    <row r="15" spans="1:155" x14ac:dyDescent="0.3">
      <c r="A15" s="4">
        <v>2008</v>
      </c>
      <c r="B15" s="10">
        <f>IF(B14=".", ".", IF('Summary, PPI''s'!R15=".",IF(OR('Summary, hourly ad costs'!R15=-9999,'Summary, hourly ad costs'!R15=0), ".", 'Predicted PPIs'!B14*('Summary, hourly ad costs'!B15/'Summary, hourly ad costs'!R15)/('Summary, hourly ad costs'!B14/'Summary, hourly ad costs'!R14)), 'Summary, PPI''s'!R15))</f>
        <v>100.69351827153906</v>
      </c>
      <c r="C15" s="10">
        <f>IF(C14=".", ".", IF('Summary, PPI''s'!S15=".",IF(OR('Summary, hourly ad costs'!S15=-9999,'Summary, hourly ad costs'!S15=0), ".", 'Predicted PPIs'!C14*('Summary, hourly ad costs'!C15/'Summary, hourly ad costs'!S15)/('Summary, hourly ad costs'!C14/'Summary, hourly ad costs'!S14)), 'Summary, PPI''s'!S15))</f>
        <v>100.69351827153906</v>
      </c>
      <c r="D15" s="10">
        <f>IF(D14=".", ".", IF('Summary, PPI''s'!T15=".",IF(OR('Summary, hourly ad costs'!T15=-9999,'Summary, hourly ad costs'!T15=0), ".", 'Predicted PPIs'!D14*('Summary, hourly ad costs'!D15/'Summary, hourly ad costs'!T15)/('Summary, hourly ad costs'!D14/'Summary, hourly ad costs'!T14)), 'Summary, PPI''s'!T15))</f>
        <v>97.644334826596889</v>
      </c>
      <c r="E15" s="10">
        <f>IF(E14=".", ".", IF('Summary, PPI''s'!U15=".",IF(OR('Summary, hourly ad costs'!U15=-9999,'Summary, hourly ad costs'!U15=0), ".", 'Predicted PPIs'!E14*('Summary, hourly ad costs'!E15/'Summary, hourly ad costs'!U15)/('Summary, hourly ad costs'!E14/'Summary, hourly ad costs'!U14)), 'Summary, PPI''s'!U15))</f>
        <v>100</v>
      </c>
      <c r="F15" s="10">
        <f>IF(F14=".", ".", IF('Summary, PPI''s'!V15=".",IF(OR('Summary, hourly ad costs'!V15=-9999,'Summary, hourly ad costs'!V15=0), ".", 'Predicted PPIs'!F14*('Summary, hourly ad costs'!F15/'Summary, hourly ad costs'!V15)/('Summary, hourly ad costs'!F14/'Summary, hourly ad costs'!V14)), 'Summary, PPI''s'!V15))</f>
        <v>94.155442975410864</v>
      </c>
      <c r="G15" s="10">
        <f>IF(G14=".", ".", IF('Summary, PPI''s'!W15=".",IF(OR('Summary, hourly ad costs'!W15=-9999,'Summary, hourly ad costs'!W15=0), ".", 'Predicted PPIs'!G14*('Summary, hourly ad costs'!G15/'Summary, hourly ad costs'!W15)/('Summary, hourly ad costs'!G14/'Summary, hourly ad costs'!W14)), 'Summary, PPI''s'!W15))</f>
        <v>93.041667888455564</v>
      </c>
      <c r="H15" s="10">
        <f>IF(H14=".", ".", IF('Summary, PPI''s'!X15=".",IF(OR('Summary, hourly ad costs'!X15=-9999,'Summary, hourly ad costs'!X15=0), ".", 'Predicted PPIs'!H14*('Summary, hourly ad costs'!H15/'Summary, hourly ad costs'!X15)/('Summary, hourly ad costs'!H14/'Summary, hourly ad costs'!X14)), 'Summary, PPI''s'!X15))</f>
        <v>94.192999999999998</v>
      </c>
      <c r="I15" s="10">
        <f>IF(I14=".", ".", IF('Summary, PPI''s'!Y15=".",IF(OR('Summary, hourly ad costs'!Y15=-9999,'Summary, hourly ad costs'!Y15=0), ".", 'Predicted PPIs'!I14*('Summary, hourly ad costs'!I15/'Summary, hourly ad costs'!Y15)/('Summary, hourly ad costs'!I14/'Summary, hourly ad costs'!Y14)), 'Summary, PPI''s'!Y15))</f>
        <v>107.63739218884439</v>
      </c>
      <c r="J15" s="10">
        <f>IF(J14=".", ".", IF('Summary, PPI''s'!Z15=".",IF(OR('Summary, hourly ad costs'!Z15=-9999,'Summary, hourly ad costs'!Z15=0), ".", 'Predicted PPIs'!J14*('Summary, hourly ad costs'!J15/'Summary, hourly ad costs'!Z15)/('Summary, hourly ad costs'!J14/'Summary, hourly ad costs'!Z14)), 'Summary, PPI''s'!Z15))</f>
        <v>101.4680389453107</v>
      </c>
      <c r="K15" s="10">
        <f>IF(K14=".", ".", IF('Summary, PPI''s'!AA15=".",IF(OR('Summary, hourly ad costs'!AA15=-9999,'Summary, hourly ad costs'!AA15=0), ".", 'Predicted PPIs'!K14*('Summary, hourly ad costs'!K15/'Summary, hourly ad costs'!AA15)/('Summary, hourly ad costs'!K14/'Summary, hourly ad costs'!AA14)), 'Summary, PPI''s'!AA15))</f>
        <v>83.845615978231649</v>
      </c>
      <c r="L15" s="10">
        <f>IF(L14=".", ".", IF('Summary, PPI''s'!AB15=".",IF(OR('Summary, hourly ad costs'!AB15=-9999,'Summary, hourly ad costs'!AB15=0), ".", 'Predicted PPIs'!L14*('Summary, hourly ad costs'!L15/'Summary, hourly ad costs'!AB15)/('Summary, hourly ad costs'!L14/'Summary, hourly ad costs'!AB14)), 'Summary, PPI''s'!AB15))</f>
        <v>109.52184185939875</v>
      </c>
      <c r="M15" s="10">
        <f>IF(M14=".", ".", IF('Summary, PPI''s'!AC15=".",IF(OR('Summary, hourly ad costs'!AC15=-9999,'Summary, hourly ad costs'!AC15=0), ".", 'Predicted PPIs'!M14*('Summary, hourly ad costs'!M15/'Summary, hourly ad costs'!AC15)/('Summary, hourly ad costs'!M14/'Summary, hourly ad costs'!AC14)), 'Summary, PPI''s'!AC15))</f>
        <v>122.52621689362223</v>
      </c>
      <c r="N15" s="10">
        <f>IF(N14=".", ".", IF('Summary, PPI''s'!AD15=".",IF(OR('Summary, hourly ad costs'!AD15=-9999,'Summary, hourly ad costs'!AD15=0), ".", 'Predicted PPIs'!N14*('Summary, hourly ad costs'!N15/'Summary, hourly ad costs'!AD15)/('Summary, hourly ad costs'!N14/'Summary, hourly ad costs'!AD14)), 'Summary, PPI''s'!AD15))</f>
        <v>98.630662912720737</v>
      </c>
      <c r="O15" s="10">
        <f>IF(O14=".", ".", IF('Summary, PPI''s'!AE15=".",IF(OR('Summary, hourly ad costs'!AE15=-9999,'Summary, hourly ad costs'!AE15=0), ".", 'Predicted PPIs'!O14*('Summary, hourly ad costs'!O15/'Summary, hourly ad costs'!AE15)/('Summary, hourly ad costs'!O14/'Summary, hourly ad costs'!AE14)), 'Summary, PPI''s'!AE15))</f>
        <v>93.558000000000007</v>
      </c>
      <c r="P15" s="10">
        <f>IF(P14=".", ".", IF('Summary, PPI''s'!AF15=".",IF(OR('Summary, hourly ad costs'!AF15=-9999,'Summary, hourly ad costs'!AF15=0), ".", 'Predicted PPIs'!P14*('Summary, hourly ad costs'!P15/'Summary, hourly ad costs'!AF15)/('Summary, hourly ad costs'!P14/'Summary, hourly ad costs'!AF14)), 'Summary, PPI''s'!AF15))</f>
        <v>92.465000000000003</v>
      </c>
      <c r="R15" s="1">
        <f>IF(E$26=".", 0, 'Summary, PPI''s'!E15)+IF(F$26=".", 0, 'Summary, PPI''s'!F15)+IF(G$26=".", 0, 'Summary, PPI''s'!G15)+IF(H$26=".", 0, 'Summary, PPI''s'!H15)+IF(I$26=".", 0, 'Summary, PPI''s'!I15)+IF(J$26=".", 0, 'Summary, PPI''s'!J15)+IF(K$26=".", 0, 'Summary, PPI''s'!K15)+IF(L$26=".", 0, 'Summary, PPI''s'!L15)+IF(M$26=".", 0, 'Summary, PPI''s'!M15)+IF(B$26=".", 0, 'Summary, PPI''s'!B15)+IF(C$26=".", 0, 'Summary, PPI''s'!C15)+IF(D$26=".", 0, 'Summary, PPI''s'!D15)+IF(N$26=".", 0, 'Summary, PPI''s'!N15)+IF(O$26=".", 0, 'Summary, PPI''s'!O15)+IF(P$26=".", 0, 'Summary, PPI''s'!P15)</f>
        <v>327156139.77895707</v>
      </c>
      <c r="S15" s="1">
        <f>IF(E$36=".", 0, 'Summary, PPI''s'!E15)+IF(F$36=".", 0, 'Summary, PPI''s'!F15)+IF(G$36=".", 0, 'Summary, PPI''s'!G15)+IF(H$36=".", 0, 'Summary, PPI''s'!H15)+IF(I$36=".", 0, 'Summary, PPI''s'!I15)+IF(J$36=".", 0, 'Summary, PPI''s'!J15)+IF(K$36=".", 0, 'Summary, PPI''s'!K15)+IF(L$36=".", 0, 'Summary, PPI''s'!L15)+IF(M$36=".", 0, 'Summary, PPI''s'!M15)+IF(B$36=".", 0, 'Summary, PPI''s'!B15)+IF(C$36=".", 0, 'Summary, PPI''s'!C15)+IF(D$36=".", 0, 'Summary, PPI''s'!D15)+IF(N$36=".", 0, 'Summary, PPI''s'!N15)+IF(O$36=".", 0, 'Summary, PPI''s'!O15)+IF(P$36=".", 0, 'Summary, PPI''s'!P15)</f>
        <v>303925792.52719563</v>
      </c>
      <c r="T15" s="1">
        <f>IF(E$46=".", 0, 'Summary, PPI''s'!E15)+IF(F$46=".", 0, 'Summary, PPI''s'!F15)+IF(G$46=".", 0, 'Summary, PPI''s'!G15)+IF(H$46=".", 0, 'Summary, PPI''s'!H15)+IF(I$46=".", 0, 'Summary, PPI''s'!I15)+IF(J$46=".", 0, 'Summary, PPI''s'!J15)+IF(K$46=".", 0, 'Summary, PPI''s'!K15)+IF(L$46=".", 0, 'Summary, PPI''s'!L15)+IF(M$46=".", 0, 'Summary, PPI''s'!M15)+IF(B$46=".", 0, 'Summary, PPI''s'!B15)+IF(C$46=".", 0, 'Summary, PPI''s'!C15)+IF(D$46=".", 0, 'Summary, PPI''s'!D15)+IF(N$46=".", 0, 'Summary, PPI''s'!N15)+IF(O$46=".", 0, 'Summary, PPI''s'!O15)+IF(P$46=".", 0, 'Summary, PPI''s'!P15)</f>
        <v>189164281.3467921</v>
      </c>
      <c r="U15" s="1">
        <f>IF(E$60=".", 0, 'Summary, PPI''s'!E15)+IF(F$60=".", 0, 'Summary, PPI''s'!F15)+IF(G$60=".", 0, 'Summary, PPI''s'!G15)+IF(H$60=".", 0, 'Summary, PPI''s'!H15)+IF(I$60=".", 0, 'Summary, PPI''s'!I15)+IF(J$60=".", 0, 'Summary, PPI''s'!J15)+IF(K$60=".", 0, 'Summary, PPI''s'!K15)+IF(L$60=".", 0, 'Summary, PPI''s'!L15)+IF(M$60=".", 0, 'Summary, PPI''s'!M15)+IF(B$60=".", 0, 'Summary, PPI''s'!B15)+IF(C$60=".", 0, 'Summary, PPI''s'!C15)+IF(D$60=".", 0, 'Summary, PPI''s'!D15)+IF(N$60=".", 0, 'Summary, PPI''s'!N15)+IF(O$60=".", 0, 'Summary, PPI''s'!O15)+IF(P$60=".", 0, 'Summary, PPI''s'!P15)</f>
        <v>134603744.38163868</v>
      </c>
      <c r="V15" s="1">
        <f>IF(E$73=".", 0, 'Summary, PPI''s'!E15)+IF(F$73=".", 0, 'Summary, PPI''s'!F15)+IF(G$73=".", 0, 'Summary, PPI''s'!G15)+IF(H$73=".", 0, 'Summary, PPI''s'!H15)+IF(I$73=".", 0, 'Summary, PPI''s'!I15)+IF(J$73=".", 0, 'Summary, PPI''s'!J15)+IF(K$73=".", 0, 'Summary, PPI''s'!K15)+IF(L$73=".", 0, 'Summary, PPI''s'!L15)+IF(M$73=".", 0, 'Summary, PPI''s'!M15)+IF(B$73=".", 0, 'Summary, PPI''s'!B15)+IF(C$73=".", 0, 'Summary, PPI''s'!C15)+IF(D$73=".", 0, 'Summary, PPI''s'!D15)+IF(N$73=".", 0, 'Summary, PPI''s'!N15)+IF(O$73=".", 0, 'Summary, PPI''s'!O15)+IF(P$73=".", 0, 'Summary, PPI''s'!P15)</f>
        <v>108946232.66385977</v>
      </c>
      <c r="W15" s="1">
        <f>IF(E$94=".",0,'Summary, PPI''s'!E15)+IF(F$94=".",0,'Summary, PPI''s'!F15)+IF(G$94=".",0,'Summary, PPI''s'!G15)+IF(H$94=".",0,'Summary, PPI''s'!H15)+IF(I$94=".",0,'Summary, PPI''s'!I15)+IF(J$94=".",0,'Summary, PPI''s'!J15)+IF(K$94=".",0,'Summary, PPI''s'!K15)+IF(L$94=".",0,'Summary, PPI''s'!L15)+IF(M$94=".",0,'Summary, PPI''s'!M15)+IF(B$94=".",0,'Summary, PPI''s'!B15)+IF(C$94=".",0,'Summary, PPI''s'!C15)+IF(D$94=".",0,'Summary, PPI''s'!D15)+IF(N$94=".",0,'Summary, PPI''s'!N15)+IF(O$94=".",0,'Summary, PPI''s'!O15)+IF(P$94=".",0,'Summary, PPI''s'!P15)</f>
        <v>78658429.025717169</v>
      </c>
      <c r="X15" s="1">
        <f>IF(E$123=".", 0, 'Summary, PPI''s'!E15)+IF(F$123=".", 0, 'Summary, PPI''s'!F15)+IF(G$123=".", 0, 'Summary, PPI''s'!G15)+IF(H$123=".", 0, 'Summary, PPI''s'!H15)+IF(I$123=".", 0, 'Summary, PPI''s'!I15)+IF(J$123=".", 0, 'Summary, PPI''s'!J15)+IF(K$123=".", 0, 'Summary, PPI''s'!K15)+IF(L$123=".", 0, 'Summary, PPI''s'!L15)+IF(M$123=".", 0, 'Summary, PPI''s'!M15)+IF(B$123=".", 0, 'Summary, PPI''s'!B15)+IF(C$123=".", 0, 'Summary, PPI''s'!C15)+IF(D$123=".", 0, 'Summary, PPI''s'!D15)+IF(N$123=".", 0, 'Summary, PPI''s'!N15)+IF(O$123=".", 0, 'Summary, PPI''s'!O15)+IF(P$123=".", 0, 'Summary, PPI''s'!P15)</f>
        <v>62861668.109324306</v>
      </c>
      <c r="Z15" s="4">
        <f>Z14*IF(E$26=".", 1, (E15/E14)^(('Summary, PPI''s'!$E15+'Summary, PPI''s'!$E14)/('Predicted PPIs'!R15+'Predicted PPIs'!R14)))*IF(F$26=".", 1, (F15/F14)^(('Summary, PPI''s'!$F15+'Summary, PPI''s'!$F14)/('Predicted PPIs'!R15+'Predicted PPIs'!R14)))*IF(G$26=".", 1, (G15/G14)^(('Summary, PPI''s'!$G15+'Summary, PPI''s'!$G14)/('Predicted PPIs'!R15+'Predicted PPIs'!R14)))*IF(H$26=".", 1, (H15/H14)^(('Summary, PPI''s'!$H15+'Summary, PPI''s'!$H14)/('Predicted PPIs'!R15+'Predicted PPIs'!R14)))*IF(I$26=".", 1, (I15/I14)^(('Summary, PPI''s'!$I15+'Summary, PPI''s'!$I14)/('Predicted PPIs'!R15+'Predicted PPIs'!R14)))*IF(J$26=".", 1, (J15/J14)^(('Summary, PPI''s'!$J15+'Summary, PPI''s'!$J14)/('Predicted PPIs'!R15+'Predicted PPIs'!R14)))*IF(K$26=".", 1, (K15/K14)^(('Summary, PPI''s'!$K15+'Summary, PPI''s'!$K14)/('Predicted PPIs'!R15+'Predicted PPIs'!R14)))*IF(L$26=".", 1, (L15/L14)^(('Summary, PPI''s'!$L15+'Summary, PPI''s'!$L14)/('Predicted PPIs'!R15+'Predicted PPIs'!R14)))*IF(M$26=".", 1, (M15/M14)^(('Summary, PPI''s'!$M15+'Summary, PPI''s'!$M14)/('Predicted PPIs'!R15+'Predicted PPIs'!R14)))*IF(B$26=".", 1, (B15/B14)^(('Summary, PPI''s'!$B15+'Summary, PPI''s'!$B14)/('Predicted PPIs'!R15+'Predicted PPIs'!R14)))*IF(C$26=".", 1, (C15/C14)^(('Summary, PPI''s'!$C15+'Summary, PPI''s'!$C14)/('Predicted PPIs'!R15+'Predicted PPIs'!R14)))*IF(D$26=".", 1, (D15/D14)^(('Summary, PPI''s'!$D15+'Summary, PPI''s'!$D14)/('Predicted PPIs'!R15+'Predicted PPIs'!R14)))*IF(N$26=".", 1, (N15/N14)^(('Summary, PPI''s'!$N15+'Summary, PPI''s'!$N14)/('Predicted PPIs'!R15+'Predicted PPIs'!R14)))*IF(O$26=".", 1, (O15/O14)^(('Summary, PPI''s'!$O15+'Summary, PPI''s'!$O14)/('Predicted PPIs'!R15+'Predicted PPIs'!R14)))*IF(P$26=".", 1, (P15/P14)^(('Summary, PPI''s'!$P15+'Summary, PPI''s'!$P14)/('Predicted PPIs'!R15+'Predicted PPIs'!R14)))</f>
        <v>106.27046062579079</v>
      </c>
      <c r="AA15" s="4">
        <f>AA14*IF(E$36=".", 1, (E15/E14)^(('Summary, PPI''s'!$E15+'Summary, PPI''s'!$E14)/('Predicted PPIs'!S15+'Predicted PPIs'!S14)))*IF(F$36=".", 1, (F15/F14)^(('Summary, PPI''s'!$F15+'Summary, PPI''s'!$F14)/('Predicted PPIs'!S15+'Predicted PPIs'!S14)))*IF(G$36=".", 1, (G15/G14)^(('Summary, PPI''s'!$G15+'Summary, PPI''s'!$G14)/('Predicted PPIs'!S15+'Predicted PPIs'!S14)))*IF(H$36=".", 1, (H15/H14)^(('Summary, PPI''s'!$H15+'Summary, PPI''s'!$H14)/('Predicted PPIs'!S15+'Predicted PPIs'!S14)))*IF(I$36=".", 1, (I15/I14)^(('Summary, PPI''s'!$I15+'Summary, PPI''s'!$I14)/('Predicted PPIs'!S15+'Predicted PPIs'!S14)))*IF(J$36=".", 1, (J15/J14)^(('Summary, PPI''s'!$J15+'Summary, PPI''s'!$J14)/('Predicted PPIs'!S15+'Predicted PPIs'!S14)))*IF(K$36=".", 1, (K15/K14)^(('Summary, PPI''s'!$K15+'Summary, PPI''s'!$K14)/('Predicted PPIs'!S15+'Predicted PPIs'!S14)))*IF(L$36=".", 1, (L15/L14)^(('Summary, PPI''s'!$L15+'Summary, PPI''s'!$L14)/('Predicted PPIs'!S15+'Predicted PPIs'!S14)))*IF(M$36=".", 1, (M15/M14)^(('Summary, PPI''s'!$M15+'Summary, PPI''s'!$M14)/('Predicted PPIs'!S15+'Predicted PPIs'!S14)))*IF(B$36=".", 1, (B15/B14)^(('Summary, PPI''s'!$B15+'Summary, PPI''s'!$B14)/('Predicted PPIs'!S15+'Predicted PPIs'!S14)))*IF(C$36=".", 1, (C15/C14)^(('Summary, PPI''s'!$C15+'Summary, PPI''s'!$C14)/('Predicted PPIs'!S15+'Predicted PPIs'!S14)))*IF(D$36=".", 1, (D15/D14)^(('Summary, PPI''s'!$D15+'Summary, PPI''s'!$D14)/('Predicted PPIs'!S15+'Predicted PPIs'!S14)))*IF(N$36=".", 1, (N15/N14)^(('Summary, PPI''s'!$N15+'Summary, PPI''s'!$N14)/('Predicted PPIs'!S15+'Predicted PPIs'!S14)))*IF(O$36=".", 1, (O15/O14)^(('Summary, PPI''s'!$O15+'Summary, PPI''s'!$O14)/('Predicted PPIs'!S15+'Predicted PPIs'!S14)))*IF(P$36=".", 1, (P15/P14)^(('Summary, PPI''s'!$P15+'Summary, PPI''s'!$P14)/('Predicted PPIs'!S15+'Predicted PPIs'!S14)))</f>
        <v>94.008728749982566</v>
      </c>
      <c r="AB15" s="4">
        <f>AB14*IF(E$46=".", 1, (E15/E14)^(('Summary, PPI''s'!$E15+'Summary, PPI''s'!$E14)/('Predicted PPIs'!T15+'Predicted PPIs'!T14)))*IF(F$46=".", 1, (F15/F14)^(('Summary, PPI''s'!$F15+'Summary, PPI''s'!$F14)/('Predicted PPIs'!T15+'Predicted PPIs'!T14)))*IF(G$46=".", 1, (G15/G14)^(('Summary, PPI''s'!$G15+'Summary, PPI''s'!$G14)/('Predicted PPIs'!T15+'Predicted PPIs'!T14)))*IF(H$46=".", 1, (H15/H14)^(('Summary, PPI''s'!$H15+'Summary, PPI''s'!$H14)/('Predicted PPIs'!T15+'Predicted PPIs'!T14)))*IF(I$46=".", 1, (I15/I14)^(('Summary, PPI''s'!$I15+'Summary, PPI''s'!$I14)/('Predicted PPIs'!T15+'Predicted PPIs'!T14)))*IF(J$46=".", 1, (J15/J14)^(('Summary, PPI''s'!$J15+'Summary, PPI''s'!$J14)/('Predicted PPIs'!T15+'Predicted PPIs'!T14)))*IF(K$46=".", 1, (K15/K14)^(('Summary, PPI''s'!$K15+'Summary, PPI''s'!$K14)/('Predicted PPIs'!T15+'Predicted PPIs'!T14)))*IF(L$46=".", 1, (L15/L14)^(('Summary, PPI''s'!$L15+'Summary, PPI''s'!$L14)/('Predicted PPIs'!T15+'Predicted PPIs'!T14)))*IF(M$46=".", 1, (M15/M14)^(('Summary, PPI''s'!$M15+'Summary, PPI''s'!$M14)/('Predicted PPIs'!T15+'Predicted PPIs'!T14)))*IF(B$46=".", 1, (B15/B14)^(('Summary, PPI''s'!$B15+'Summary, PPI''s'!$B14)/('Predicted PPIs'!T15+'Predicted PPIs'!T14)))*IF(C$46=".", 1, (C15/C14)^(('Summary, PPI''s'!$C15+'Summary, PPI''s'!$C14)/('Predicted PPIs'!T15+'Predicted PPIs'!T14)))*IF(D$46=".", 1, (D15/D14)^(('Summary, PPI''s'!$D15+'Summary, PPI''s'!$D14)/('Predicted PPIs'!T15+'Predicted PPIs'!T14)))*IF(N$46=".", 1, (N15/N14)^(('Summary, PPI''s'!$N15+'Summary, PPI''s'!$N14)/('Predicted PPIs'!T15+'Predicted PPIs'!T14)))*IF(O$46=".", 1, (O15/O14)^(('Summary, PPI''s'!$O15+'Summary, PPI''s'!$O14)/('Predicted PPIs'!T15+'Predicted PPIs'!T14)))*IF(P$46=".", 1, (P15/P14)^(('Summary, PPI''s'!$P15+'Summary, PPI''s'!$P14)/('Predicted PPIs'!T15+'Predicted PPIs'!T14)))</f>
        <v>95.344194202675268</v>
      </c>
      <c r="AC15" s="4">
        <f>AC14*IF(E$60=".",1,(E15/E14)^(('Summary, PPI''s'!$E15+'Summary, PPI''s'!$E14)/('Predicted PPIs'!U15+'Predicted PPIs'!U14)))*IF(F$60=".",1,(F15/F14)^(('Summary, PPI''s'!$F15+'Summary, PPI''s'!$F14)/('Predicted PPIs'!U15+'Predicted PPIs'!U14)))*IF(G$60=".",1,(G15/G14)^(('Summary, PPI''s'!$G15+'Summary, PPI''s'!$G14)/('Predicted PPIs'!U15+'Predicted PPIs'!U14)))*IF(H$60=".",1,(H15/H14)^(('Summary, PPI''s'!$H15+'Summary, PPI''s'!$H14)/('Predicted PPIs'!U15+'Predicted PPIs'!U14)))*IF(I$60=".",1,(I15/I14)^(('Summary, PPI''s'!$I15+'Summary, PPI''s'!$I14)/('Predicted PPIs'!U15+'Predicted PPIs'!U14)))*IF(J$60=".",1,(J15/J14)^(('Summary, PPI''s'!$J15+'Summary, PPI''s'!$J14)/('Predicted PPIs'!U15+'Predicted PPIs'!U14)))*IF(K$60=".",1,(K15/K14)^(('Summary, PPI''s'!$K15+'Summary, PPI''s'!$K14)/('Predicted PPIs'!U15+'Predicted PPIs'!U14)))*IF(L$60=".",1,(L15/L14)^(('Summary, PPI''s'!$L15+'Summary, PPI''s'!$L14)/('Predicted PPIs'!U15+'Predicted PPIs'!U14)))*IF(M$60=".",1,(M15/M14)^(('Summary, PPI''s'!$M15+'Summary, PPI''s'!$M14)/('Predicted PPIs'!U15+'Predicted PPIs'!U14)))*IF(B$60=".",1,(B15/B14)^(('Summary, PPI''s'!$B15+'Summary, PPI''s'!$B14)/('Predicted PPIs'!U15+'Predicted PPIs'!U14)))*IF(C$60=".",1,(C15/C14)^(('Summary, PPI''s'!$C15+'Summary, PPI''s'!$C14)/('Predicted PPIs'!U15+'Predicted PPIs'!U14)))*IF(D$60=".",1,(D15/D14)^(('Summary, PPI''s'!$D15+'Summary, PPI''s'!$D14)/('Predicted PPIs'!U15+'Predicted PPIs'!U14)))*IF(N$60=".",1,(N15/N14)^(('Summary, PPI''s'!$N15+'Summary, PPI''s'!$N14)/('Predicted PPIs'!U15+'Predicted PPIs'!U14)))*IF(O$60=".",1,(O15/O14)^(('Summary, PPI''s'!$O15+'Summary, PPI''s'!$O14)/('Predicted PPIs'!U15+'Predicted PPIs'!U14)))*IF(P$60=".",1,(P15/P14)^(('Summary, PPI''s'!$P15+'Summary, PPI''s'!$P14)/('Predicted PPIs'!U15+'Predicted PPIs'!U14)))</f>
        <v>103.4777056235272</v>
      </c>
      <c r="AD15" s="4">
        <f>AD14*IF(E$73=".", 1, (E15/E14)^(('Summary, PPI''s'!$E15+'Summary, PPI''s'!$E14)/('Predicted PPIs'!V15+'Predicted PPIs'!V14)))*IF(F$73=".", 1, (F15/F14)^(('Summary, PPI''s'!$F15+'Summary, PPI''s'!$F14)/('Predicted PPIs'!V15+'Predicted PPIs'!V14)))*IF(G$73=".", 1, (G15/G14)^(('Summary, PPI''s'!$G15+'Summary, PPI''s'!$G14)/('Predicted PPIs'!V15+'Predicted PPIs'!V14)))*IF(H$73=".", 1, (H15/H14)^(('Summary, PPI''s'!$H15+'Summary, PPI''s'!$H14)/('Predicted PPIs'!V15+'Predicted PPIs'!V14)))*IF(I$73=".", 1, (I15/I14)^(('Summary, PPI''s'!$I15+'Summary, PPI''s'!$I14)/('Predicted PPIs'!V15+'Predicted PPIs'!V14)))*IF(J$73=".", 1, (J15/J14)^(('Summary, PPI''s'!$J15+'Summary, PPI''s'!$J14)/('Predicted PPIs'!V15+'Predicted PPIs'!V14)))*IF(K$73=".", 1, (K15/K14)^(('Summary, PPI''s'!$K15+'Summary, PPI''s'!$K14)/('Predicted PPIs'!V15+'Predicted PPIs'!V14)))*IF(L$73=".", 1, (L15/L14)^(('Summary, PPI''s'!$L15+'Summary, PPI''s'!$L14)/('Predicted PPIs'!V15+'Predicted PPIs'!V14)))*IF(M$73=".", 1, (M15/M14)^(('Summary, PPI''s'!$M15+'Summary, PPI''s'!$M14)/('Predicted PPIs'!V15+'Predicted PPIs'!V14)))*IF(B$73=".", 1, (B15/B14)^(('Summary, PPI''s'!$B15+'Summary, PPI''s'!$B14)/('Predicted PPIs'!V15+'Predicted PPIs'!V14)))*IF(C$73=".", 1, (C15/C14)^(('Summary, PPI''s'!$C15+'Summary, PPI''s'!$C14)/('Predicted PPIs'!V15+'Predicted PPIs'!V14)))*IF(D$73=".", 1, (D15/D14)^(('Summary, PPI''s'!$D15+'Summary, PPI''s'!$D14)/('Predicted PPIs'!V15+'Predicted PPIs'!V14)))*IF(N$73=".", 1, (N15/N14)^(('Summary, PPI''s'!$N15+'Summary, PPI''s'!$N14)/('Predicted PPIs'!V15+'Predicted PPIs'!V14)))*IF(O$73=".", 1, (O15/O14)^(('Summary, PPI''s'!$O15+'Summary, PPI''s'!$O14)/('Predicted PPIs'!V15+'Predicted PPIs'!V14)))*IF(P$73=".", 1, (P15/P14)^(('Summary, PPI''s'!$P15+'Summary, PPI''s'!$P14)/('Predicted PPIs'!V15+'Predicted PPIs'!V14)))</f>
        <v>104.95884016952259</v>
      </c>
      <c r="AE15" s="4">
        <f>AE14*IF(E$94=".", 1, (E15/E14)^(('Summary, PPI''s'!$E15+'Summary, PPI''s'!$E14)/('Predicted PPIs'!W15+'Predicted PPIs'!W14)))*IF(F$94=".", 1, (F15/F14)^(('Summary, PPI''s'!$F15+'Summary, PPI''s'!$F14)/('Predicted PPIs'!W15+'Predicted PPIs'!W14)))*IF(G$94=".", 1, (G15/G14)^(('Summary, PPI''s'!$G15+'Summary, PPI''s'!$G14)/('Predicted PPIs'!W15+'Predicted PPIs'!W14)))*IF(H$94=".", 1, (H15/H14)^(('Summary, PPI''s'!$H15+'Summary, PPI''s'!$H14)/('Predicted PPIs'!W15+'Predicted PPIs'!W14)))*IF(I$94=".", 1, (I15/I14)^(('Summary, PPI''s'!$I15+'Summary, PPI''s'!$I14)/('Predicted PPIs'!W15+'Predicted PPIs'!W14)))*IF(J$94=".", 1, (J15/J14)^(('Summary, PPI''s'!$J15+'Summary, PPI''s'!$J14)/('Predicted PPIs'!W15+'Predicted PPIs'!W14)))*IF(K$94=".", 1, (K15/K14)^(('Summary, PPI''s'!$K15+'Summary, PPI''s'!$K14)/('Predicted PPIs'!W15+'Predicted PPIs'!W14)))*IF(L$94=".", 1, (L15/L14)^(('Summary, PPI''s'!$L15+'Summary, PPI''s'!$L14)/('Predicted PPIs'!W15+'Predicted PPIs'!W14)))*IF(M$94=".", 1, (M15/M14)^(('Summary, PPI''s'!$M15+'Summary, PPI''s'!$M14)/('Predicted PPIs'!W15+'Predicted PPIs'!W14)))*IF(B$94=".", 1, (B15/B14)^(('Summary, PPI''s'!$B15+'Summary, PPI''s'!$B14)/('Predicted PPIs'!W15+'Predicted PPIs'!W14)))*IF(C$94=".", 1, (C15/C14)^(('Summary, PPI''s'!$C15+'Summary, PPI''s'!$C14)/('Predicted PPIs'!W15+'Predicted PPIs'!W14)))*IF(D$94=".", 1, (D15/D14)^(('Summary, PPI''s'!$D15+'Summary, PPI''s'!$D14)/('Predicted PPIs'!W15+'Predicted PPIs'!W14)))*IF(N$94=".", 1, (N15/N14)^(('Summary, PPI''s'!$N15+'Summary, PPI''s'!$N14)/('Predicted PPIs'!W15+'Predicted PPIs'!W14)))*IF(O$94=".", 1, (O15/O14)^(('Summary, PPI''s'!$O15+'Summary, PPI''s'!$O14)/('Predicted PPIs'!W15+'Predicted PPIs'!W14)))*IF(P$94=".", 1, (P15/P14)^(('Summary, PPI''s'!$P15+'Summary, PPI''s'!$P14)/('Predicted PPIs'!W15+'Predicted PPIs'!W14)))</f>
        <v>101.13247568107714</v>
      </c>
      <c r="AF15" s="4">
        <f>AF14*IF(E$123=".", 1, (E15/E14)^(('Summary, PPI''s'!$E15+'Summary, PPI''s'!$E14)/('Predicted PPIs'!X15+'Predicted PPIs'!X14)))*IF(F$123=".", 1, (F15/F14)^(('Summary, PPI''s'!$F15+'Summary, PPI''s'!$F14)/('Predicted PPIs'!X15+'Predicted PPIs'!X14)))*IF(G$123=".", 1, (G15/G14)^(('Summary, PPI''s'!$G15+'Summary, PPI''s'!$G14)/('Predicted PPIs'!X15+'Predicted PPIs'!X14)))*IF(H$123=".", 1, (H15/H14)^(('Summary, PPI''s'!$H15+'Summary, PPI''s'!$H14)/('Predicted PPIs'!X15+'Predicted PPIs'!X14)))*IF(I$123=".", 1, (I15/I14)^(('Summary, PPI''s'!$I15+'Summary, PPI''s'!$I14)/('Predicted PPIs'!X15+'Predicted PPIs'!X14)))*IF(J$123=".", 1, (J15/J14)^(('Summary, PPI''s'!$J15+'Summary, PPI''s'!$J14)/('Predicted PPIs'!X15+'Predicted PPIs'!X14)))*IF(K$123=".", 1, (K15/K14)^(('Summary, PPI''s'!$K15+'Summary, PPI''s'!$K14)/('Predicted PPIs'!X15+'Predicted PPIs'!X14)))*IF(L$123=".", 1, (L15/L14)^(('Summary, PPI''s'!$L15+'Summary, PPI''s'!$L14)/('Predicted PPIs'!X15+'Predicted PPIs'!X14)))*IF(M$123=".", 1, (M15/M14)^(('Summary, PPI''s'!$M15+'Summary, PPI''s'!$M14)/('Predicted PPIs'!X15+'Predicted PPIs'!X14)))*IF(B$123=".", 1, (B15/B14)^(('Summary, PPI''s'!$B15+'Summary, PPI''s'!$B14)/('Predicted PPIs'!X15+'Predicted PPIs'!X14)))*IF(C$123=".", 1, (C15/C14)^(('Summary, PPI''s'!$C15+'Summary, PPI''s'!$C14)/('Predicted PPIs'!X15+'Predicted PPIs'!X14)))*IF(D$123=".", 1, (D15/D14)^(('Summary, PPI''s'!$D15+'Summary, PPI''s'!$D14)/('Predicted PPIs'!X15+'Predicted PPIs'!X14)))*IF(N$123=".", 1, (N15/N14)^(('Summary, PPI''s'!$N15+'Summary, PPI''s'!$N14)/('Predicted PPIs'!X15+'Predicted PPIs'!X14)))*IF(O$123=".", 1, (O15/O14)^(('Summary, PPI''s'!$O15+'Summary, PPI''s'!$O14)/('Predicted PPIs'!X15+'Predicted PPIs'!X14)))*IF(P$123=".", 1, (P15/P14)^(('Summary, PPI''s'!$P15+'Summary, PPI''s'!$P14)/('Predicted PPIs'!X15+'Predicted PPIs'!X14)))</f>
        <v>96.48773145360245</v>
      </c>
      <c r="AH15" s="13">
        <f t="shared" si="32"/>
        <v>106.27046062579079</v>
      </c>
      <c r="AJ15" s="4">
        <v>10050.1</v>
      </c>
      <c r="AK15" s="4">
        <v>-0.39</v>
      </c>
      <c r="AL15" s="4">
        <v>-1226.944</v>
      </c>
      <c r="AM15" s="4">
        <v>-18.376999999999999</v>
      </c>
      <c r="AN15" s="4">
        <v>11114.2</v>
      </c>
      <c r="AO15" s="4">
        <v>2488.4</v>
      </c>
      <c r="AP15" s="4">
        <f>1275.299+0.004-0.382+16.19-1362.905</f>
        <v>-71.794000000000096</v>
      </c>
      <c r="AQ15" s="4">
        <f>1034.403+18.896+11.565+41.216-1537.402</f>
        <v>-431.32200000000012</v>
      </c>
      <c r="AR15" s="4">
        <v>-45.765999999999998</v>
      </c>
      <c r="AS15" s="4">
        <v>-66.39</v>
      </c>
      <c r="AT15" s="4">
        <v>94.325000000000003</v>
      </c>
      <c r="AU15" s="4">
        <v>80.744</v>
      </c>
      <c r="AV15" s="4">
        <v>95.325999999999993</v>
      </c>
      <c r="AW15" s="4">
        <v>92.766000000000005</v>
      </c>
      <c r="AX15" s="4">
        <v>96.02</v>
      </c>
      <c r="AY15" s="4">
        <v>100.29600000000001</v>
      </c>
      <c r="AZ15" s="4">
        <v>94.334999999999994</v>
      </c>
      <c r="BA15" s="4">
        <v>93.221999999999994</v>
      </c>
      <c r="BB15" s="4">
        <v>101.119</v>
      </c>
      <c r="BC15" s="4">
        <v>100.52200000000001</v>
      </c>
      <c r="BG15" s="4">
        <f t="shared" si="50"/>
        <v>97.42646872706176</v>
      </c>
      <c r="BI15" s="4">
        <f>BI$13*'[2]Ordinary Experience'!$D$411/'[2]Ordinary Experience'!$D$413</f>
        <v>303337462.24711812</v>
      </c>
      <c r="BJ15" s="4">
        <f>'[2]Ordinary Experience'!$E$411</f>
        <v>20.259851980265246</v>
      </c>
      <c r="BL15" s="4">
        <f t="shared" si="0"/>
        <v>101.62711649643164</v>
      </c>
      <c r="BM15" s="4">
        <f t="shared" si="34"/>
        <v>-3.2937756521297601E-2</v>
      </c>
      <c r="BO15" s="4">
        <f>IF(OR('Summary, hourly ad costs'!R15=-9999,'Summary, PPI''s'!R15="."),".",(('Summary, hourly ad costs'!B15/'Summary, hourly ad costs'!R15)*100/('Summary, hourly ad costs'!B$11/'Summary, hourly ad costs'!R$11))/('Summary, PPI''s'!R15))</f>
        <v>1.1651972072887604</v>
      </c>
      <c r="BP15" s="4" t="str">
        <f>IF(OR('Summary, hourly ad costs'!S15=-9999,'Summary, PPI''s'!S15="."),".",(('Summary, hourly ad costs'!C15/'Summary, hourly ad costs'!S15)*100/('Summary, hourly ad costs'!C$11/'Summary, hourly ad costs'!S$11))/('Summary, PPI''s'!S15))</f>
        <v>.</v>
      </c>
      <c r="BQ15" s="4" t="str">
        <f>IF(OR('Summary, hourly ad costs'!T15=-9999,'Summary, PPI''s'!T15="."),".",(('Summary, hourly ad costs'!D15/'Summary, hourly ad costs'!T15)*100/('Summary, hourly ad costs'!D$11/'Summary, hourly ad costs'!T$11))/('Summary, PPI''s'!T15))</f>
        <v>.</v>
      </c>
      <c r="BR15" s="4">
        <f>IF(OR('Summary, hourly ad costs'!U15=-9999,'Summary, PPI''s'!U15="."),".",(('Summary, hourly ad costs'!E15/'Summary, hourly ad costs'!U15)*100/('Summary, hourly ad costs'!E$11/'Summary, hourly ad costs'!U$11))/('Summary, PPI''s'!U15))</f>
        <v>1.4774686864109245</v>
      </c>
      <c r="BS15" s="4">
        <f>IF(OR('Summary, hourly ad costs'!V15=-9999,'Summary, PPI''s'!V15="."),".",(('Summary, hourly ad costs'!F15/'Summary, hourly ad costs'!V15)*100/('Summary, hourly ad costs'!F$11/'Summary, hourly ad costs'!V$11))/('Summary, PPI''s'!V15))</f>
        <v>1.6297884153644635</v>
      </c>
      <c r="BT15" s="4" t="str">
        <f>IF(OR('Summary, hourly ad costs'!W15=-9999,'Summary, PPI''s'!W15="."),".",(('Summary, hourly ad costs'!G15/'Summary, hourly ad costs'!W15)*100/('Summary, hourly ad costs'!G$11/'Summary, hourly ad costs'!W$11))/('Summary, PPI''s'!W15))</f>
        <v>.</v>
      </c>
      <c r="BU15" s="4">
        <f>IF(OR('Summary, hourly ad costs'!X15=-9999,'Summary, PPI''s'!X15="."),".",(('Summary, hourly ad costs'!H15/'Summary, hourly ad costs'!X15)*100/('Summary, hourly ad costs'!H$11/'Summary, hourly ad costs'!X$11))/('Summary, PPI''s'!X15))</f>
        <v>0.89301981999351754</v>
      </c>
      <c r="BV15" s="4">
        <f>IF(OR('Summary, hourly ad costs'!Y15=-9999,'Summary, PPI''s'!Y15="."),".",(('Summary, hourly ad costs'!I15/'Summary, hourly ad costs'!Y15)*100/('Summary, hourly ad costs'!I$11/'Summary, hourly ad costs'!Y$11))/('Summary, PPI''s'!Y15))</f>
        <v>0.89425165119366035</v>
      </c>
      <c r="BW15" s="4">
        <f>IF(OR('Summary, hourly ad costs'!Z15=-9999,'Summary, PPI''s'!Z15="."),".",(('Summary, hourly ad costs'!J15/'Summary, hourly ad costs'!Z15)*100/('Summary, hourly ad costs'!J$11/'Summary, hourly ad costs'!Z$11))/('Summary, PPI''s'!Z15))</f>
        <v>0.80540752535806348</v>
      </c>
      <c r="BX15" s="4">
        <f>IF(OR('Summary, hourly ad costs'!AA15=-9999,'Summary, PPI''s'!AA15="."),".",(('Summary, hourly ad costs'!K15/'Summary, hourly ad costs'!AA15)*100/('Summary, hourly ad costs'!K$11/'Summary, hourly ad costs'!AA$11))/('Summary, PPI''s'!AA15))</f>
        <v>1.2059587564673304</v>
      </c>
      <c r="BY15" s="4" t="str">
        <f>IF(OR('Summary, hourly ad costs'!AB15=-9999,'Summary, PPI''s'!AB15="."),".",(('Summary, hourly ad costs'!L15/'Summary, hourly ad costs'!AB15)*100/('Summary, hourly ad costs'!L$11/'Summary, hourly ad costs'!AB$11))/('Summary, PPI''s'!AB15))</f>
        <v>.</v>
      </c>
      <c r="BZ15" s="4" t="str">
        <f>IF(OR('Summary, hourly ad costs'!AC15=-9999,'Summary, PPI''s'!AC15="."),".",(('Summary, hourly ad costs'!M15/'Summary, hourly ad costs'!AC15)*100/('Summary, hourly ad costs'!M$11/'Summary, hourly ad costs'!AC$11))/('Summary, PPI''s'!AC15))</f>
        <v>.</v>
      </c>
      <c r="CA15" s="4" t="str">
        <f>IF(OR('Summary, hourly ad costs'!AD15=-9999,'Summary, PPI''s'!AD15="."),".",(('Summary, hourly ad costs'!N15/'Summary, hourly ad costs'!AD15)*100/('Summary, hourly ad costs'!N$11/'Summary, hourly ad costs'!AD$11))/('Summary, PPI''s'!AD15))</f>
        <v>.</v>
      </c>
      <c r="CB15" s="4" t="str">
        <f>IF(OR('Summary, hourly ad costs'!AE15=-9999,'Summary, PPI''s'!AE15="."),".",(('Summary, hourly ad costs'!O15/'Summary, hourly ad costs'!AE15)*100/('Summary, hourly ad costs'!O$11/'Summary, hourly ad costs'!AE$11))/('Summary, PPI''s'!AE15))</f>
        <v>.</v>
      </c>
      <c r="CC15" s="4" t="str">
        <f>IF(OR('Summary, hourly ad costs'!AF15=-9999,'Summary, PPI''s'!AF15="."),".",(('Summary, hourly ad costs'!P15/'Summary, hourly ad costs'!AF15)*100/('Summary, hourly ad costs'!P$11/'Summary, hourly ad costs'!AF$11))/('Summary, PPI''s'!AF15))</f>
        <v>.</v>
      </c>
      <c r="CE15" s="4">
        <f t="shared" si="51"/>
        <v>-4.3677548398508903E-2</v>
      </c>
      <c r="CF15" s="4" t="str">
        <f t="shared" si="52"/>
        <v>.</v>
      </c>
      <c r="CG15" s="4" t="str">
        <f t="shared" si="53"/>
        <v>.</v>
      </c>
      <c r="CH15" s="4">
        <f t="shared" si="54"/>
        <v>-0.15256893433110241</v>
      </c>
      <c r="CI15" s="4">
        <f t="shared" si="55"/>
        <v>-6.2239733665272579E-2</v>
      </c>
      <c r="CJ15" s="4" t="str">
        <f t="shared" si="56"/>
        <v>.</v>
      </c>
      <c r="CK15" s="4">
        <f t="shared" si="57"/>
        <v>2.8714955662970665E-2</v>
      </c>
      <c r="CL15" s="4">
        <f t="shared" si="58"/>
        <v>-0.12352651871771669</v>
      </c>
      <c r="CM15" s="4">
        <f t="shared" si="59"/>
        <v>-7.0501578384970509E-3</v>
      </c>
      <c r="CN15" s="4">
        <f t="shared" si="60"/>
        <v>-0.11679420178226718</v>
      </c>
      <c r="CO15" s="4">
        <f t="shared" si="61"/>
        <v>-0.22225811250937333</v>
      </c>
      <c r="CP15" s="4">
        <f t="shared" si="61"/>
        <v>0.27810916724877277</v>
      </c>
      <c r="CQ15" s="4" t="str">
        <f t="shared" si="62"/>
        <v>.</v>
      </c>
      <c r="CR15" s="4" t="str">
        <f t="shared" si="63"/>
        <v>.</v>
      </c>
      <c r="CS15" s="4" t="str">
        <f t="shared" si="64"/>
        <v>.</v>
      </c>
      <c r="CU15" s="5">
        <f>IF(CU14=".", ".", IF('Summary, PPI''s'!R15=".",IF(OR('Summary, hourly ad costs'!R15=-9999,'Summary, hourly ad costs'!R15=0), ".", 'Predicted PPIs'!CU14*('Summary, hourly ad costs'!B15/'Summary, hourly ad costs'!R15)/('Summary, hourly ad costs'!B14/'Summary, hourly ad costs'!R14)/(1-CE14)), 'Summary, PPI''s'!R15))</f>
        <v>100.69351827153906</v>
      </c>
      <c r="CV15" s="5">
        <f>IF(CV14=".", ".", IF('Summary, PPI''s'!S15=".",IF(OR('Summary, hourly ad costs'!S15=-9999,'Summary, hourly ad costs'!S15=0), ".", 'Predicted PPIs'!CV14*('Summary, hourly ad costs'!C15/'Summary, hourly ad costs'!S15)/('Summary, hourly ad costs'!C14/'Summary, hourly ad costs'!S14)/(1-CF14)), 'Summary, PPI''s'!S15))</f>
        <v>100.69351827153906</v>
      </c>
      <c r="CW15" s="5">
        <f>IF(CW14=".", ".", IF('Summary, PPI''s'!T15=".",IF(OR('Summary, hourly ad costs'!T15=-9999,'Summary, hourly ad costs'!T15=0), ".", 'Predicted PPIs'!CW14*('Summary, hourly ad costs'!D15/'Summary, hourly ad costs'!T15)/('Summary, hourly ad costs'!D14/'Summary, hourly ad costs'!T14)/(1-CG14)), 'Summary, PPI''s'!T15))</f>
        <v>97.644334826596889</v>
      </c>
      <c r="CX15" s="5">
        <f>IF(CX14=".", ".", IF('Summary, PPI''s'!U15=".",IF(OR('Summary, hourly ad costs'!U15=-9999,'Summary, hourly ad costs'!U15=0), ".", 'Predicted PPIs'!CX14*('Summary, hourly ad costs'!E15/'Summary, hourly ad costs'!U15)/('Summary, hourly ad costs'!E14/'Summary, hourly ad costs'!U14)/(1-CH14)), 'Summary, PPI''s'!U15))</f>
        <v>100</v>
      </c>
      <c r="CY15" s="5">
        <f>IF(CY14=".", ".", IF('Summary, PPI''s'!V15=".",IF(OR('Summary, hourly ad costs'!V15=-9999,'Summary, hourly ad costs'!V15=0), ".", 'Predicted PPIs'!CY14*('Summary, hourly ad costs'!F15/'Summary, hourly ad costs'!V15)/('Summary, hourly ad costs'!F14/'Summary, hourly ad costs'!V14)/(1-CI14)), 'Summary, PPI''s'!V15))</f>
        <v>94.155442975410864</v>
      </c>
      <c r="CZ15" s="5">
        <f>IF(CZ14=".", ".", IF('Summary, PPI''s'!W15=".",IF(OR('Summary, hourly ad costs'!W15=-9999,'Summary, hourly ad costs'!W15=0), ".", 'Predicted PPIs'!CZ14*('Summary, hourly ad costs'!G15/'Summary, hourly ad costs'!W15)/('Summary, hourly ad costs'!G14/'Summary, hourly ad costs'!W14)/(1-CJ14)), 'Summary, PPI''s'!W15))</f>
        <v>93.041667888455564</v>
      </c>
      <c r="DA15" s="5">
        <f>IF(DA14=".", ".", IF('Summary, PPI''s'!X15=".",IF(OR('Summary, hourly ad costs'!X15=-9999,'Summary, hourly ad costs'!X15=0), ".", 'Predicted PPIs'!DA14*('Summary, hourly ad costs'!H15/'Summary, hourly ad costs'!X15)/('Summary, hourly ad costs'!H14/'Summary, hourly ad costs'!X14)/(1-CK14)), 'Summary, PPI''s'!X15))</f>
        <v>94.192999999999998</v>
      </c>
      <c r="DB15" s="5">
        <f>IF(DB14=".", ".", IF('Summary, PPI''s'!Y15=".",IF(OR('Summary, hourly ad costs'!Y15=-9999,'Summary, hourly ad costs'!Y15=0), ".", 'Predicted PPIs'!DB14*('Summary, hourly ad costs'!I15/'Summary, hourly ad costs'!Y15)/('Summary, hourly ad costs'!I14/'Summary, hourly ad costs'!Y14)/(1-CL14)), 'Summary, PPI''s'!Y15))</f>
        <v>107.63739218884439</v>
      </c>
      <c r="DC15" s="5">
        <f>IF(DC14=".", ".", IF('Summary, PPI''s'!Z15=".",IF(OR('Summary, hourly ad costs'!Z15=-9999,'Summary, hourly ad costs'!Z15=0), ".", 'Predicted PPIs'!DC14*('Summary, hourly ad costs'!J15/'Summary, hourly ad costs'!Z15)/('Summary, hourly ad costs'!J14/'Summary, hourly ad costs'!Z14)/(1-CM14)), 'Summary, PPI''s'!Z15))</f>
        <v>101.4680389453107</v>
      </c>
      <c r="DD15" s="5">
        <f>IF(DD14=".", ".", IF('Summary, PPI''s'!AA15=".",IF(OR('Summary, hourly ad costs'!AA15=-9999,'Summary, hourly ad costs'!AA15=0), ".", 'Predicted PPIs'!DD14*('Summary, hourly ad costs'!K15/'Summary, hourly ad costs'!AA15)/('Summary, hourly ad costs'!K14/'Summary, hourly ad costs'!AA14)/(1-CN14)), 'Summary, PPI''s'!AA15))</f>
        <v>83.845615978231649</v>
      </c>
      <c r="DE15" s="5">
        <f>IF(DE14=".", ".", IF('Summary, PPI''s'!AB15=".",IF(OR('Summary, hourly ad costs'!AB15=-9999,'Summary, hourly ad costs'!AB15=0), ".", 'Predicted PPIs'!DE14*('Summary, hourly ad costs'!L15/'Summary, hourly ad costs'!AB15)/('Summary, hourly ad costs'!L14/'Summary, hourly ad costs'!AB14)/(1-CO14)), 'Summary, PPI''s'!AB15))</f>
        <v>82.941644160077075</v>
      </c>
      <c r="DF15" s="5">
        <f>IF(DF14=".", ".", IF('Summary, PPI''s'!AC15=".",IF(OR('Summary, hourly ad costs'!AC15=-9999,'Summary, hourly ad costs'!AC15=0), ".", 'Predicted PPIs'!DF14*('Summary, hourly ad costs'!M15/'Summary, hourly ad costs'!AC15)/('Summary, hourly ad costs'!M14/'Summary, hourly ad costs'!AC14)/(1-CP14)), 'Summary, PPI''s'!AC15))</f>
        <v>241.47349068908969</v>
      </c>
      <c r="DG15" s="5">
        <f>IF(DG14=".", ".", IF('Summary, PPI''s'!AD15=".",IF(OR('Summary, hourly ad costs'!AD15=-9999,'Summary, hourly ad costs'!AD15=0), ".", 'Predicted PPIs'!DG14*('Summary, hourly ad costs'!N15/'Summary, hourly ad costs'!AD15)/('Summary, hourly ad costs'!N14/'Summary, hourly ad costs'!AD14)/(1-CQ14)), 'Summary, PPI''s'!AD15))</f>
        <v>98.630662912720737</v>
      </c>
      <c r="DH15" s="5">
        <f>IF(DH14=".", ".", IF('Summary, PPI''s'!AE15=".",IF(OR('Summary, hourly ad costs'!AE15=-9999,'Summary, hourly ad costs'!AE15=0), ".", 'Predicted PPIs'!DH14*('Summary, hourly ad costs'!O15/'Summary, hourly ad costs'!AE15)/('Summary, hourly ad costs'!O14/'Summary, hourly ad costs'!AE14)/(1-CR14)), 'Summary, PPI''s'!AE15))</f>
        <v>93.558000000000007</v>
      </c>
      <c r="DI15" s="5">
        <f>IF(DI14=".", ".", IF('Summary, PPI''s'!AF15=".",IF(OR('Summary, hourly ad costs'!AF15=-9999,'Summary, hourly ad costs'!AF15=0), ".", 'Predicted PPIs'!DI14*('Summary, hourly ad costs'!P15/'Summary, hourly ad costs'!AF15)/('Summary, hourly ad costs'!P14/'Summary, hourly ad costs'!AF14)/(1-CS14)), 'Summary, PPI''s'!AF15))</f>
        <v>92.465000000000003</v>
      </c>
      <c r="DK15" s="4">
        <v>89.524000000000001</v>
      </c>
      <c r="DM15" s="5">
        <f t="shared" si="16"/>
        <v>-3.6708171239818621E-2</v>
      </c>
      <c r="DN15" s="5">
        <f t="shared" si="17"/>
        <v>-3.6708171239818621E-2</v>
      </c>
      <c r="DO15" s="5">
        <f t="shared" si="18"/>
        <v>-2.0731989908463255E-2</v>
      </c>
      <c r="DP15" s="5">
        <f t="shared" si="19"/>
        <v>-2.1176011920341908E-2</v>
      </c>
      <c r="DQ15" s="5">
        <f t="shared" si="20"/>
        <v>-1.2041456122932059E-3</v>
      </c>
      <c r="DR15" s="5">
        <f t="shared" si="21"/>
        <v>-2.5657029574565615E-2</v>
      </c>
      <c r="DS15" s="5">
        <f t="shared" si="22"/>
        <v>-1.74089411608499E-2</v>
      </c>
      <c r="DT15" s="5">
        <f t="shared" si="23"/>
        <v>-4.8291629804346758E-2</v>
      </c>
      <c r="DU15" s="5">
        <f t="shared" si="24"/>
        <v>-3.8528954878528476E-2</v>
      </c>
      <c r="DV15" s="5">
        <f t="shared" si="25"/>
        <v>7.4228219634318027E-2</v>
      </c>
      <c r="DW15" s="5">
        <f t="shared" si="26"/>
        <v>1.8210492693744751E-2</v>
      </c>
      <c r="DX15" s="5">
        <f t="shared" si="27"/>
        <v>-0.30052814264156613</v>
      </c>
      <c r="DY15" s="5">
        <f t="shared" si="28"/>
        <v>-3.0172387613446316E-2</v>
      </c>
      <c r="DZ15" s="5">
        <f t="shared" si="29"/>
        <v>1.7410053260118463E-3</v>
      </c>
      <c r="EA15" s="5">
        <f t="shared" si="30"/>
        <v>-2.4130804120919169E-2</v>
      </c>
      <c r="EC15" s="1">
        <f t="shared" si="35"/>
        <v>100.69351827153906</v>
      </c>
      <c r="ED15" s="1">
        <f t="shared" si="36"/>
        <v>100.69351827153906</v>
      </c>
      <c r="EE15" s="1">
        <f t="shared" si="37"/>
        <v>97.644334826596889</v>
      </c>
      <c r="EF15" s="1">
        <f t="shared" si="38"/>
        <v>100</v>
      </c>
      <c r="EG15" s="1">
        <f t="shared" si="39"/>
        <v>94.155442975410864</v>
      </c>
      <c r="EH15" s="1">
        <f t="shared" si="40"/>
        <v>93.041667888455564</v>
      </c>
      <c r="EI15" s="1">
        <f t="shared" si="41"/>
        <v>94.192999999999998</v>
      </c>
      <c r="EJ15" s="1">
        <f t="shared" si="42"/>
        <v>107.63739218884439</v>
      </c>
      <c r="EK15" s="1">
        <f t="shared" si="43"/>
        <v>101.4680389453107</v>
      </c>
      <c r="EL15" s="1">
        <f t="shared" si="44"/>
        <v>83.845615978231649</v>
      </c>
      <c r="EM15" s="1">
        <f t="shared" si="45"/>
        <v>82.941644160077075</v>
      </c>
      <c r="EN15" s="1">
        <f t="shared" si="46"/>
        <v>241.47349068908969</v>
      </c>
      <c r="EO15" s="1">
        <f t="shared" si="47"/>
        <v>98.630662912720737</v>
      </c>
      <c r="EP15" s="1">
        <f t="shared" si="48"/>
        <v>93.558000000000007</v>
      </c>
      <c r="EQ15" s="1">
        <f t="shared" si="49"/>
        <v>92.465000000000003</v>
      </c>
      <c r="ES15" s="1">
        <f>IF(EF$26=".", 0, 'Summary, PPI''s'!E15)+IF(EG$26=".", 0, 'Summary, PPI''s'!F15)+IF(EH$26=".", 0, 'Summary, PPI''s'!G15)+IF(EI$26=".", 0, 'Summary, PPI''s'!H15)+IF(EJ$26=".", 0, 'Summary, PPI''s'!I15)+IF(EK$26=".", 0, 'Summary, PPI''s'!J15)+IF(EL$26=".", 0, 'Summary, PPI''s'!K15)+IF(EM$26=".", 0, 'Summary, PPI''s'!L15)+IF(EN$26=".", 0, 'Summary, PPI''s'!M15)+IF(EC$26=".", 0, 'Summary, PPI''s'!B15)+IF(ED$26=".", 0, 'Summary, PPI''s'!C15)+IF(EE$26=".", 0, 'Summary, PPI''s'!D15)+IF(EO$26=".", 0, 'Summary, PPI''s'!N15)+IF(EP$26=".", 0, 'Summary, PPI''s'!O15)+IF(EQ$26=".", 0, 'Summary, PPI''s'!P15)</f>
        <v>327156139.77895707</v>
      </c>
      <c r="ET15" s="1">
        <f>'Summary, hourly ad costs'!E15+'Summary, hourly ad costs'!F15+'Summary, hourly ad costs'!H15+'Summary, hourly ad costs'!I15+'Summary, hourly ad costs'!J15+'Summary, hourly ad costs'!K15+'Summary, hourly ad costs'!L15+'Summary, hourly ad costs'!M15+'Summary, hourly ad costs'!B15</f>
        <v>165599348.33636335</v>
      </c>
      <c r="EV15" s="13">
        <f>EV14*IF(EF$26=".", 1, (EF15/EF14)^(('Summary, PPI''s'!$E15+'Summary, PPI''s'!$E14)/('Predicted PPIs'!ES15+'Predicted PPIs'!ES14)))*IF(EG$26=".", 1, (EG15/EG14)^(('Summary, PPI''s'!$F15+'Summary, PPI''s'!$F14)/('Predicted PPIs'!ES15+'Predicted PPIs'!ES14)))*IF(EH$26=".", 1, (EH15/EH14)^(('Summary, PPI''s'!$G15+'Summary, PPI''s'!$G14)/('Predicted PPIs'!ES15+'Predicted PPIs'!ES14)))*IF(EI$26=".", 1, (EI15/EI14)^(('Summary, PPI''s'!$H15+'Summary, PPI''s'!$H14)/('Predicted PPIs'!ES15+'Predicted PPIs'!ES14)))*IF(EJ$26=".", 1, (EJ15/EJ14)^(('Summary, PPI''s'!$I15+'Summary, PPI''s'!$I14)/('Predicted PPIs'!ES15+'Predicted PPIs'!ES14)))*IF(EK$26=".", 1, (EK15/EK14)^(('Summary, PPI''s'!$J15+'Summary, PPI''s'!$J14)/('Predicted PPIs'!ES15+'Predicted PPIs'!ES14)))*IF(EL$26=".", 1, (EL15/EL14)^(('Summary, PPI''s'!$K15+'Summary, PPI''s'!$K14)/('Predicted PPIs'!ES15+'Predicted PPIs'!ES14)))*IF(EM$26=".", 1, (EM15/EM14)^(('Summary, PPI''s'!$L15+'Summary, PPI''s'!$L14)/('Predicted PPIs'!ES15+'Predicted PPIs'!ES14)))*IF(EN$26=".", 1, (EN15/EN14)^(('Summary, PPI''s'!$M15+'Summary, PPI''s'!$M14)/('Predicted PPIs'!ES15+'Predicted PPIs'!ES14)))*IF(EC$26=".", 1, (EC15/EC14)^(('Summary, PPI''s'!$B15+'Summary, PPI''s'!$B14)/('Predicted PPIs'!ES15+'Predicted PPIs'!ES14)))*IF(ED$26=".", 1, (ED15/ED14)^(('Summary, PPI''s'!$C15+'Summary, PPI''s'!$C14)/('Predicted PPIs'!ES15+'Predicted PPIs'!ES14)))*IF(EE$26=".", 1, (EE15/EE14)^(('Summary, PPI''s'!$D15+'Summary, PPI''s'!$D14)/('Predicted PPIs'!ES15+'Predicted PPIs'!ES14)))*IF(EO$26=".", 1, (EO15/EO14)^(('Summary, PPI''s'!$N15+'Summary, PPI''s'!$N14)/('Predicted PPIs'!ES15+'Predicted PPIs'!ES14)))*IF(EP$26=".", 1, (EP15/EP14)^(('Summary, PPI''s'!$O15+'Summary, PPI''s'!$O14)/('Predicted PPIs'!ES15+'Predicted PPIs'!ES14)))*IF(EQ$26=".", 1, (EQ15/EQ14)^(('Summary, PPI''s'!$P15+'Summary, PPI''s'!$P14)/('Predicted PPIs'!ES15+'Predicted PPIs'!ES14)))</f>
        <v>107.87407219777249</v>
      </c>
      <c r="EW15" s="13">
        <f>EW14*IF(EF$26=".", 1, (EF15/EF14)^(('Summary, PPI''s'!$E15+'Summary, PPI''s'!$E14)/('Predicted PPIs'!ET15+'Predicted PPIs'!ET14)))*IF(EG$26=".", 1, (EG15/EG14)^(('Summary, PPI''s'!$F15+'Summary, PPI''s'!$F14)/('Predicted PPIs'!ET15+'Predicted PPIs'!ET14)))*IF(EH$26=".", 1, (EH15/EH14)^(('Summary, PPI''s'!$G15+'Summary, PPI''s'!$G14)/('Predicted PPIs'!ET15+'Predicted PPIs'!ET14)))*IF(EK$26=".", 1, (EK15/EK14)^(('Summary, PPI''s'!$J15+'Summary, PPI''s'!$J14)/('Predicted PPIs'!ET15+'Predicted PPIs'!ET14)))*IF(EL$26=".", 1, (EL15/EL14)^(('Summary, PPI''s'!$K15+'Summary, PPI''s'!$K14)/('Predicted PPIs'!ET15+'Predicted PPIs'!ET14)))*IF(EM$26=".", 1, (EM15/EM14)^(('Summary, PPI''s'!$L15+'Summary, PPI''s'!$L14)/('Predicted PPIs'!ET15+'Predicted PPIs'!ET14)))*IF(EN$26=".", 1, (EN15/EN14)^(('Summary, PPI''s'!$M15+'Summary, PPI''s'!$M14)/('Predicted PPIs'!ET15+'Predicted PPIs'!ET14)))*IF(EC$26=".", 1, (EC15/EC14)^(('Summary, PPI''s'!$B15+'Summary, PPI''s'!$B14)/('Predicted PPIs'!ET15+'Predicted PPIs'!ET14)))</f>
        <v>122.61373586219089</v>
      </c>
      <c r="EY15" s="2"/>
    </row>
    <row r="16" spans="1:155" x14ac:dyDescent="0.3">
      <c r="A16" s="4">
        <v>2007</v>
      </c>
      <c r="B16" s="10">
        <f>IF(B15=".", ".", IF('Summary, PPI''s'!R16=".",IF(OR('Summary, hourly ad costs'!R16=-9999,'Summary, hourly ad costs'!R16=0), ".", 'Predicted PPIs'!B15*('Summary, hourly ad costs'!B16/'Summary, hourly ad costs'!R16)/('Summary, hourly ad costs'!B15/'Summary, hourly ad costs'!R15)), 'Summary, PPI''s'!R16))</f>
        <v>100.44278474259802</v>
      </c>
      <c r="C16" s="10">
        <f>IF(C15=".", ".", IF('Summary, PPI''s'!S16=".",IF(OR('Summary, hourly ad costs'!S16=-9999,'Summary, hourly ad costs'!S16=0), ".", 'Predicted PPIs'!C15*('Summary, hourly ad costs'!C16/'Summary, hourly ad costs'!S16)/('Summary, hourly ad costs'!C15/'Summary, hourly ad costs'!S15)), 'Summary, PPI''s'!S16))</f>
        <v>100.44278474259802</v>
      </c>
      <c r="D16" s="10">
        <f>IF(D15=".", ".", IF('Summary, PPI''s'!T16=".",IF(OR('Summary, hourly ad costs'!T16=-9999,'Summary, hourly ad costs'!T16=0), ".", 'Predicted PPIs'!D15*('Summary, hourly ad costs'!D16/'Summary, hourly ad costs'!T16)/('Summary, hourly ad costs'!D15/'Summary, hourly ad costs'!T15)), 'Summary, PPI''s'!T16))</f>
        <v>95.812150802838886</v>
      </c>
      <c r="E16" s="10">
        <f>IF(E15=".", ".", IF('Summary, PPI''s'!U16=".",IF(OR('Summary, hourly ad costs'!U16=-9999,'Summary, hourly ad costs'!U16=0), ".", 'Predicted PPIs'!E15*('Summary, hourly ad costs'!E16/'Summary, hourly ad costs'!U16)/('Summary, hourly ad costs'!E15/'Summary, hourly ad costs'!U15)), 'Summary, PPI''s'!U16))</f>
        <v>98.16812624275498</v>
      </c>
      <c r="F16" s="10">
        <f>IF(F15=".", ".", IF('Summary, PPI''s'!V16=".",IF(OR('Summary, hourly ad costs'!V16=-9999,'Summary, hourly ad costs'!V16=0), ".", 'Predicted PPIs'!F15*('Summary, hourly ad costs'!F16/'Summary, hourly ad costs'!V16)/('Summary, hourly ad costs'!F15/'Summary, hourly ad costs'!V15)), 'Summary, PPI''s'!V16))</f>
        <v>90.58239630956794</v>
      </c>
      <c r="G16" s="10">
        <f>IF(G15=".", ".", IF('Summary, PPI''s'!W16=".",IF(OR('Summary, hourly ad costs'!W16=-9999,'Summary, hourly ad costs'!W16=0), ".", 'Predicted PPIs'!G15*('Summary, hourly ad costs'!G16/'Summary, hourly ad costs'!W16)/('Summary, hourly ad costs'!G15/'Summary, hourly ad costs'!W15)), 'Summary, PPI''s'!W16))</f>
        <v>91.757323402633219</v>
      </c>
      <c r="H16" s="10">
        <f>IF(H15=".", ".", IF('Summary, PPI''s'!X16=".",IF(OR('Summary, hourly ad costs'!X16=-9999,'Summary, hourly ad costs'!X16=0), ".", 'Predicted PPIs'!H15*('Summary, hourly ad costs'!H16/'Summary, hourly ad costs'!X16)/('Summary, hourly ad costs'!H15/'Summary, hourly ad costs'!X15)), 'Summary, PPI''s'!X16))</f>
        <v>92.113</v>
      </c>
      <c r="I16" s="10">
        <f>IF(I15=".", ".", IF('Summary, PPI''s'!Y16=".",IF(OR('Summary, hourly ad costs'!Y16=-9999,'Summary, hourly ad costs'!Y16=0), ".", 'Predicted PPIs'!I15*('Summary, hourly ad costs'!I16/'Summary, hourly ad costs'!Y16)/('Summary, hourly ad costs'!I15/'Summary, hourly ad costs'!Y15)), 'Summary, PPI''s'!Y16))</f>
        <v>108.67618489891083</v>
      </c>
      <c r="J16" s="10">
        <f>IF(J15=".", ".", IF('Summary, PPI''s'!Z16=".",IF(OR('Summary, hourly ad costs'!Z16=-9999,'Summary, hourly ad costs'!Z16=0), ".", 'Predicted PPIs'!J15*('Summary, hourly ad costs'!J16/'Summary, hourly ad costs'!Z16)/('Summary, hourly ad costs'!J15/'Summary, hourly ad costs'!Z15)), 'Summary, PPI''s'!Z16))</f>
        <v>101.40705320178239</v>
      </c>
      <c r="K16" s="10">
        <f>IF(K15=".", ".", IF('Summary, PPI''s'!AA16=".",IF(OR('Summary, hourly ad costs'!AA16=-9999,'Summary, hourly ad costs'!AA16=0), ".", 'Predicted PPIs'!K15*('Summary, hourly ad costs'!K16/'Summary, hourly ad costs'!AA16)/('Summary, hourly ad costs'!K15/'Summary, hourly ad costs'!AA15)), 'Summary, PPI''s'!AA16))</f>
        <v>74.999593302300752</v>
      </c>
      <c r="L16" s="10">
        <f>IF(L15=".", ".", IF('Summary, PPI''s'!AB16=".",IF(OR('Summary, hourly ad costs'!AB16=-9999,'Summary, hourly ad costs'!AB16=0), ".", 'Predicted PPIs'!L15*('Summary, hourly ad costs'!L16/'Summary, hourly ad costs'!AB16)/('Summary, hourly ad costs'!L15/'Summary, hourly ad costs'!AB15)), 'Summary, PPI''s'!AB16))</f>
        <v>126.32846085481154</v>
      </c>
      <c r="M16" s="10">
        <f>IF(M15=".", ".", IF('Summary, PPI''s'!AC16=".",IF(OR('Summary, hourly ad costs'!AC16=-9999,'Summary, hourly ad costs'!AC16=0), ".", 'Predicted PPIs'!M15*('Summary, hourly ad costs'!M16/'Summary, hourly ad costs'!AC16)/('Summary, hourly ad costs'!M15/'Summary, hourly ad costs'!AC15)), 'Summary, PPI''s'!AC16))</f>
        <v>121.50815071989776</v>
      </c>
      <c r="N16" s="10">
        <f>IF(N15=".", ".", IF('Summary, PPI''s'!AD16=".",IF(OR('Summary, hourly ad costs'!AD16=-9999,'Summary, hourly ad costs'!AD16=0), ".", 'Predicted PPIs'!N15*('Summary, hourly ad costs'!N16/'Summary, hourly ad costs'!AD16)/('Summary, hourly ad costs'!N15/'Summary, hourly ad costs'!AD15)), 'Summary, PPI''s'!AD16))</f>
        <v>97.722037368825212</v>
      </c>
      <c r="O16" s="10">
        <f>IF(O15=".", ".", IF('Summary, PPI''s'!AE16=".",IF(OR('Summary, hourly ad costs'!AE16=-9999,'Summary, hourly ad costs'!AE16=0), ".", 'Predicted PPIs'!O15*('Summary, hourly ad costs'!O16/'Summary, hourly ad costs'!AE16)/('Summary, hourly ad costs'!O15/'Summary, hourly ad costs'!AE15)), 'Summary, PPI''s'!AE16))</f>
        <v>89.742999999999995</v>
      </c>
      <c r="P16" s="10">
        <f>IF(P15=".", ".", IF('Summary, PPI''s'!AF16=".",IF(OR('Summary, hourly ad costs'!AF16=-9999,'Summary, hourly ad costs'!AF16=0), ".", 'Predicted PPIs'!P15*('Summary, hourly ad costs'!P16/'Summary, hourly ad costs'!AF16)/('Summary, hourly ad costs'!P15/'Summary, hourly ad costs'!AF15)), 'Summary, PPI''s'!AF16))</f>
        <v>91.046000000000006</v>
      </c>
      <c r="R16" s="1">
        <f>IF(E$26=".", 0, 'Summary, PPI''s'!E16)+IF(F$26=".", 0, 'Summary, PPI''s'!F16)+IF(G$26=".", 0, 'Summary, PPI''s'!G16)+IF(H$26=".", 0, 'Summary, PPI''s'!H16)+IF(I$26=".", 0, 'Summary, PPI''s'!I16)+IF(J$26=".", 0, 'Summary, PPI''s'!J16)+IF(K$26=".", 0, 'Summary, PPI''s'!K16)+IF(L$26=".", 0, 'Summary, PPI''s'!L16)+IF(M$26=".", 0, 'Summary, PPI''s'!M16)+IF(B$26=".", 0, 'Summary, PPI''s'!B16)+IF(C$26=".", 0, 'Summary, PPI''s'!C16)+IF(D$26=".", 0, 'Summary, PPI''s'!D16)+IF(N$26=".", 0, 'Summary, PPI''s'!N16)+IF(O$26=".", 0, 'Summary, PPI''s'!O16)+IF(P$26=".", 0, 'Summary, PPI''s'!P16)</f>
        <v>332775281.09534222</v>
      </c>
      <c r="S16" s="1">
        <f>IF(E$36=".", 0, 'Summary, PPI''s'!E16)+IF(F$36=".", 0, 'Summary, PPI''s'!F16)+IF(G$36=".", 0, 'Summary, PPI''s'!G16)+IF(H$36=".", 0, 'Summary, PPI''s'!H16)+IF(I$36=".", 0, 'Summary, PPI''s'!I16)+IF(J$36=".", 0, 'Summary, PPI''s'!J16)+IF(K$36=".", 0, 'Summary, PPI''s'!K16)+IF(L$36=".", 0, 'Summary, PPI''s'!L16)+IF(M$36=".", 0, 'Summary, PPI''s'!M16)+IF(B$36=".", 0, 'Summary, PPI''s'!B16)+IF(C$36=".", 0, 'Summary, PPI''s'!C16)+IF(D$36=".", 0, 'Summary, PPI''s'!D16)+IF(N$36=".", 0, 'Summary, PPI''s'!N16)+IF(O$36=".", 0, 'Summary, PPI''s'!O16)+IF(P$36=".", 0, 'Summary, PPI''s'!P16)</f>
        <v>313022189.3714065</v>
      </c>
      <c r="T16" s="1">
        <f>IF(E$46=".", 0, 'Summary, PPI''s'!E16)+IF(F$46=".", 0, 'Summary, PPI''s'!F16)+IF(G$46=".", 0, 'Summary, PPI''s'!G16)+IF(H$46=".", 0, 'Summary, PPI''s'!H16)+IF(I$46=".", 0, 'Summary, PPI''s'!I16)+IF(J$46=".", 0, 'Summary, PPI''s'!J16)+IF(K$46=".", 0, 'Summary, PPI''s'!K16)+IF(L$46=".", 0, 'Summary, PPI''s'!L16)+IF(M$46=".", 0, 'Summary, PPI''s'!M16)+IF(B$46=".", 0, 'Summary, PPI''s'!B16)+IF(C$46=".", 0, 'Summary, PPI''s'!C16)+IF(D$46=".", 0, 'Summary, PPI''s'!D16)+IF(N$46=".", 0, 'Summary, PPI''s'!N16)+IF(O$46=".", 0, 'Summary, PPI''s'!O16)+IF(P$46=".", 0, 'Summary, PPI''s'!P16)</f>
        <v>195816145.05668038</v>
      </c>
      <c r="U16" s="1">
        <f>IF(E$60=".", 0, 'Summary, PPI''s'!E16)+IF(F$60=".", 0, 'Summary, PPI''s'!F16)+IF(G$60=".", 0, 'Summary, PPI''s'!G16)+IF(H$60=".", 0, 'Summary, PPI''s'!H16)+IF(I$60=".", 0, 'Summary, PPI''s'!I16)+IF(J$60=".", 0, 'Summary, PPI''s'!J16)+IF(K$60=".", 0, 'Summary, PPI''s'!K16)+IF(L$60=".", 0, 'Summary, PPI''s'!L16)+IF(M$60=".", 0, 'Summary, PPI''s'!M16)+IF(B$60=".", 0, 'Summary, PPI''s'!B16)+IF(C$60=".", 0, 'Summary, PPI''s'!C16)+IF(D$60=".", 0, 'Summary, PPI''s'!D16)+IF(N$60=".", 0, 'Summary, PPI''s'!N16)+IF(O$60=".", 0, 'Summary, PPI''s'!O16)+IF(P$60=".", 0, 'Summary, PPI''s'!P16)</f>
        <v>146906346.59324363</v>
      </c>
      <c r="V16" s="1">
        <f>IF(E$73=".", 0, 'Summary, PPI''s'!E16)+IF(F$73=".", 0, 'Summary, PPI''s'!F16)+IF(G$73=".", 0, 'Summary, PPI''s'!G16)+IF(H$73=".", 0, 'Summary, PPI''s'!H16)+IF(I$73=".", 0, 'Summary, PPI''s'!I16)+IF(J$73=".", 0, 'Summary, PPI''s'!J16)+IF(K$73=".", 0, 'Summary, PPI''s'!K16)+IF(L$73=".", 0, 'Summary, PPI''s'!L16)+IF(M$73=".", 0, 'Summary, PPI''s'!M16)+IF(B$73=".", 0, 'Summary, PPI''s'!B16)+IF(C$73=".", 0, 'Summary, PPI''s'!C16)+IF(D$73=".", 0, 'Summary, PPI''s'!D16)+IF(N$73=".", 0, 'Summary, PPI''s'!N16)+IF(O$73=".", 0, 'Summary, PPI''s'!O16)+IF(P$73=".", 0, 'Summary, PPI''s'!P16)</f>
        <v>119085757.10631257</v>
      </c>
      <c r="W16" s="1">
        <f>IF(E$94=".",0,'Summary, PPI''s'!E16)+IF(F$94=".",0,'Summary, PPI''s'!F16)+IF(G$94=".",0,'Summary, PPI''s'!G16)+IF(H$94=".",0,'Summary, PPI''s'!H16)+IF(I$94=".",0,'Summary, PPI''s'!I16)+IF(J$94=".",0,'Summary, PPI''s'!J16)+IF(K$94=".",0,'Summary, PPI''s'!K16)+IF(L$94=".",0,'Summary, PPI''s'!L16)+IF(M$94=".",0,'Summary, PPI''s'!M16)+IF(B$94=".",0,'Summary, PPI''s'!B16)+IF(C$94=".",0,'Summary, PPI''s'!C16)+IF(D$94=".",0,'Summary, PPI''s'!D16)+IF(N$94=".",0,'Summary, PPI''s'!N16)+IF(O$94=".",0,'Summary, PPI''s'!O16)+IF(P$94=".",0,'Summary, PPI''s'!P16)</f>
        <v>88068914.12379846</v>
      </c>
      <c r="X16" s="1">
        <f>IF(E$123=".", 0, 'Summary, PPI''s'!E16)+IF(F$123=".", 0, 'Summary, PPI''s'!F16)+IF(G$123=".", 0, 'Summary, PPI''s'!G16)+IF(H$123=".", 0, 'Summary, PPI''s'!H16)+IF(I$123=".", 0, 'Summary, PPI''s'!I16)+IF(J$123=".", 0, 'Summary, PPI''s'!J16)+IF(K$123=".", 0, 'Summary, PPI''s'!K16)+IF(L$123=".", 0, 'Summary, PPI''s'!L16)+IF(M$123=".", 0, 'Summary, PPI''s'!M16)+IF(B$123=".", 0, 'Summary, PPI''s'!B16)+IF(C$123=".", 0, 'Summary, PPI''s'!C16)+IF(D$123=".", 0, 'Summary, PPI''s'!D16)+IF(N$123=".", 0, 'Summary, PPI''s'!N16)+IF(O$123=".", 0, 'Summary, PPI''s'!O16)+IF(P$123=".", 0, 'Summary, PPI''s'!P16)</f>
        <v>71371239.089188933</v>
      </c>
      <c r="Z16" s="4">
        <f>Z15*IF(E$26=".", 1, (E16/E15)^(('Summary, PPI''s'!$E16+'Summary, PPI''s'!$E15)/('Predicted PPIs'!R16+'Predicted PPIs'!R15)))*IF(F$26=".", 1, (F16/F15)^(('Summary, PPI''s'!$F16+'Summary, PPI''s'!$F15)/('Predicted PPIs'!R16+'Predicted PPIs'!R15)))*IF(G$26=".", 1, (G16/G15)^(('Summary, PPI''s'!$G16+'Summary, PPI''s'!$G15)/('Predicted PPIs'!R16+'Predicted PPIs'!R15)))*IF(H$26=".", 1, (H16/H15)^(('Summary, PPI''s'!$H16+'Summary, PPI''s'!$H15)/('Predicted PPIs'!R16+'Predicted PPIs'!R15)))*IF(I$26=".", 1, (I16/I15)^(('Summary, PPI''s'!$I16+'Summary, PPI''s'!$I15)/('Predicted PPIs'!R16+'Predicted PPIs'!R15)))*IF(J$26=".", 1, (J16/J15)^(('Summary, PPI''s'!$J16+'Summary, PPI''s'!$J15)/('Predicted PPIs'!R16+'Predicted PPIs'!R15)))*IF(K$26=".", 1, (K16/K15)^(('Summary, PPI''s'!$K16+'Summary, PPI''s'!$K15)/('Predicted PPIs'!R16+'Predicted PPIs'!R15)))*IF(L$26=".", 1, (L16/L15)^(('Summary, PPI''s'!$L16+'Summary, PPI''s'!$L15)/('Predicted PPIs'!R16+'Predicted PPIs'!R15)))*IF(M$26=".", 1, (M16/M15)^(('Summary, PPI''s'!$M16+'Summary, PPI''s'!$M15)/('Predicted PPIs'!R16+'Predicted PPIs'!R15)))*IF(B$26=".", 1, (B16/B15)^(('Summary, PPI''s'!$B16+'Summary, PPI''s'!$B15)/('Predicted PPIs'!R16+'Predicted PPIs'!R15)))*IF(C$26=".", 1, (C16/C15)^(('Summary, PPI''s'!$C16+'Summary, PPI''s'!$C15)/('Predicted PPIs'!R16+'Predicted PPIs'!R15)))*IF(D$26=".", 1, (D16/D15)^(('Summary, PPI''s'!$D16+'Summary, PPI''s'!$D15)/('Predicted PPIs'!R16+'Predicted PPIs'!R15)))*IF(N$26=".", 1, (N16/N15)^(('Summary, PPI''s'!$N16+'Summary, PPI''s'!$N15)/('Predicted PPIs'!R16+'Predicted PPIs'!R15)))*IF(O$26=".", 1, (O16/O15)^(('Summary, PPI''s'!$O16+'Summary, PPI''s'!$O15)/('Predicted PPIs'!R16+'Predicted PPIs'!R15)))*IF(P$26=".", 1, (P16/P15)^(('Summary, PPI''s'!$P16+'Summary, PPI''s'!$P15)/('Predicted PPIs'!R16+'Predicted PPIs'!R15)))</f>
        <v>104.69576365347011</v>
      </c>
      <c r="AA16" s="4">
        <f>AA15*IF(E$36=".", 1, (E16/E15)^(('Summary, PPI''s'!$E16+'Summary, PPI''s'!$E15)/('Predicted PPIs'!S16+'Predicted PPIs'!S15)))*IF(F$36=".", 1, (F16/F15)^(('Summary, PPI''s'!$F16+'Summary, PPI''s'!$F15)/('Predicted PPIs'!S16+'Predicted PPIs'!S15)))*IF(G$36=".", 1, (G16/G15)^(('Summary, PPI''s'!$G16+'Summary, PPI''s'!$G15)/('Predicted PPIs'!S16+'Predicted PPIs'!S15)))*IF(H$36=".", 1, (H16/H15)^(('Summary, PPI''s'!$H16+'Summary, PPI''s'!$H15)/('Predicted PPIs'!S16+'Predicted PPIs'!S15)))*IF(I$36=".", 1, (I16/I15)^(('Summary, PPI''s'!$I16+'Summary, PPI''s'!$I15)/('Predicted PPIs'!S16+'Predicted PPIs'!S15)))*IF(J$36=".", 1, (J16/J15)^(('Summary, PPI''s'!$J16+'Summary, PPI''s'!$J15)/('Predicted PPIs'!S16+'Predicted PPIs'!S15)))*IF(K$36=".", 1, (K16/K15)^(('Summary, PPI''s'!$K16+'Summary, PPI''s'!$K15)/('Predicted PPIs'!S16+'Predicted PPIs'!S15)))*IF(L$36=".", 1, (L16/L15)^(('Summary, PPI''s'!$L16+'Summary, PPI''s'!$L15)/('Predicted PPIs'!S16+'Predicted PPIs'!S15)))*IF(M$36=".", 1, (M16/M15)^(('Summary, PPI''s'!$M16+'Summary, PPI''s'!$M15)/('Predicted PPIs'!S16+'Predicted PPIs'!S15)))*IF(B$36=".", 1, (B16/B15)^(('Summary, PPI''s'!$B16+'Summary, PPI''s'!$B15)/('Predicted PPIs'!S16+'Predicted PPIs'!S15)))*IF(C$36=".", 1, (C16/C15)^(('Summary, PPI''s'!$C16+'Summary, PPI''s'!$C15)/('Predicted PPIs'!S16+'Predicted PPIs'!S15)))*IF(D$36=".", 1, (D16/D15)^(('Summary, PPI''s'!$D16+'Summary, PPI''s'!$D15)/('Predicted PPIs'!S16+'Predicted PPIs'!S15)))*IF(N$36=".", 1, (N16/N15)^(('Summary, PPI''s'!$N16+'Summary, PPI''s'!$N15)/('Predicted PPIs'!S16+'Predicted PPIs'!S15)))*IF(O$36=".", 1, (O16/O15)^(('Summary, PPI''s'!$O16+'Summary, PPI''s'!$O15)/('Predicted PPIs'!S16+'Predicted PPIs'!S15)))*IF(P$36=".", 1, (P16/P15)^(('Summary, PPI''s'!$P16+'Summary, PPI''s'!$P15)/('Predicted PPIs'!S16+'Predicted PPIs'!S15)))</f>
        <v>92.023025917152495</v>
      </c>
      <c r="AB16" s="4">
        <f>AB15*IF(E$46=".", 1, (E16/E15)^(('Summary, PPI''s'!$E16+'Summary, PPI''s'!$E15)/('Predicted PPIs'!T16+'Predicted PPIs'!T15)))*IF(F$46=".", 1, (F16/F15)^(('Summary, PPI''s'!$F16+'Summary, PPI''s'!$F15)/('Predicted PPIs'!T16+'Predicted PPIs'!T15)))*IF(G$46=".", 1, (G16/G15)^(('Summary, PPI''s'!$G16+'Summary, PPI''s'!$G15)/('Predicted PPIs'!T16+'Predicted PPIs'!T15)))*IF(H$46=".", 1, (H16/H15)^(('Summary, PPI''s'!$H16+'Summary, PPI''s'!$H15)/('Predicted PPIs'!T16+'Predicted PPIs'!T15)))*IF(I$46=".", 1, (I16/I15)^(('Summary, PPI''s'!$I16+'Summary, PPI''s'!$I15)/('Predicted PPIs'!T16+'Predicted PPIs'!T15)))*IF(J$46=".", 1, (J16/J15)^(('Summary, PPI''s'!$J16+'Summary, PPI''s'!$J15)/('Predicted PPIs'!T16+'Predicted PPIs'!T15)))*IF(K$46=".", 1, (K16/K15)^(('Summary, PPI''s'!$K16+'Summary, PPI''s'!$K15)/('Predicted PPIs'!T16+'Predicted PPIs'!T15)))*IF(L$46=".", 1, (L16/L15)^(('Summary, PPI''s'!$L16+'Summary, PPI''s'!$L15)/('Predicted PPIs'!T16+'Predicted PPIs'!T15)))*IF(M$46=".", 1, (M16/M15)^(('Summary, PPI''s'!$M16+'Summary, PPI''s'!$M15)/('Predicted PPIs'!T16+'Predicted PPIs'!T15)))*IF(B$46=".", 1, (B16/B15)^(('Summary, PPI''s'!$B16+'Summary, PPI''s'!$B15)/('Predicted PPIs'!T16+'Predicted PPIs'!T15)))*IF(C$46=".", 1, (C16/C15)^(('Summary, PPI''s'!$C16+'Summary, PPI''s'!$C15)/('Predicted PPIs'!T16+'Predicted PPIs'!T15)))*IF(D$46=".", 1, (D16/D15)^(('Summary, PPI''s'!$D16+'Summary, PPI''s'!$D15)/('Predicted PPIs'!T16+'Predicted PPIs'!T15)))*IF(N$46=".", 1, (N16/N15)^(('Summary, PPI''s'!$N16+'Summary, PPI''s'!$N15)/('Predicted PPIs'!T16+'Predicted PPIs'!T15)))*IF(O$46=".", 1, (O16/O15)^(('Summary, PPI''s'!$O16+'Summary, PPI''s'!$O15)/('Predicted PPIs'!T16+'Predicted PPIs'!T15)))*IF(P$46=".", 1, (P16/P15)^(('Summary, PPI''s'!$P16+'Summary, PPI''s'!$P15)/('Predicted PPIs'!T16+'Predicted PPIs'!T15)))</f>
        <v>92.658072364452252</v>
      </c>
      <c r="AC16" s="4">
        <f>AC15*IF(E$60=".",1,(E16/E15)^(('Summary, PPI''s'!$E16+'Summary, PPI''s'!$E15)/('Predicted PPIs'!U16+'Predicted PPIs'!U15)))*IF(F$60=".",1,(F16/F15)^(('Summary, PPI''s'!$F16+'Summary, PPI''s'!$F15)/('Predicted PPIs'!U16+'Predicted PPIs'!U15)))*IF(G$60=".",1,(G16/G15)^(('Summary, PPI''s'!$G16+'Summary, PPI''s'!$G15)/('Predicted PPIs'!U16+'Predicted PPIs'!U15)))*IF(H$60=".",1,(H16/H15)^(('Summary, PPI''s'!$H16+'Summary, PPI''s'!$H15)/('Predicted PPIs'!U16+'Predicted PPIs'!U15)))*IF(I$60=".",1,(I16/I15)^(('Summary, PPI''s'!$I16+'Summary, PPI''s'!$I15)/('Predicted PPIs'!U16+'Predicted PPIs'!U15)))*IF(J$60=".",1,(J16/J15)^(('Summary, PPI''s'!$J16+'Summary, PPI''s'!$J15)/('Predicted PPIs'!U16+'Predicted PPIs'!U15)))*IF(K$60=".",1,(K16/K15)^(('Summary, PPI''s'!$K16+'Summary, PPI''s'!$K15)/('Predicted PPIs'!U16+'Predicted PPIs'!U15)))*IF(L$60=".",1,(L16/L15)^(('Summary, PPI''s'!$L16+'Summary, PPI''s'!$L15)/('Predicted PPIs'!U16+'Predicted PPIs'!U15)))*IF(M$60=".",1,(M16/M15)^(('Summary, PPI''s'!$M16+'Summary, PPI''s'!$M15)/('Predicted PPIs'!U16+'Predicted PPIs'!U15)))*IF(B$60=".",1,(B16/B15)^(('Summary, PPI''s'!$B16+'Summary, PPI''s'!$B15)/('Predicted PPIs'!U16+'Predicted PPIs'!U15)))*IF(C$60=".",1,(C16/C15)^(('Summary, PPI''s'!$C16+'Summary, PPI''s'!$C15)/('Predicted PPIs'!U16+'Predicted PPIs'!U15)))*IF(D$60=".",1,(D16/D15)^(('Summary, PPI''s'!$D16+'Summary, PPI''s'!$D15)/('Predicted PPIs'!U16+'Predicted PPIs'!U15)))*IF(N$60=".",1,(N16/N15)^(('Summary, PPI''s'!$N16+'Summary, PPI''s'!$N15)/('Predicted PPIs'!U16+'Predicted PPIs'!U15)))*IF(O$60=".",1,(O16/O15)^(('Summary, PPI''s'!$O16+'Summary, PPI''s'!$O15)/('Predicted PPIs'!U16+'Predicted PPIs'!U15)))*IF(P$60=".",1,(P16/P15)^(('Summary, PPI''s'!$P16+'Summary, PPI''s'!$P15)/('Predicted PPIs'!U16+'Predicted PPIs'!U15)))</f>
        <v>102.29820866212395</v>
      </c>
      <c r="AD16" s="4">
        <f>AD15*IF(E$73=".", 1, (E16/E15)^(('Summary, PPI''s'!$E16+'Summary, PPI''s'!$E15)/('Predicted PPIs'!V16+'Predicted PPIs'!V15)))*IF(F$73=".", 1, (F16/F15)^(('Summary, PPI''s'!$F16+'Summary, PPI''s'!$F15)/('Predicted PPIs'!V16+'Predicted PPIs'!V15)))*IF(G$73=".", 1, (G16/G15)^(('Summary, PPI''s'!$G16+'Summary, PPI''s'!$G15)/('Predicted PPIs'!V16+'Predicted PPIs'!V15)))*IF(H$73=".", 1, (H16/H15)^(('Summary, PPI''s'!$H16+'Summary, PPI''s'!$H15)/('Predicted PPIs'!V16+'Predicted PPIs'!V15)))*IF(I$73=".", 1, (I16/I15)^(('Summary, PPI''s'!$I16+'Summary, PPI''s'!$I15)/('Predicted PPIs'!V16+'Predicted PPIs'!V15)))*IF(J$73=".", 1, (J16/J15)^(('Summary, PPI''s'!$J16+'Summary, PPI''s'!$J15)/('Predicted PPIs'!V16+'Predicted PPIs'!V15)))*IF(K$73=".", 1, (K16/K15)^(('Summary, PPI''s'!$K16+'Summary, PPI''s'!$K15)/('Predicted PPIs'!V16+'Predicted PPIs'!V15)))*IF(L$73=".", 1, (L16/L15)^(('Summary, PPI''s'!$L16+'Summary, PPI''s'!$L15)/('Predicted PPIs'!V16+'Predicted PPIs'!V15)))*IF(M$73=".", 1, (M16/M15)^(('Summary, PPI''s'!$M16+'Summary, PPI''s'!$M15)/('Predicted PPIs'!V16+'Predicted PPIs'!V15)))*IF(B$73=".", 1, (B16/B15)^(('Summary, PPI''s'!$B16+'Summary, PPI''s'!$B15)/('Predicted PPIs'!V16+'Predicted PPIs'!V15)))*IF(C$73=".", 1, (C16/C15)^(('Summary, PPI''s'!$C16+'Summary, PPI''s'!$C15)/('Predicted PPIs'!V16+'Predicted PPIs'!V15)))*IF(D$73=".", 1, (D16/D15)^(('Summary, PPI''s'!$D16+'Summary, PPI''s'!$D15)/('Predicted PPIs'!V16+'Predicted PPIs'!V15)))*IF(N$73=".", 1, (N16/N15)^(('Summary, PPI''s'!$N16+'Summary, PPI''s'!$N15)/('Predicted PPIs'!V16+'Predicted PPIs'!V15)))*IF(O$73=".", 1, (O16/O15)^(('Summary, PPI''s'!$O16+'Summary, PPI''s'!$O15)/('Predicted PPIs'!V16+'Predicted PPIs'!V15)))*IF(P$73=".", 1, (P16/P15)^(('Summary, PPI''s'!$P16+'Summary, PPI''s'!$P15)/('Predicted PPIs'!V16+'Predicted PPIs'!V15)))</f>
        <v>103.69795920720578</v>
      </c>
      <c r="AE16" s="4">
        <f>AE15*IF(E$94=".", 1, (E16/E15)^(('Summary, PPI''s'!$E16+'Summary, PPI''s'!$E15)/('Predicted PPIs'!W16+'Predicted PPIs'!W15)))*IF(F$94=".", 1, (F16/F15)^(('Summary, PPI''s'!$F16+'Summary, PPI''s'!$F15)/('Predicted PPIs'!W16+'Predicted PPIs'!W15)))*IF(G$94=".", 1, (G16/G15)^(('Summary, PPI''s'!$G16+'Summary, PPI''s'!$G15)/('Predicted PPIs'!W16+'Predicted PPIs'!W15)))*IF(H$94=".", 1, (H16/H15)^(('Summary, PPI''s'!$H16+'Summary, PPI''s'!$H15)/('Predicted PPIs'!W16+'Predicted PPIs'!W15)))*IF(I$94=".", 1, (I16/I15)^(('Summary, PPI''s'!$I16+'Summary, PPI''s'!$I15)/('Predicted PPIs'!W16+'Predicted PPIs'!W15)))*IF(J$94=".", 1, (J16/J15)^(('Summary, PPI''s'!$J16+'Summary, PPI''s'!$J15)/('Predicted PPIs'!W16+'Predicted PPIs'!W15)))*IF(K$94=".", 1, (K16/K15)^(('Summary, PPI''s'!$K16+'Summary, PPI''s'!$K15)/('Predicted PPIs'!W16+'Predicted PPIs'!W15)))*IF(L$94=".", 1, (L16/L15)^(('Summary, PPI''s'!$L16+'Summary, PPI''s'!$L15)/('Predicted PPIs'!W16+'Predicted PPIs'!W15)))*IF(M$94=".", 1, (M16/M15)^(('Summary, PPI''s'!$M16+'Summary, PPI''s'!$M15)/('Predicted PPIs'!W16+'Predicted PPIs'!W15)))*IF(B$94=".", 1, (B16/B15)^(('Summary, PPI''s'!$B16+'Summary, PPI''s'!$B15)/('Predicted PPIs'!W16+'Predicted PPIs'!W15)))*IF(C$94=".", 1, (C16/C15)^(('Summary, PPI''s'!$C16+'Summary, PPI''s'!$C15)/('Predicted PPIs'!W16+'Predicted PPIs'!W15)))*IF(D$94=".", 1, (D16/D15)^(('Summary, PPI''s'!$D16+'Summary, PPI''s'!$D15)/('Predicted PPIs'!W16+'Predicted PPIs'!W15)))*IF(N$94=".", 1, (N16/N15)^(('Summary, PPI''s'!$N16+'Summary, PPI''s'!$N15)/('Predicted PPIs'!W16+'Predicted PPIs'!W15)))*IF(O$94=".", 1, (O16/O15)^(('Summary, PPI''s'!$O16+'Summary, PPI''s'!$O15)/('Predicted PPIs'!W16+'Predicted PPIs'!W15)))*IF(P$94=".", 1, (P16/P15)^(('Summary, PPI''s'!$P16+'Summary, PPI''s'!$P15)/('Predicted PPIs'!W16+'Predicted PPIs'!W15)))</f>
        <v>99.496516177606651</v>
      </c>
      <c r="AF16" s="4">
        <f>AF15*IF(E$123=".", 1, (E16/E15)^(('Summary, PPI''s'!$E16+'Summary, PPI''s'!$E15)/('Predicted PPIs'!X16+'Predicted PPIs'!X15)))*IF(F$123=".", 1, (F16/F15)^(('Summary, PPI''s'!$F16+'Summary, PPI''s'!$F15)/('Predicted PPIs'!X16+'Predicted PPIs'!X15)))*IF(G$123=".", 1, (G16/G15)^(('Summary, PPI''s'!$G16+'Summary, PPI''s'!$G15)/('Predicted PPIs'!X16+'Predicted PPIs'!X15)))*IF(H$123=".", 1, (H16/H15)^(('Summary, PPI''s'!$H16+'Summary, PPI''s'!$H15)/('Predicted PPIs'!X16+'Predicted PPIs'!X15)))*IF(I$123=".", 1, (I16/I15)^(('Summary, PPI''s'!$I16+'Summary, PPI''s'!$I15)/('Predicted PPIs'!X16+'Predicted PPIs'!X15)))*IF(J$123=".", 1, (J16/J15)^(('Summary, PPI''s'!$J16+'Summary, PPI''s'!$J15)/('Predicted PPIs'!X16+'Predicted PPIs'!X15)))*IF(K$123=".", 1, (K16/K15)^(('Summary, PPI''s'!$K16+'Summary, PPI''s'!$K15)/('Predicted PPIs'!X16+'Predicted PPIs'!X15)))*IF(L$123=".", 1, (L16/L15)^(('Summary, PPI''s'!$L16+'Summary, PPI''s'!$L15)/('Predicted PPIs'!X16+'Predicted PPIs'!X15)))*IF(M$123=".", 1, (M16/M15)^(('Summary, PPI''s'!$M16+'Summary, PPI''s'!$M15)/('Predicted PPIs'!X16+'Predicted PPIs'!X15)))*IF(B$123=".", 1, (B16/B15)^(('Summary, PPI''s'!$B16+'Summary, PPI''s'!$B15)/('Predicted PPIs'!X16+'Predicted PPIs'!X15)))*IF(C$123=".", 1, (C16/C15)^(('Summary, PPI''s'!$C16+'Summary, PPI''s'!$C15)/('Predicted PPIs'!X16+'Predicted PPIs'!X15)))*IF(D$123=".", 1, (D16/D15)^(('Summary, PPI''s'!$D16+'Summary, PPI''s'!$D15)/('Predicted PPIs'!X16+'Predicted PPIs'!X15)))*IF(N$123=".", 1, (N16/N15)^(('Summary, PPI''s'!$N16+'Summary, PPI''s'!$N15)/('Predicted PPIs'!X16+'Predicted PPIs'!X15)))*IF(O$123=".", 1, (O16/O15)^(('Summary, PPI''s'!$O16+'Summary, PPI''s'!$O15)/('Predicted PPIs'!X16+'Predicted PPIs'!X15)))*IF(P$123=".", 1, (P16/P15)^(('Summary, PPI''s'!$P16+'Summary, PPI''s'!$P15)/('Predicted PPIs'!X16+'Predicted PPIs'!X15)))</f>
        <v>94.333299168374808</v>
      </c>
      <c r="AH16" s="13">
        <f t="shared" si="32"/>
        <v>104.69576365347011</v>
      </c>
      <c r="AJ16" s="4">
        <v>9746.6</v>
      </c>
      <c r="AK16" s="4">
        <v>-0.40300000000000002</v>
      </c>
      <c r="AL16" s="4">
        <v>-1153.0820000000001</v>
      </c>
      <c r="AM16" s="4">
        <v>-18.257000000000001</v>
      </c>
      <c r="AN16" s="4">
        <v>10725.3</v>
      </c>
      <c r="AO16" s="4">
        <v>2614.3000000000002</v>
      </c>
      <c r="AP16" s="4">
        <f>1338.731+0.004+0.272+15.676-1436.071</f>
        <v>-81.388000000000147</v>
      </c>
      <c r="AQ16" s="4">
        <f>980.577+18.169+11.539+40.662-1472.496</f>
        <v>-421.54900000000021</v>
      </c>
      <c r="AR16" s="4">
        <v>-43.575000000000003</v>
      </c>
      <c r="AS16" s="4">
        <v>-70.41</v>
      </c>
      <c r="AT16" s="4">
        <v>91.614000000000004</v>
      </c>
      <c r="AU16" s="4">
        <v>81.805999999999997</v>
      </c>
      <c r="AV16" s="4">
        <v>92.992000000000004</v>
      </c>
      <c r="AW16" s="4">
        <v>91.945999999999998</v>
      </c>
      <c r="AX16" s="4">
        <v>89.933000000000007</v>
      </c>
      <c r="AY16" s="4">
        <v>99.456000000000003</v>
      </c>
      <c r="AZ16" s="4">
        <v>89.748000000000005</v>
      </c>
      <c r="BA16" s="4">
        <v>90.506</v>
      </c>
      <c r="BB16" s="4">
        <v>99.64</v>
      </c>
      <c r="BC16" s="4">
        <v>100.529</v>
      </c>
      <c r="BG16" s="4">
        <f t="shared" si="50"/>
        <v>99.641406488013388</v>
      </c>
      <c r="BI16" s="4">
        <f>BI$13*'[2]Ordinary Experience'!$D$410/'[2]Ordinary Experience'!$D$413</f>
        <v>300539645.71400666</v>
      </c>
      <c r="BJ16" s="4">
        <f>'[2]Ordinary Experience'!$E$410</f>
        <v>20.398980190534971</v>
      </c>
      <c r="BL16" s="4">
        <f t="shared" si="0"/>
        <v>105.08849578374608</v>
      </c>
      <c r="BM16" s="4">
        <f t="shared" si="34"/>
        <v>7.8109098203826832E-3</v>
      </c>
      <c r="BO16" s="4">
        <f>IF(OR('Summary, hourly ad costs'!R16=-9999,'Summary, PPI''s'!R16="."),".",(('Summary, hourly ad costs'!B16/'Summary, hourly ad costs'!R16)*100/('Summary, hourly ad costs'!B$11/'Summary, hourly ad costs'!R$11))/('Summary, PPI''s'!R16))</f>
        <v>1.2184145685772412</v>
      </c>
      <c r="BP16" s="4" t="str">
        <f>IF(OR('Summary, hourly ad costs'!S16=-9999,'Summary, PPI''s'!S16="."),".",(('Summary, hourly ad costs'!C16/'Summary, hourly ad costs'!S16)*100/('Summary, hourly ad costs'!C$11/'Summary, hourly ad costs'!S$11))/('Summary, PPI''s'!S16))</f>
        <v>.</v>
      </c>
      <c r="BQ16" s="4" t="str">
        <f>IF(OR('Summary, hourly ad costs'!T16=-9999,'Summary, PPI''s'!T16="."),".",(('Summary, hourly ad costs'!D16/'Summary, hourly ad costs'!T16)*100/('Summary, hourly ad costs'!D$11/'Summary, hourly ad costs'!T$11))/('Summary, PPI''s'!T16))</f>
        <v>.</v>
      </c>
      <c r="BR16" s="4">
        <f>IF(OR('Summary, hourly ad costs'!U16=-9999,'Summary, PPI''s'!U16="."),".",(('Summary, hourly ad costs'!E16/'Summary, hourly ad costs'!U16)*100/('Summary, hourly ad costs'!E$11/'Summary, hourly ad costs'!U$11))/('Summary, PPI''s'!U16))</f>
        <v>1.7434676946197663</v>
      </c>
      <c r="BS16" s="4">
        <f>IF(OR('Summary, hourly ad costs'!V16=-9999,'Summary, PPI''s'!V16="."),".",(('Summary, hourly ad costs'!F16/'Summary, hourly ad costs'!V16)*100/('Summary, hourly ad costs'!F$11/'Summary, hourly ad costs'!V$11))/('Summary, PPI''s'!V16))</f>
        <v>1.7379584888305784</v>
      </c>
      <c r="BT16" s="4" t="str">
        <f>IF(OR('Summary, hourly ad costs'!W16=-9999,'Summary, PPI''s'!W16="."),".",(('Summary, hourly ad costs'!G16/'Summary, hourly ad costs'!W16)*100/('Summary, hourly ad costs'!G$11/'Summary, hourly ad costs'!W$11))/('Summary, PPI''s'!W16))</f>
        <v>.</v>
      </c>
      <c r="BU16" s="4">
        <f>IF(OR('Summary, hourly ad costs'!X16=-9999,'Summary, PPI''s'!X16="."),".",(('Summary, hourly ad costs'!H16/'Summary, hourly ad costs'!X16)*100/('Summary, hourly ad costs'!H$11/'Summary, hourly ad costs'!X$11))/('Summary, PPI''s'!X16))</f>
        <v>0.86809258004613876</v>
      </c>
      <c r="BV16" s="4">
        <f>IF(OR('Summary, hourly ad costs'!Y16=-9999,'Summary, PPI''s'!Y16="."),".",(('Summary, hourly ad costs'!I16/'Summary, hourly ad costs'!Y16)*100/('Summary, hourly ad costs'!I$11/'Summary, hourly ad costs'!Y$11))/('Summary, PPI''s'!Y16))</f>
        <v>1.0202837510672513</v>
      </c>
      <c r="BW16" s="4">
        <f>IF(OR('Summary, hourly ad costs'!Z16=-9999,'Summary, PPI''s'!Z16="."),".",(('Summary, hourly ad costs'!J16/'Summary, hourly ad costs'!Z16)*100/('Summary, hourly ad costs'!J$11/'Summary, hourly ad costs'!Z$11))/('Summary, PPI''s'!Z16))</f>
        <v>0.81112609233595534</v>
      </c>
      <c r="BX16" s="4">
        <f>IF(OR('Summary, hourly ad costs'!AA16=-9999,'Summary, PPI''s'!AA16="."),".",(('Summary, hourly ad costs'!K16/'Summary, hourly ad costs'!AA16)*100/('Summary, hourly ad costs'!K$11/'Summary, hourly ad costs'!AA$11))/('Summary, PPI''s'!AA16))</f>
        <v>1.3654334685085827</v>
      </c>
      <c r="BY16" s="4" t="str">
        <f>IF(OR('Summary, hourly ad costs'!AB16=-9999,'Summary, PPI''s'!AB16="."),".",(('Summary, hourly ad costs'!L16/'Summary, hourly ad costs'!AB16)*100/('Summary, hourly ad costs'!L$11/'Summary, hourly ad costs'!AB$11))/('Summary, PPI''s'!AB16))</f>
        <v>.</v>
      </c>
      <c r="BZ16" s="4" t="str">
        <f>IF(OR('Summary, hourly ad costs'!AC16=-9999,'Summary, PPI''s'!AC16="."),".",(('Summary, hourly ad costs'!M16/'Summary, hourly ad costs'!AC16)*100/('Summary, hourly ad costs'!M$11/'Summary, hourly ad costs'!AC$11))/('Summary, PPI''s'!AC16))</f>
        <v>.</v>
      </c>
      <c r="CA16" s="4" t="str">
        <f>IF(OR('Summary, hourly ad costs'!AD16=-9999,'Summary, PPI''s'!AD16="."),".",(('Summary, hourly ad costs'!N16/'Summary, hourly ad costs'!AD16)*100/('Summary, hourly ad costs'!N$11/'Summary, hourly ad costs'!AD$11))/('Summary, PPI''s'!AD16))</f>
        <v>.</v>
      </c>
      <c r="CB16" s="4" t="str">
        <f>IF(OR('Summary, hourly ad costs'!AE16=-9999,'Summary, PPI''s'!AE16="."),".",(('Summary, hourly ad costs'!O16/'Summary, hourly ad costs'!AE16)*100/('Summary, hourly ad costs'!O$11/'Summary, hourly ad costs'!AE$11))/('Summary, PPI''s'!AE16))</f>
        <v>.</v>
      </c>
      <c r="CC16" s="4" t="str">
        <f>IF(OR('Summary, hourly ad costs'!AF16=-9999,'Summary, PPI''s'!AF16="."),".",(('Summary, hourly ad costs'!P16/'Summary, hourly ad costs'!AF16)*100/('Summary, hourly ad costs'!P$11/'Summary, hourly ad costs'!AF$11))/('Summary, PPI''s'!AF16))</f>
        <v>.</v>
      </c>
      <c r="CE16" s="4">
        <f t="shared" si="51"/>
        <v>6.4453735864597572E-2</v>
      </c>
      <c r="CF16" s="4" t="str">
        <f t="shared" si="52"/>
        <v>.</v>
      </c>
      <c r="CG16" s="4" t="str">
        <f t="shared" si="53"/>
        <v>.</v>
      </c>
      <c r="CH16" s="4">
        <f t="shared" si="54"/>
        <v>-6.0446031572811032E-2</v>
      </c>
      <c r="CI16" s="4">
        <f t="shared" si="55"/>
        <v>-4.0080051384409066E-3</v>
      </c>
      <c r="CJ16" s="4" t="str">
        <f t="shared" si="56"/>
        <v>.</v>
      </c>
      <c r="CK16" s="4">
        <f t="shared" si="57"/>
        <v>-4.8542472996334074E-2</v>
      </c>
      <c r="CL16" s="4">
        <f t="shared" si="58"/>
        <v>6.3101710571546121E-2</v>
      </c>
      <c r="CM16" s="4">
        <f t="shared" si="59"/>
        <v>-4.1004481084997879E-2</v>
      </c>
      <c r="CN16" s="4">
        <f t="shared" si="60"/>
        <v>7.4520679927780442E-2</v>
      </c>
      <c r="CO16" s="4">
        <f t="shared" si="61"/>
        <v>4.5467140767145711E-2</v>
      </c>
      <c r="CP16" s="4">
        <f t="shared" si="61"/>
        <v>0.17020735360066305</v>
      </c>
      <c r="CQ16" s="4" t="str">
        <f t="shared" si="62"/>
        <v>.</v>
      </c>
      <c r="CR16" s="4" t="str">
        <f t="shared" si="63"/>
        <v>.</v>
      </c>
      <c r="CS16" s="4" t="str">
        <f t="shared" si="64"/>
        <v>.</v>
      </c>
      <c r="CU16" s="5">
        <f>IF(CU15=".", ".", IF('Summary, PPI''s'!R16=".",IF(OR('Summary, hourly ad costs'!R16=-9999,'Summary, hourly ad costs'!R16=0), ".", 'Predicted PPIs'!CU15*('Summary, hourly ad costs'!B16/'Summary, hourly ad costs'!R16)/('Summary, hourly ad costs'!B15/'Summary, hourly ad costs'!R15)/(1-CE15)), 'Summary, PPI''s'!R16))</f>
        <v>100.44278474259802</v>
      </c>
      <c r="CV16" s="5">
        <f>IF(CV15=".", ".", IF('Summary, PPI''s'!S16=".",IF(OR('Summary, hourly ad costs'!S16=-9999,'Summary, hourly ad costs'!S16=0), ".", 'Predicted PPIs'!CV15*('Summary, hourly ad costs'!C16/'Summary, hourly ad costs'!S16)/('Summary, hourly ad costs'!C15/'Summary, hourly ad costs'!S15)/(1-CF15)), 'Summary, PPI''s'!S16))</f>
        <v>100.44278474259802</v>
      </c>
      <c r="CW16" s="5">
        <f>IF(CW15=".", ".", IF('Summary, PPI''s'!T16=".",IF(OR('Summary, hourly ad costs'!T16=-9999,'Summary, hourly ad costs'!T16=0), ".", 'Predicted PPIs'!CW15*('Summary, hourly ad costs'!D16/'Summary, hourly ad costs'!T16)/('Summary, hourly ad costs'!D15/'Summary, hourly ad costs'!T15)/(1-CG15)), 'Summary, PPI''s'!T16))</f>
        <v>95.812150802838886</v>
      </c>
      <c r="CX16" s="5">
        <f>IF(CX15=".", ".", IF('Summary, PPI''s'!U16=".",IF(OR('Summary, hourly ad costs'!U16=-9999,'Summary, hourly ad costs'!U16=0), ".", 'Predicted PPIs'!CX15*('Summary, hourly ad costs'!E16/'Summary, hourly ad costs'!U16)/('Summary, hourly ad costs'!E15/'Summary, hourly ad costs'!U15)/(1-CH15)), 'Summary, PPI''s'!U16))</f>
        <v>98.16812624275498</v>
      </c>
      <c r="CY16" s="5">
        <f>IF(CY15=".", ".", IF('Summary, PPI''s'!V16=".",IF(OR('Summary, hourly ad costs'!V16=-9999,'Summary, hourly ad costs'!V16=0), ".", 'Predicted PPIs'!CY15*('Summary, hourly ad costs'!F16/'Summary, hourly ad costs'!V16)/('Summary, hourly ad costs'!F15/'Summary, hourly ad costs'!V15)/(1-CI15)), 'Summary, PPI''s'!V16))</f>
        <v>90.58239630956794</v>
      </c>
      <c r="CZ16" s="5">
        <f>IF(CZ15=".", ".", IF('Summary, PPI''s'!W16=".",IF(OR('Summary, hourly ad costs'!W16=-9999,'Summary, hourly ad costs'!W16=0), ".", 'Predicted PPIs'!CZ15*('Summary, hourly ad costs'!G16/'Summary, hourly ad costs'!W16)/('Summary, hourly ad costs'!G15/'Summary, hourly ad costs'!W15)/(1-CJ15)), 'Summary, PPI''s'!W16))</f>
        <v>91.757323402633219</v>
      </c>
      <c r="DA16" s="5">
        <f>IF(DA15=".", ".", IF('Summary, PPI''s'!X16=".",IF(OR('Summary, hourly ad costs'!X16=-9999,'Summary, hourly ad costs'!X16=0), ".", 'Predicted PPIs'!DA15*('Summary, hourly ad costs'!H16/'Summary, hourly ad costs'!X16)/('Summary, hourly ad costs'!H15/'Summary, hourly ad costs'!X15)/(1-CK15)), 'Summary, PPI''s'!X16))</f>
        <v>92.113</v>
      </c>
      <c r="DB16" s="5">
        <f>IF(DB15=".", ".", IF('Summary, PPI''s'!Y16=".",IF(OR('Summary, hourly ad costs'!Y16=-9999,'Summary, hourly ad costs'!Y16=0), ".", 'Predicted PPIs'!DB15*('Summary, hourly ad costs'!I16/'Summary, hourly ad costs'!Y16)/('Summary, hourly ad costs'!I15/'Summary, hourly ad costs'!Y15)/(1-CL15)), 'Summary, PPI''s'!Y16))</f>
        <v>108.67618489891083</v>
      </c>
      <c r="DC16" s="5">
        <f>IF(DC15=".", ".", IF('Summary, PPI''s'!Z16=".",IF(OR('Summary, hourly ad costs'!Z16=-9999,'Summary, hourly ad costs'!Z16=0), ".", 'Predicted PPIs'!DC15*('Summary, hourly ad costs'!J16/'Summary, hourly ad costs'!Z16)/('Summary, hourly ad costs'!J15/'Summary, hourly ad costs'!Z15)/(1-CM15)), 'Summary, PPI''s'!Z16))</f>
        <v>101.40705320178239</v>
      </c>
      <c r="DD16" s="5">
        <f>IF(DD15=".", ".", IF('Summary, PPI''s'!AA16=".",IF(OR('Summary, hourly ad costs'!AA16=-9999,'Summary, hourly ad costs'!AA16=0), ".", 'Predicted PPIs'!DD15*('Summary, hourly ad costs'!K16/'Summary, hourly ad costs'!AA16)/('Summary, hourly ad costs'!K15/'Summary, hourly ad costs'!AA15)/(1-CN15)), 'Summary, PPI''s'!AA16))</f>
        <v>74.999593302300752</v>
      </c>
      <c r="DE16" s="5">
        <f>IF(DE15=".", ".", IF('Summary, PPI''s'!AB16=".",IF(OR('Summary, hourly ad costs'!AB16=-9999,'Summary, hourly ad costs'!AB16=0), ".", 'Predicted PPIs'!DE15*('Summary, hourly ad costs'!L16/'Summary, hourly ad costs'!AB16)/('Summary, hourly ad costs'!L15/'Summary, hourly ad costs'!AB15)/(1-CO15)), 'Summary, PPI''s'!AB16))</f>
        <v>78.272675261055468</v>
      </c>
      <c r="DF16" s="5">
        <f>IF(DF15=".", ".", IF('Summary, PPI''s'!AC16=".",IF(OR('Summary, hourly ad costs'!AC16=-9999,'Summary, hourly ad costs'!AC16=0), ".", 'Predicted PPIs'!DF15*('Summary, hourly ad costs'!M16/'Summary, hourly ad costs'!AC16)/('Summary, hourly ad costs'!M15/'Summary, hourly ad costs'!AC15)/(1-CP15)), 'Summary, PPI''s'!AC16))</f>
        <v>331.72203440458884</v>
      </c>
      <c r="DG16" s="5">
        <f>IF(DG15=".", ".", IF('Summary, PPI''s'!AD16=".",IF(OR('Summary, hourly ad costs'!AD16=-9999,'Summary, hourly ad costs'!AD16=0), ".", 'Predicted PPIs'!DG15*('Summary, hourly ad costs'!N16/'Summary, hourly ad costs'!AD16)/('Summary, hourly ad costs'!N15/'Summary, hourly ad costs'!AD15)/(1-CQ15)), 'Summary, PPI''s'!AD16))</f>
        <v>97.722037368825212</v>
      </c>
      <c r="DH16" s="5">
        <f>IF(DH15=".", ".", IF('Summary, PPI''s'!AE16=".",IF(OR('Summary, hourly ad costs'!AE16=-9999,'Summary, hourly ad costs'!AE16=0), ".", 'Predicted PPIs'!DH15*('Summary, hourly ad costs'!O16/'Summary, hourly ad costs'!AE16)/('Summary, hourly ad costs'!O15/'Summary, hourly ad costs'!AE15)/(1-CR15)), 'Summary, PPI''s'!AE16))</f>
        <v>89.742999999999995</v>
      </c>
      <c r="DI16" s="5">
        <f>IF(DI15=".", ".", IF('Summary, PPI''s'!AF16=".",IF(OR('Summary, hourly ad costs'!AF16=-9999,'Summary, hourly ad costs'!AF16=0), ".", 'Predicted PPIs'!DI15*('Summary, hourly ad costs'!P16/'Summary, hourly ad costs'!AF16)/('Summary, hourly ad costs'!P15/'Summary, hourly ad costs'!AF15)/(1-CS15)), 'Summary, PPI''s'!AF16))</f>
        <v>91.046000000000006</v>
      </c>
      <c r="DK16" s="4">
        <v>86.022999999999996</v>
      </c>
      <c r="DM16" s="5">
        <f t="shared" si="16"/>
        <v>-4.0488954468243521E-2</v>
      </c>
      <c r="DN16" s="5">
        <f t="shared" si="17"/>
        <v>-4.0488954468243521E-2</v>
      </c>
      <c r="DO16" s="5">
        <f t="shared" si="18"/>
        <v>-1.8855516552826912E-2</v>
      </c>
      <c r="DP16" s="5">
        <f t="shared" si="19"/>
        <v>-8.9242607037722799E-3</v>
      </c>
      <c r="DQ16" s="5">
        <f t="shared" si="20"/>
        <v>1.1715076724283735E-2</v>
      </c>
      <c r="DR16" s="5">
        <f t="shared" si="21"/>
        <v>-1.5666005962419516E-2</v>
      </c>
      <c r="DS16" s="5">
        <f t="shared" si="22"/>
        <v>-1.4949392153047469E-3</v>
      </c>
      <c r="DT16" s="5">
        <f t="shared" si="23"/>
        <v>-5.8443865376480164E-2</v>
      </c>
      <c r="DU16" s="5">
        <f t="shared" si="24"/>
        <v>-5.871439798600564E-2</v>
      </c>
      <c r="DV16" s="5">
        <f t="shared" si="25"/>
        <v>-0.10103238538518011</v>
      </c>
      <c r="DW16" s="5">
        <f t="shared" si="26"/>
        <v>2.1786004481118004E-2</v>
      </c>
      <c r="DX16" s="5">
        <f t="shared" si="27"/>
        <v>-0.14281638235709504</v>
      </c>
      <c r="DY16" s="5">
        <f t="shared" si="28"/>
        <v>-3.1234684149214709E-2</v>
      </c>
      <c r="DZ16" s="5">
        <f t="shared" si="29"/>
        <v>8.7414398061036458E-4</v>
      </c>
      <c r="EA16" s="5">
        <f t="shared" si="30"/>
        <v>-1.1142365353428607E-2</v>
      </c>
      <c r="EC16" s="1">
        <f t="shared" si="35"/>
        <v>100.44278474259802</v>
      </c>
      <c r="ED16" s="1">
        <f t="shared" si="36"/>
        <v>100.44278474259802</v>
      </c>
      <c r="EE16" s="1">
        <f t="shared" si="37"/>
        <v>95.812150802838886</v>
      </c>
      <c r="EF16" s="1">
        <f t="shared" si="38"/>
        <v>98.16812624275498</v>
      </c>
      <c r="EG16" s="1">
        <f t="shared" si="39"/>
        <v>90.58239630956794</v>
      </c>
      <c r="EH16" s="1">
        <f t="shared" si="40"/>
        <v>91.757323402633219</v>
      </c>
      <c r="EI16" s="1">
        <f t="shared" si="41"/>
        <v>92.113</v>
      </c>
      <c r="EJ16" s="1">
        <f t="shared" si="42"/>
        <v>108.67618489891083</v>
      </c>
      <c r="EK16" s="1">
        <f t="shared" si="43"/>
        <v>101.40705320178239</v>
      </c>
      <c r="EL16" s="1">
        <f t="shared" si="44"/>
        <v>74.999593302300752</v>
      </c>
      <c r="EM16" s="1">
        <f t="shared" si="45"/>
        <v>78.272675261055468</v>
      </c>
      <c r="EN16" s="1">
        <f t="shared" si="46"/>
        <v>331.72203440458884</v>
      </c>
      <c r="EO16" s="1">
        <f t="shared" si="47"/>
        <v>97.722037368825212</v>
      </c>
      <c r="EP16" s="1">
        <f t="shared" si="48"/>
        <v>89.742999999999995</v>
      </c>
      <c r="EQ16" s="1">
        <f t="shared" si="49"/>
        <v>91.046000000000006</v>
      </c>
      <c r="ES16" s="1">
        <f>IF(EF$26=".", 0, 'Summary, PPI''s'!E16)+IF(EG$26=".", 0, 'Summary, PPI''s'!F16)+IF(EH$26=".", 0, 'Summary, PPI''s'!G16)+IF(EI$26=".", 0, 'Summary, PPI''s'!H16)+IF(EJ$26=".", 0, 'Summary, PPI''s'!I16)+IF(EK$26=".", 0, 'Summary, PPI''s'!J16)+IF(EL$26=".", 0, 'Summary, PPI''s'!K16)+IF(EM$26=".", 0, 'Summary, PPI''s'!L16)+IF(EN$26=".", 0, 'Summary, PPI''s'!M16)+IF(EC$26=".", 0, 'Summary, PPI''s'!B16)+IF(ED$26=".", 0, 'Summary, PPI''s'!C16)+IF(EE$26=".", 0, 'Summary, PPI''s'!D16)+IF(EO$26=".", 0, 'Summary, PPI''s'!N16)+IF(EP$26=".", 0, 'Summary, PPI''s'!O16)+IF(EQ$26=".", 0, 'Summary, PPI''s'!P16)</f>
        <v>332775281.09534222</v>
      </c>
      <c r="ET16" s="1">
        <f>'Summary, hourly ad costs'!E16+'Summary, hourly ad costs'!F16+'Summary, hourly ad costs'!H16+'Summary, hourly ad costs'!I16+'Summary, hourly ad costs'!J16+'Summary, hourly ad costs'!K16+'Summary, hourly ad costs'!L16+'Summary, hourly ad costs'!M16+'Summary, hourly ad costs'!B16</f>
        <v>169866698.40635127</v>
      </c>
      <c r="EV16" s="13">
        <f>EV15*IF(EF$26=".", 1, (EF16/EF15)^(('Summary, PPI''s'!$E16+'Summary, PPI''s'!$E15)/('Predicted PPIs'!ES16+'Predicted PPIs'!ES15)))*IF(EG$26=".", 1, (EG16/EG15)^(('Summary, PPI''s'!$F16+'Summary, PPI''s'!$F15)/('Predicted PPIs'!ES16+'Predicted PPIs'!ES15)))*IF(EH$26=".", 1, (EH16/EH15)^(('Summary, PPI''s'!$G16+'Summary, PPI''s'!$G15)/('Predicted PPIs'!ES16+'Predicted PPIs'!ES15)))*IF(EI$26=".", 1, (EI16/EI15)^(('Summary, PPI''s'!$H16+'Summary, PPI''s'!$H15)/('Predicted PPIs'!ES16+'Predicted PPIs'!ES15)))*IF(EJ$26=".", 1, (EJ16/EJ15)^(('Summary, PPI''s'!$I16+'Summary, PPI''s'!$I15)/('Predicted PPIs'!ES16+'Predicted PPIs'!ES15)))*IF(EK$26=".", 1, (EK16/EK15)^(('Summary, PPI''s'!$J16+'Summary, PPI''s'!$J15)/('Predicted PPIs'!ES16+'Predicted PPIs'!ES15)))*IF(EL$26=".", 1, (EL16/EL15)^(('Summary, PPI''s'!$K16+'Summary, PPI''s'!$K15)/('Predicted PPIs'!ES16+'Predicted PPIs'!ES15)))*IF(EM$26=".", 1, (EM16/EM15)^(('Summary, PPI''s'!$L16+'Summary, PPI''s'!$L15)/('Predicted PPIs'!ES16+'Predicted PPIs'!ES15)))*IF(EN$26=".", 1, (EN16/EN15)^(('Summary, PPI''s'!$M16+'Summary, PPI''s'!$M15)/('Predicted PPIs'!ES16+'Predicted PPIs'!ES15)))*IF(EC$26=".", 1, (EC16/EC15)^(('Summary, PPI''s'!$B16+'Summary, PPI''s'!$B15)/('Predicted PPIs'!ES16+'Predicted PPIs'!ES15)))*IF(ED$26=".", 1, (ED16/ED15)^(('Summary, PPI''s'!$C16+'Summary, PPI''s'!$C15)/('Predicted PPIs'!ES16+'Predicted PPIs'!ES15)))*IF(EE$26=".", 1, (EE16/EE15)^(('Summary, PPI''s'!$D16+'Summary, PPI''s'!$D15)/('Predicted PPIs'!ES16+'Predicted PPIs'!ES15)))*IF(EO$26=".", 1, (EO16/EO15)^(('Summary, PPI''s'!$N16+'Summary, PPI''s'!$N15)/('Predicted PPIs'!ES16+'Predicted PPIs'!ES15)))*IF(EP$26=".", 1, (EP16/EP15)^(('Summary, PPI''s'!$O16+'Summary, PPI''s'!$O15)/('Predicted PPIs'!ES16+'Predicted PPIs'!ES15)))*IF(EQ$26=".", 1, (EQ16/EQ15)^(('Summary, PPI''s'!$P16+'Summary, PPI''s'!$P15)/('Predicted PPIs'!ES16+'Predicted PPIs'!ES15)))</f>
        <v>106.46754719526704</v>
      </c>
      <c r="EW16" s="13">
        <f>EW15*IF(EF$26=".", 1, (EF16/EF15)^(('Summary, PPI''s'!$E16+'Summary, PPI''s'!$E15)/('Predicted PPIs'!ET16+'Predicted PPIs'!ET15)))*IF(EG$26=".", 1, (EG16/EG15)^(('Summary, PPI''s'!$F16+'Summary, PPI''s'!$F15)/('Predicted PPIs'!ET16+'Predicted PPIs'!ET15)))*IF(EH$26=".", 1, (EH16/EH15)^(('Summary, PPI''s'!$G16+'Summary, PPI''s'!$G15)/('Predicted PPIs'!ET16+'Predicted PPIs'!ET15)))*IF(EK$26=".", 1, (EK16/EK15)^(('Summary, PPI''s'!$J16+'Summary, PPI''s'!$J15)/('Predicted PPIs'!ET16+'Predicted PPIs'!ET15)))*IF(EL$26=".", 1, (EL16/EL15)^(('Summary, PPI''s'!$K16+'Summary, PPI''s'!$K15)/('Predicted PPIs'!ET16+'Predicted PPIs'!ET15)))*IF(EM$26=".", 1, (EM16/EM15)^(('Summary, PPI''s'!$L16+'Summary, PPI''s'!$L15)/('Predicted PPIs'!ET16+'Predicted PPIs'!ET15)))*IF(EN$26=".", 1, (EN16/EN15)^(('Summary, PPI''s'!$M16+'Summary, PPI''s'!$M15)/('Predicted PPIs'!ET16+'Predicted PPIs'!ET15)))*IF(EC$26=".", 1, (EC16/EC15)^(('Summary, PPI''s'!$B16+'Summary, PPI''s'!$B15)/('Predicted PPIs'!ET16+'Predicted PPIs'!ET15)))</f>
        <v>120.68991178504952</v>
      </c>
      <c r="EY16" s="2"/>
    </row>
    <row r="17" spans="1:155" x14ac:dyDescent="0.3">
      <c r="A17" s="4">
        <v>2006</v>
      </c>
      <c r="B17" s="10">
        <f>IF(B16=".", ".", IF('Summary, PPI''s'!R17=".",IF(OR('Summary, hourly ad costs'!R17=-9999,'Summary, hourly ad costs'!R17=0), ".", 'Predicted PPIs'!B16*('Summary, hourly ad costs'!B17/'Summary, hourly ad costs'!R17)/('Summary, hourly ad costs'!B16/'Summary, hourly ad costs'!R16)), 'Summary, PPI''s'!R17))</f>
        <v>100.58148839690584</v>
      </c>
      <c r="C17" s="10">
        <f>IF(C16=".", ".", IF('Summary, PPI''s'!S17=".",IF(OR('Summary, hourly ad costs'!S17=-9999,'Summary, hourly ad costs'!S17=0), ".", 'Predicted PPIs'!C16*('Summary, hourly ad costs'!C17/'Summary, hourly ad costs'!S17)/('Summary, hourly ad costs'!C16/'Summary, hourly ad costs'!S16)), 'Summary, PPI''s'!S17))</f>
        <v>100.58148839690584</v>
      </c>
      <c r="D17" s="10">
        <f>IF(D16=".", ".", IF('Summary, PPI''s'!T17=".",IF(OR('Summary, hourly ad costs'!T17=-9999,'Summary, hourly ad costs'!T17=0), ".", 'Predicted PPIs'!D16*('Summary, hourly ad costs'!D17/'Summary, hourly ad costs'!T17)/('Summary, hourly ad costs'!D16/'Summary, hourly ad costs'!T16)), 'Summary, PPI''s'!T17))</f>
        <v>93.82896260129867</v>
      </c>
      <c r="E17" s="10">
        <f>IF(E16=".", ".", IF('Summary, PPI''s'!U17=".",IF(OR('Summary, hourly ad costs'!U17=-9999,'Summary, hourly ad costs'!U17=0), ".", 'Predicted PPIs'!E16*('Summary, hourly ad costs'!E17/'Summary, hourly ad costs'!U17)/('Summary, hourly ad costs'!E16/'Summary, hourly ad costs'!U16)), 'Summary, PPI''s'!U17))</f>
        <v>95.172822270169604</v>
      </c>
      <c r="F17" s="10">
        <f>IF(F16=".", ".", IF('Summary, PPI''s'!V17=".",IF(OR('Summary, hourly ad costs'!V17=-9999,'Summary, hourly ad costs'!V17=0), ".", 'Predicted PPIs'!F16*('Summary, hourly ad costs'!F17/'Summary, hourly ad costs'!V17)/('Summary, hourly ad costs'!F16/'Summary, hourly ad costs'!V16)), 'Summary, PPI''s'!V17))</f>
        <v>86.027019234729579</v>
      </c>
      <c r="G17" s="10">
        <f>IF(G16=".", ".", IF('Summary, PPI''s'!W17=".",IF(OR('Summary, hourly ad costs'!W17=-9999,'Summary, hourly ad costs'!W17=0), ".", 'Predicted PPIs'!G16*('Summary, hourly ad costs'!G17/'Summary, hourly ad costs'!W17)/('Summary, hourly ad costs'!G16/'Summary, hourly ad costs'!W16)), 'Summary, PPI''s'!W17))</f>
        <v>89.566900272703279</v>
      </c>
      <c r="H17" s="10">
        <f>IF(H16=".", ".", IF('Summary, PPI''s'!X17=".",IF(OR('Summary, hourly ad costs'!X17=-9999,'Summary, hourly ad costs'!X17=0), ".", 'Predicted PPIs'!H16*('Summary, hourly ad costs'!H17/'Summary, hourly ad costs'!X17)/('Summary, hourly ad costs'!H16/'Summary, hourly ad costs'!X16)), 'Summary, PPI''s'!X17))</f>
        <v>88.638000000000005</v>
      </c>
      <c r="I17" s="10">
        <f>IF(I16=".", ".", IF('Summary, PPI''s'!Y17=".",IF(OR('Summary, hourly ad costs'!Y17=-9999,'Summary, hourly ad costs'!Y17=0), ".", 'Predicted PPIs'!I16*('Summary, hourly ad costs'!I17/'Summary, hourly ad costs'!Y17)/('Summary, hourly ad costs'!I16/'Summary, hourly ad costs'!Y16)), 'Summary, PPI''s'!Y17))</f>
        <v>110.90150972669768</v>
      </c>
      <c r="J17" s="10">
        <f>IF(J16=".", ".", IF('Summary, PPI''s'!Z17=".",IF(OR('Summary, hourly ad costs'!Z17=-9999,'Summary, hourly ad costs'!Z17=0), ".", 'Predicted PPIs'!J16*('Summary, hourly ad costs'!J17/'Summary, hourly ad costs'!Z17)/('Summary, hourly ad costs'!J16/'Summary, hourly ad costs'!Z16)), 'Summary, PPI''s'!Z17))</f>
        <v>103.51327247237232</v>
      </c>
      <c r="K17" s="10">
        <f>IF(K16=".", ".", IF('Summary, PPI''s'!AA17=".",IF(OR('Summary, hourly ad costs'!AA17=-9999,'Summary, hourly ad costs'!AA17=0), ".", 'Predicted PPIs'!K16*('Summary, hourly ad costs'!K17/'Summary, hourly ad costs'!AA17)/('Summary, hourly ad costs'!K16/'Summary, hourly ad costs'!AA16)), 'Summary, PPI''s'!AA17))</f>
        <v>80.161189590326444</v>
      </c>
      <c r="L17" s="10">
        <f>IF(L16=".", ".", IF('Summary, PPI''s'!AB17=".",IF(OR('Summary, hourly ad costs'!AB17=-9999,'Summary, hourly ad costs'!AB17=0), ".", 'Predicted PPIs'!L16*('Summary, hourly ad costs'!L17/'Summary, hourly ad costs'!AB17)/('Summary, hourly ad costs'!L16/'Summary, hourly ad costs'!AB16)), 'Summary, PPI''s'!AB17))</f>
        <v>113.39174272033441</v>
      </c>
      <c r="M17" s="10">
        <f>IF(M16=".", ".", IF('Summary, PPI''s'!AC17=".",IF(OR('Summary, hourly ad costs'!AC17=-9999,'Summary, hourly ad costs'!AC17=0), ".", 'Predicted PPIs'!M16*('Summary, hourly ad costs'!M17/'Summary, hourly ad costs'!AC17)/('Summary, hourly ad costs'!M16/'Summary, hourly ad costs'!AC16)), 'Summary, PPI''s'!AC17))</f>
        <v>113.01872989503879</v>
      </c>
      <c r="N17" s="10">
        <f>IF(N16=".", ".", IF('Summary, PPI''s'!AD17=".",IF(OR('Summary, hourly ad costs'!AD17=-9999,'Summary, hourly ad costs'!AD17=0), ".", 'Predicted PPIs'!N16*('Summary, hourly ad costs'!N17/'Summary, hourly ad costs'!AD17)/('Summary, hourly ad costs'!N16/'Summary, hourly ad costs'!AD16)), 'Summary, PPI''s'!AD17))</f>
        <v>96.922190939339657</v>
      </c>
      <c r="O17" s="10">
        <f>IF(O16=".", ".", IF('Summary, PPI''s'!AE17=".",IF(OR('Summary, hourly ad costs'!AE17=-9999,'Summary, hourly ad costs'!AE17=0), ".", 'Predicted PPIs'!O16*('Summary, hourly ad costs'!O17/'Summary, hourly ad costs'!AE17)/('Summary, hourly ad costs'!O16/'Summary, hourly ad costs'!AE16)), 'Summary, PPI''s'!AE17))</f>
        <v>86.153000000000006</v>
      </c>
      <c r="P17" s="10">
        <f>IF(P16=".", ".", IF('Summary, PPI''s'!AF17=".",IF(OR('Summary, hourly ad costs'!AF17=-9999,'Summary, hourly ad costs'!AF17=0), ".", 'Predicted PPIs'!P16*('Summary, hourly ad costs'!P17/'Summary, hourly ad costs'!AF17)/('Summary, hourly ad costs'!P16/'Summary, hourly ad costs'!AF16)), 'Summary, PPI''s'!AF17))</f>
        <v>88.465999999999994</v>
      </c>
      <c r="R17" s="1">
        <f>IF(E$26=".", 0, 'Summary, PPI''s'!E17)+IF(F$26=".", 0, 'Summary, PPI''s'!F17)+IF(G$26=".", 0, 'Summary, PPI''s'!G17)+IF(H$26=".", 0, 'Summary, PPI''s'!H17)+IF(I$26=".", 0, 'Summary, PPI''s'!I17)+IF(J$26=".", 0, 'Summary, PPI''s'!J17)+IF(K$26=".", 0, 'Summary, PPI''s'!K17)+IF(L$26=".", 0, 'Summary, PPI''s'!L17)+IF(M$26=".", 0, 'Summary, PPI''s'!M17)+IF(B$26=".", 0, 'Summary, PPI''s'!B17)+IF(C$26=".", 0, 'Summary, PPI''s'!C17)+IF(D$26=".", 0, 'Summary, PPI''s'!D17)+IF(N$26=".", 0, 'Summary, PPI''s'!N17)+IF(O$26=".", 0, 'Summary, PPI''s'!O17)+IF(P$26=".", 0, 'Summary, PPI''s'!P17)</f>
        <v>316982907.31986237</v>
      </c>
      <c r="S17" s="1">
        <f>IF(E$36=".", 0, 'Summary, PPI''s'!E17)+IF(F$36=".", 0, 'Summary, PPI''s'!F17)+IF(G$36=".", 0, 'Summary, PPI''s'!G17)+IF(H$36=".", 0, 'Summary, PPI''s'!H17)+IF(I$36=".", 0, 'Summary, PPI''s'!I17)+IF(J$36=".", 0, 'Summary, PPI''s'!J17)+IF(K$36=".", 0, 'Summary, PPI''s'!K17)+IF(L$36=".", 0, 'Summary, PPI''s'!L17)+IF(M$36=".", 0, 'Summary, PPI''s'!M17)+IF(B$36=".", 0, 'Summary, PPI''s'!B17)+IF(C$36=".", 0, 'Summary, PPI''s'!C17)+IF(D$36=".", 0, 'Summary, PPI''s'!D17)+IF(N$36=".", 0, 'Summary, PPI''s'!N17)+IF(O$36=".", 0, 'Summary, PPI''s'!O17)+IF(P$36=".", 0, 'Summary, PPI''s'!P17)</f>
        <v>301262389.24819636</v>
      </c>
      <c r="T17" s="1">
        <f>IF(E$46=".", 0, 'Summary, PPI''s'!E17)+IF(F$46=".", 0, 'Summary, PPI''s'!F17)+IF(G$46=".", 0, 'Summary, PPI''s'!G17)+IF(H$46=".", 0, 'Summary, PPI''s'!H17)+IF(I$46=".", 0, 'Summary, PPI''s'!I17)+IF(J$46=".", 0, 'Summary, PPI''s'!J17)+IF(K$46=".", 0, 'Summary, PPI''s'!K17)+IF(L$46=".", 0, 'Summary, PPI''s'!L17)+IF(M$46=".", 0, 'Summary, PPI''s'!M17)+IF(B$46=".", 0, 'Summary, PPI''s'!B17)+IF(C$46=".", 0, 'Summary, PPI''s'!C17)+IF(D$46=".", 0, 'Summary, PPI''s'!D17)+IF(N$46=".", 0, 'Summary, PPI''s'!N17)+IF(O$46=".", 0, 'Summary, PPI''s'!O17)+IF(P$46=".", 0, 'Summary, PPI''s'!P17)</f>
        <v>195320187.60052314</v>
      </c>
      <c r="U17" s="1">
        <f>IF(E$60=".", 0, 'Summary, PPI''s'!E17)+IF(F$60=".", 0, 'Summary, PPI''s'!F17)+IF(G$60=".", 0, 'Summary, PPI''s'!G17)+IF(H$60=".", 0, 'Summary, PPI''s'!H17)+IF(I$60=".", 0, 'Summary, PPI''s'!I17)+IF(J$60=".", 0, 'Summary, PPI''s'!J17)+IF(K$60=".", 0, 'Summary, PPI''s'!K17)+IF(L$60=".", 0, 'Summary, PPI''s'!L17)+IF(M$60=".", 0, 'Summary, PPI''s'!M17)+IF(B$60=".", 0, 'Summary, PPI''s'!B17)+IF(C$60=".", 0, 'Summary, PPI''s'!C17)+IF(D$60=".", 0, 'Summary, PPI''s'!D17)+IF(N$60=".", 0, 'Summary, PPI''s'!N17)+IF(O$60=".", 0, 'Summary, PPI''s'!O17)+IF(P$60=".", 0, 'Summary, PPI''s'!P17)</f>
        <v>148018637.74094981</v>
      </c>
      <c r="V17" s="1">
        <f>IF(E$73=".", 0, 'Summary, PPI''s'!E17)+IF(F$73=".", 0, 'Summary, PPI''s'!F17)+IF(G$73=".", 0, 'Summary, PPI''s'!G17)+IF(H$73=".", 0, 'Summary, PPI''s'!H17)+IF(I$73=".", 0, 'Summary, PPI''s'!I17)+IF(J$73=".", 0, 'Summary, PPI''s'!J17)+IF(K$73=".", 0, 'Summary, PPI''s'!K17)+IF(L$73=".", 0, 'Summary, PPI''s'!L17)+IF(M$73=".", 0, 'Summary, PPI''s'!M17)+IF(B$73=".", 0, 'Summary, PPI''s'!B17)+IF(C$73=".", 0, 'Summary, PPI''s'!C17)+IF(D$73=".", 0, 'Summary, PPI''s'!D17)+IF(N$73=".", 0, 'Summary, PPI''s'!N17)+IF(O$73=".", 0, 'Summary, PPI''s'!O17)+IF(P$73=".", 0, 'Summary, PPI''s'!P17)</f>
        <v>120042450.60914233</v>
      </c>
      <c r="W17" s="1">
        <f>IF(E$94=".",0,'Summary, PPI''s'!E17)+IF(F$94=".",0,'Summary, PPI''s'!F17)+IF(G$94=".",0,'Summary, PPI''s'!G17)+IF(H$94=".",0,'Summary, PPI''s'!H17)+IF(I$94=".",0,'Summary, PPI''s'!I17)+IF(J$94=".",0,'Summary, PPI''s'!J17)+IF(K$94=".",0,'Summary, PPI''s'!K17)+IF(L$94=".",0,'Summary, PPI''s'!L17)+IF(M$94=".",0,'Summary, PPI''s'!M17)+IF(B$94=".",0,'Summary, PPI''s'!B17)+IF(C$94=".",0,'Summary, PPI''s'!C17)+IF(D$94=".",0,'Summary, PPI''s'!D17)+IF(N$94=".",0,'Summary, PPI''s'!N17)+IF(O$94=".",0,'Summary, PPI''s'!O17)+IF(P$94=".",0,'Summary, PPI''s'!P17)</f>
        <v>88568470.435896084</v>
      </c>
      <c r="X17" s="1">
        <f>IF(E$123=".", 0, 'Summary, PPI''s'!E17)+IF(F$123=".", 0, 'Summary, PPI''s'!F17)+IF(G$123=".", 0, 'Summary, PPI''s'!G17)+IF(H$123=".", 0, 'Summary, PPI''s'!H17)+IF(I$123=".", 0, 'Summary, PPI''s'!I17)+IF(J$123=".", 0, 'Summary, PPI''s'!J17)+IF(K$123=".", 0, 'Summary, PPI''s'!K17)+IF(L$123=".", 0, 'Summary, PPI''s'!L17)+IF(M$123=".", 0, 'Summary, PPI''s'!M17)+IF(B$123=".", 0, 'Summary, PPI''s'!B17)+IF(C$123=".", 0, 'Summary, PPI''s'!C17)+IF(D$123=".", 0, 'Summary, PPI''s'!D17)+IF(N$123=".", 0, 'Summary, PPI''s'!N17)+IF(O$123=".", 0, 'Summary, PPI''s'!O17)+IF(P$123=".", 0, 'Summary, PPI''s'!P17)</f>
        <v>72460319.205245629</v>
      </c>
      <c r="Z17" s="4">
        <f>Z16*IF(E$26=".", 1, (E17/E16)^(('Summary, PPI''s'!$E17+'Summary, PPI''s'!$E16)/('Predicted PPIs'!R17+'Predicted PPIs'!R16)))*IF(F$26=".", 1, (F17/F16)^(('Summary, PPI''s'!$F17+'Summary, PPI''s'!$F16)/('Predicted PPIs'!R17+'Predicted PPIs'!R16)))*IF(G$26=".", 1, (G17/G16)^(('Summary, PPI''s'!$G17+'Summary, PPI''s'!$G16)/('Predicted PPIs'!R17+'Predicted PPIs'!R16)))*IF(H$26=".", 1, (H17/H16)^(('Summary, PPI''s'!$H17+'Summary, PPI''s'!$H16)/('Predicted PPIs'!R17+'Predicted PPIs'!R16)))*IF(I$26=".", 1, (I17/I16)^(('Summary, PPI''s'!$I17+'Summary, PPI''s'!$I16)/('Predicted PPIs'!R17+'Predicted PPIs'!R16)))*IF(J$26=".", 1, (J17/J16)^(('Summary, PPI''s'!$J17+'Summary, PPI''s'!$J16)/('Predicted PPIs'!R17+'Predicted PPIs'!R16)))*IF(K$26=".", 1, (K17/K16)^(('Summary, PPI''s'!$K17+'Summary, PPI''s'!$K16)/('Predicted PPIs'!R17+'Predicted PPIs'!R16)))*IF(L$26=".", 1, (L17/L16)^(('Summary, PPI''s'!$L17+'Summary, PPI''s'!$L16)/('Predicted PPIs'!R17+'Predicted PPIs'!R16)))*IF(M$26=".", 1, (M17/M16)^(('Summary, PPI''s'!$M17+'Summary, PPI''s'!$M16)/('Predicted PPIs'!R17+'Predicted PPIs'!R16)))*IF(B$26=".", 1, (B17/B16)^(('Summary, PPI''s'!$B17+'Summary, PPI''s'!$B16)/('Predicted PPIs'!R17+'Predicted PPIs'!R16)))*IF(C$26=".", 1, (C17/C16)^(('Summary, PPI''s'!$C17+'Summary, PPI''s'!$C16)/('Predicted PPIs'!R17+'Predicted PPIs'!R16)))*IF(D$26=".", 1, (D17/D16)^(('Summary, PPI''s'!$D17+'Summary, PPI''s'!$D16)/('Predicted PPIs'!R17+'Predicted PPIs'!R16)))*IF(N$26=".", 1, (N17/N16)^(('Summary, PPI''s'!$N17+'Summary, PPI''s'!$N16)/('Predicted PPIs'!R17+'Predicted PPIs'!R16)))*IF(O$26=".", 1, (O17/O16)^(('Summary, PPI''s'!$O17+'Summary, PPI''s'!$O16)/('Predicted PPIs'!R17+'Predicted PPIs'!R16)))*IF(P$26=".", 1, (P17/P16)^(('Summary, PPI''s'!$P17+'Summary, PPI''s'!$P16)/('Predicted PPIs'!R17+'Predicted PPIs'!R16)))</f>
        <v>103.66584175898294</v>
      </c>
      <c r="AA17" s="4">
        <f>AA16*IF(E$36=".", 1, (E17/E16)^(('Summary, PPI''s'!$E17+'Summary, PPI''s'!$E16)/('Predicted PPIs'!S17+'Predicted PPIs'!S16)))*IF(F$36=".", 1, (F17/F16)^(('Summary, PPI''s'!$F17+'Summary, PPI''s'!$F16)/('Predicted PPIs'!S17+'Predicted PPIs'!S16)))*IF(G$36=".", 1, (G17/G16)^(('Summary, PPI''s'!$G17+'Summary, PPI''s'!$G16)/('Predicted PPIs'!S17+'Predicted PPIs'!S16)))*IF(H$36=".", 1, (H17/H16)^(('Summary, PPI''s'!$H17+'Summary, PPI''s'!$H16)/('Predicted PPIs'!S17+'Predicted PPIs'!S16)))*IF(I$36=".", 1, (I17/I16)^(('Summary, PPI''s'!$I17+'Summary, PPI''s'!$I16)/('Predicted PPIs'!S17+'Predicted PPIs'!S16)))*IF(J$36=".", 1, (J17/J16)^(('Summary, PPI''s'!$J17+'Summary, PPI''s'!$J16)/('Predicted PPIs'!S17+'Predicted PPIs'!S16)))*IF(K$36=".", 1, (K17/K16)^(('Summary, PPI''s'!$K17+'Summary, PPI''s'!$K16)/('Predicted PPIs'!S17+'Predicted PPIs'!S16)))*IF(L$36=".", 1, (L17/L16)^(('Summary, PPI''s'!$L17+'Summary, PPI''s'!$L16)/('Predicted PPIs'!S17+'Predicted PPIs'!S16)))*IF(M$36=".", 1, (M17/M16)^(('Summary, PPI''s'!$M17+'Summary, PPI''s'!$M16)/('Predicted PPIs'!S17+'Predicted PPIs'!S16)))*IF(B$36=".", 1, (B17/B16)^(('Summary, PPI''s'!$B17+'Summary, PPI''s'!$B16)/('Predicted PPIs'!S17+'Predicted PPIs'!S16)))*IF(C$36=".", 1, (C17/C16)^(('Summary, PPI''s'!$C17+'Summary, PPI''s'!$C16)/('Predicted PPIs'!S17+'Predicted PPIs'!S16)))*IF(D$36=".", 1, (D17/D16)^(('Summary, PPI''s'!$D17+'Summary, PPI''s'!$D16)/('Predicted PPIs'!S17+'Predicted PPIs'!S16)))*IF(N$36=".", 1, (N17/N16)^(('Summary, PPI''s'!$N17+'Summary, PPI''s'!$N16)/('Predicted PPIs'!S17+'Predicted PPIs'!S16)))*IF(O$36=".", 1, (O17/O16)^(('Summary, PPI''s'!$O17+'Summary, PPI''s'!$O16)/('Predicted PPIs'!S17+'Predicted PPIs'!S16)))*IF(P$36=".", 1, (P17/P16)^(('Summary, PPI''s'!$P17+'Summary, PPI''s'!$P16)/('Predicted PPIs'!S17+'Predicted PPIs'!S16)))</f>
        <v>91.559102151424725</v>
      </c>
      <c r="AB17" s="4">
        <f>AB16*IF(E$46=".", 1, (E17/E16)^(('Summary, PPI''s'!$E17+'Summary, PPI''s'!$E16)/('Predicted PPIs'!T17+'Predicted PPIs'!T16)))*IF(F$46=".", 1, (F17/F16)^(('Summary, PPI''s'!$F17+'Summary, PPI''s'!$F16)/('Predicted PPIs'!T17+'Predicted PPIs'!T16)))*IF(G$46=".", 1, (G17/G16)^(('Summary, PPI''s'!$G17+'Summary, PPI''s'!$G16)/('Predicted PPIs'!T17+'Predicted PPIs'!T16)))*IF(H$46=".", 1, (H17/H16)^(('Summary, PPI''s'!$H17+'Summary, PPI''s'!$H16)/('Predicted PPIs'!T17+'Predicted PPIs'!T16)))*IF(I$46=".", 1, (I17/I16)^(('Summary, PPI''s'!$I17+'Summary, PPI''s'!$I16)/('Predicted PPIs'!T17+'Predicted PPIs'!T16)))*IF(J$46=".", 1, (J17/J16)^(('Summary, PPI''s'!$J17+'Summary, PPI''s'!$J16)/('Predicted PPIs'!T17+'Predicted PPIs'!T16)))*IF(K$46=".", 1, (K17/K16)^(('Summary, PPI''s'!$K17+'Summary, PPI''s'!$K16)/('Predicted PPIs'!T17+'Predicted PPIs'!T16)))*IF(L$46=".", 1, (L17/L16)^(('Summary, PPI''s'!$L17+'Summary, PPI''s'!$L16)/('Predicted PPIs'!T17+'Predicted PPIs'!T16)))*IF(M$46=".", 1, (M17/M16)^(('Summary, PPI''s'!$M17+'Summary, PPI''s'!$M16)/('Predicted PPIs'!T17+'Predicted PPIs'!T16)))*IF(B$46=".", 1, (B17/B16)^(('Summary, PPI''s'!$B17+'Summary, PPI''s'!$B16)/('Predicted PPIs'!T17+'Predicted PPIs'!T16)))*IF(C$46=".", 1, (C17/C16)^(('Summary, PPI''s'!$C17+'Summary, PPI''s'!$C16)/('Predicted PPIs'!T17+'Predicted PPIs'!T16)))*IF(D$46=".", 1, (D17/D16)^(('Summary, PPI''s'!$D17+'Summary, PPI''s'!$D16)/('Predicted PPIs'!T17+'Predicted PPIs'!T16)))*IF(N$46=".", 1, (N17/N16)^(('Summary, PPI''s'!$N17+'Summary, PPI''s'!$N16)/('Predicted PPIs'!T17+'Predicted PPIs'!T16)))*IF(O$46=".", 1, (O17/O16)^(('Summary, PPI''s'!$O17+'Summary, PPI''s'!$O16)/('Predicted PPIs'!T17+'Predicted PPIs'!T16)))*IF(P$46=".", 1, (P17/P16)^(('Summary, PPI''s'!$P17+'Summary, PPI''s'!$P16)/('Predicted PPIs'!T17+'Predicted PPIs'!T16)))</f>
        <v>92.373277707008157</v>
      </c>
      <c r="AC17" s="4">
        <f>AC16*IF(E$60=".",1,(E17/E16)^(('Summary, PPI''s'!$E17+'Summary, PPI''s'!$E16)/('Predicted PPIs'!U17+'Predicted PPIs'!U16)))*IF(F$60=".",1,(F17/F16)^(('Summary, PPI''s'!$F17+'Summary, PPI''s'!$F16)/('Predicted PPIs'!U17+'Predicted PPIs'!U16)))*IF(G$60=".",1,(G17/G16)^(('Summary, PPI''s'!$G17+'Summary, PPI''s'!$G16)/('Predicted PPIs'!U17+'Predicted PPIs'!U16)))*IF(H$60=".",1,(H17/H16)^(('Summary, PPI''s'!$H17+'Summary, PPI''s'!$H16)/('Predicted PPIs'!U17+'Predicted PPIs'!U16)))*IF(I$60=".",1,(I17/I16)^(('Summary, PPI''s'!$I17+'Summary, PPI''s'!$I16)/('Predicted PPIs'!U17+'Predicted PPIs'!U16)))*IF(J$60=".",1,(J17/J16)^(('Summary, PPI''s'!$J17+'Summary, PPI''s'!$J16)/('Predicted PPIs'!U17+'Predicted PPIs'!U16)))*IF(K$60=".",1,(K17/K16)^(('Summary, PPI''s'!$K17+'Summary, PPI''s'!$K16)/('Predicted PPIs'!U17+'Predicted PPIs'!U16)))*IF(L$60=".",1,(L17/L16)^(('Summary, PPI''s'!$L17+'Summary, PPI''s'!$L16)/('Predicted PPIs'!U17+'Predicted PPIs'!U16)))*IF(M$60=".",1,(M17/M16)^(('Summary, PPI''s'!$M17+'Summary, PPI''s'!$M16)/('Predicted PPIs'!U17+'Predicted PPIs'!U16)))*IF(B$60=".",1,(B17/B16)^(('Summary, PPI''s'!$B17+'Summary, PPI''s'!$B16)/('Predicted PPIs'!U17+'Predicted PPIs'!U16)))*IF(C$60=".",1,(C17/C16)^(('Summary, PPI''s'!$C17+'Summary, PPI''s'!$C16)/('Predicted PPIs'!U17+'Predicted PPIs'!U16)))*IF(D$60=".",1,(D17/D16)^(('Summary, PPI''s'!$D17+'Summary, PPI''s'!$D16)/('Predicted PPIs'!U17+'Predicted PPIs'!U16)))*IF(N$60=".",1,(N17/N16)^(('Summary, PPI''s'!$N17+'Summary, PPI''s'!$N16)/('Predicted PPIs'!U17+'Predicted PPIs'!U16)))*IF(O$60=".",1,(O17/O16)^(('Summary, PPI''s'!$O17+'Summary, PPI''s'!$O16)/('Predicted PPIs'!U17+'Predicted PPIs'!U16)))*IF(P$60=".",1,(P17/P16)^(('Summary, PPI''s'!$P17+'Summary, PPI''s'!$P16)/('Predicted PPIs'!U17+'Predicted PPIs'!U16)))</f>
        <v>101.1247561933596</v>
      </c>
      <c r="AD17" s="4">
        <f>AD16*IF(E$73=".", 1, (E17/E16)^(('Summary, PPI''s'!$E17+'Summary, PPI''s'!$E16)/('Predicted PPIs'!V17+'Predicted PPIs'!V16)))*IF(F$73=".", 1, (F17/F16)^(('Summary, PPI''s'!$F17+'Summary, PPI''s'!$F16)/('Predicted PPIs'!V17+'Predicted PPIs'!V16)))*IF(G$73=".", 1, (G17/G16)^(('Summary, PPI''s'!$G17+'Summary, PPI''s'!$G16)/('Predicted PPIs'!V17+'Predicted PPIs'!V16)))*IF(H$73=".", 1, (H17/H16)^(('Summary, PPI''s'!$H17+'Summary, PPI''s'!$H16)/('Predicted PPIs'!V17+'Predicted PPIs'!V16)))*IF(I$73=".", 1, (I17/I16)^(('Summary, PPI''s'!$I17+'Summary, PPI''s'!$I16)/('Predicted PPIs'!V17+'Predicted PPIs'!V16)))*IF(J$73=".", 1, (J17/J16)^(('Summary, PPI''s'!$J17+'Summary, PPI''s'!$J16)/('Predicted PPIs'!V17+'Predicted PPIs'!V16)))*IF(K$73=".", 1, (K17/K16)^(('Summary, PPI''s'!$K17+'Summary, PPI''s'!$K16)/('Predicted PPIs'!V17+'Predicted PPIs'!V16)))*IF(L$73=".", 1, (L17/L16)^(('Summary, PPI''s'!$L17+'Summary, PPI''s'!$L16)/('Predicted PPIs'!V17+'Predicted PPIs'!V16)))*IF(M$73=".", 1, (M17/M16)^(('Summary, PPI''s'!$M17+'Summary, PPI''s'!$M16)/('Predicted PPIs'!V17+'Predicted PPIs'!V16)))*IF(B$73=".", 1, (B17/B16)^(('Summary, PPI''s'!$B17+'Summary, PPI''s'!$B16)/('Predicted PPIs'!V17+'Predicted PPIs'!V16)))*IF(C$73=".", 1, (C17/C16)^(('Summary, PPI''s'!$C17+'Summary, PPI''s'!$C16)/('Predicted PPIs'!V17+'Predicted PPIs'!V16)))*IF(D$73=".", 1, (D17/D16)^(('Summary, PPI''s'!$D17+'Summary, PPI''s'!$D16)/('Predicted PPIs'!V17+'Predicted PPIs'!V16)))*IF(N$73=".", 1, (N17/N16)^(('Summary, PPI''s'!$N17+'Summary, PPI''s'!$N16)/('Predicted PPIs'!V17+'Predicted PPIs'!V16)))*IF(O$73=".", 1, (O17/O16)^(('Summary, PPI''s'!$O17+'Summary, PPI''s'!$O16)/('Predicted PPIs'!V17+'Predicted PPIs'!V16)))*IF(P$73=".", 1, (P17/P16)^(('Summary, PPI''s'!$P17+'Summary, PPI''s'!$P16)/('Predicted PPIs'!V17+'Predicted PPIs'!V16)))</f>
        <v>102.53118659358952</v>
      </c>
      <c r="AE17" s="4">
        <f>AE16*IF(E$94=".", 1, (E17/E16)^(('Summary, PPI''s'!$E17+'Summary, PPI''s'!$E16)/('Predicted PPIs'!W17+'Predicted PPIs'!W16)))*IF(F$94=".", 1, (F17/F16)^(('Summary, PPI''s'!$F17+'Summary, PPI''s'!$F16)/('Predicted PPIs'!W17+'Predicted PPIs'!W16)))*IF(G$94=".", 1, (G17/G16)^(('Summary, PPI''s'!$G17+'Summary, PPI''s'!$G16)/('Predicted PPIs'!W17+'Predicted PPIs'!W16)))*IF(H$94=".", 1, (H17/H16)^(('Summary, PPI''s'!$H17+'Summary, PPI''s'!$H16)/('Predicted PPIs'!W17+'Predicted PPIs'!W16)))*IF(I$94=".", 1, (I17/I16)^(('Summary, PPI''s'!$I17+'Summary, PPI''s'!$I16)/('Predicted PPIs'!W17+'Predicted PPIs'!W16)))*IF(J$94=".", 1, (J17/J16)^(('Summary, PPI''s'!$J17+'Summary, PPI''s'!$J16)/('Predicted PPIs'!W17+'Predicted PPIs'!W16)))*IF(K$94=".", 1, (K17/K16)^(('Summary, PPI''s'!$K17+'Summary, PPI''s'!$K16)/('Predicted PPIs'!W17+'Predicted PPIs'!W16)))*IF(L$94=".", 1, (L17/L16)^(('Summary, PPI''s'!$L17+'Summary, PPI''s'!$L16)/('Predicted PPIs'!W17+'Predicted PPIs'!W16)))*IF(M$94=".", 1, (M17/M16)^(('Summary, PPI''s'!$M17+'Summary, PPI''s'!$M16)/('Predicted PPIs'!W17+'Predicted PPIs'!W16)))*IF(B$94=".", 1, (B17/B16)^(('Summary, PPI''s'!$B17+'Summary, PPI''s'!$B16)/('Predicted PPIs'!W17+'Predicted PPIs'!W16)))*IF(C$94=".", 1, (C17/C16)^(('Summary, PPI''s'!$C17+'Summary, PPI''s'!$C16)/('Predicted PPIs'!W17+'Predicted PPIs'!W16)))*IF(D$94=".", 1, (D17/D16)^(('Summary, PPI''s'!$D17+'Summary, PPI''s'!$D16)/('Predicted PPIs'!W17+'Predicted PPIs'!W16)))*IF(N$94=".", 1, (N17/N16)^(('Summary, PPI''s'!$N17+'Summary, PPI''s'!$N16)/('Predicted PPIs'!W17+'Predicted PPIs'!W16)))*IF(O$94=".", 1, (O17/O16)^(('Summary, PPI''s'!$O17+'Summary, PPI''s'!$O16)/('Predicted PPIs'!W17+'Predicted PPIs'!W16)))*IF(P$94=".", 1, (P17/P16)^(('Summary, PPI''s'!$P17+'Summary, PPI''s'!$P16)/('Predicted PPIs'!W17+'Predicted PPIs'!W16)))</f>
        <v>97.273957642509544</v>
      </c>
      <c r="AF17" s="4">
        <f>AF16*IF(E$123=".", 1, (E17/E16)^(('Summary, PPI''s'!$E17+'Summary, PPI''s'!$E16)/('Predicted PPIs'!X17+'Predicted PPIs'!X16)))*IF(F$123=".", 1, (F17/F16)^(('Summary, PPI''s'!$F17+'Summary, PPI''s'!$F16)/('Predicted PPIs'!X17+'Predicted PPIs'!X16)))*IF(G$123=".", 1, (G17/G16)^(('Summary, PPI''s'!$G17+'Summary, PPI''s'!$G16)/('Predicted PPIs'!X17+'Predicted PPIs'!X16)))*IF(H$123=".", 1, (H17/H16)^(('Summary, PPI''s'!$H17+'Summary, PPI''s'!$H16)/('Predicted PPIs'!X17+'Predicted PPIs'!X16)))*IF(I$123=".", 1, (I17/I16)^(('Summary, PPI''s'!$I17+'Summary, PPI''s'!$I16)/('Predicted PPIs'!X17+'Predicted PPIs'!X16)))*IF(J$123=".", 1, (J17/J16)^(('Summary, PPI''s'!$J17+'Summary, PPI''s'!$J16)/('Predicted PPIs'!X17+'Predicted PPIs'!X16)))*IF(K$123=".", 1, (K17/K16)^(('Summary, PPI''s'!$K17+'Summary, PPI''s'!$K16)/('Predicted PPIs'!X17+'Predicted PPIs'!X16)))*IF(L$123=".", 1, (L17/L16)^(('Summary, PPI''s'!$L17+'Summary, PPI''s'!$L16)/('Predicted PPIs'!X17+'Predicted PPIs'!X16)))*IF(M$123=".", 1, (M17/M16)^(('Summary, PPI''s'!$M17+'Summary, PPI''s'!$M16)/('Predicted PPIs'!X17+'Predicted PPIs'!X16)))*IF(B$123=".", 1, (B17/B16)^(('Summary, PPI''s'!$B17+'Summary, PPI''s'!$B16)/('Predicted PPIs'!X17+'Predicted PPIs'!X16)))*IF(C$123=".", 1, (C17/C16)^(('Summary, PPI''s'!$C17+'Summary, PPI''s'!$C16)/('Predicted PPIs'!X17+'Predicted PPIs'!X16)))*IF(D$123=".", 1, (D17/D16)^(('Summary, PPI''s'!$D17+'Summary, PPI''s'!$D16)/('Predicted PPIs'!X17+'Predicted PPIs'!X16)))*IF(N$123=".", 1, (N17/N16)^(('Summary, PPI''s'!$N17+'Summary, PPI''s'!$N16)/('Predicted PPIs'!X17+'Predicted PPIs'!X16)))*IF(O$123=".", 1, (O17/O16)^(('Summary, PPI''s'!$O17+'Summary, PPI''s'!$O16)/('Predicted PPIs'!X17+'Predicted PPIs'!X16)))*IF(P$123=".", 1, (P17/P16)^(('Summary, PPI''s'!$P17+'Summary, PPI''s'!$P16)/('Predicted PPIs'!X17+'Predicted PPIs'!X16)))</f>
        <v>91.328868521641795</v>
      </c>
      <c r="AH17" s="13">
        <f t="shared" si="32"/>
        <v>103.66584175898295</v>
      </c>
      <c r="AJ17" s="4">
        <v>9277.2000000000007</v>
      </c>
      <c r="AK17" s="4">
        <v>-0.46500000000000002</v>
      </c>
      <c r="AL17" s="4">
        <v>-1089.174</v>
      </c>
      <c r="AM17" s="4">
        <v>-17.713999999999999</v>
      </c>
      <c r="AN17" s="4">
        <v>10124.4</v>
      </c>
      <c r="AO17" s="4">
        <v>2608.9</v>
      </c>
      <c r="AP17" s="4">
        <f>1352.715+0.004+0.246+14.803-1441.075</f>
        <v>-73.307000000000016</v>
      </c>
      <c r="AQ17" s="4">
        <f>905.115+17.087+11.678+41.063-1370.111</f>
        <v>-395.16800000000012</v>
      </c>
      <c r="AR17" s="4">
        <v>-39.274999999999999</v>
      </c>
      <c r="AS17" s="4">
        <v>-71.197000000000003</v>
      </c>
      <c r="AT17" s="4">
        <v>89.322000000000003</v>
      </c>
      <c r="AU17" s="4">
        <v>74.775999999999996</v>
      </c>
      <c r="AV17" s="4">
        <v>89.947999999999993</v>
      </c>
      <c r="AW17" s="4">
        <v>89.146000000000001</v>
      </c>
      <c r="AX17" s="4">
        <v>86.903999999999996</v>
      </c>
      <c r="AY17" s="4">
        <v>97.957999999999998</v>
      </c>
      <c r="AZ17" s="4">
        <v>84.748999999999995</v>
      </c>
      <c r="BA17" s="4">
        <v>87.831999999999994</v>
      </c>
      <c r="BB17" s="4">
        <v>99.405000000000001</v>
      </c>
      <c r="BC17" s="4">
        <v>99.168999999999997</v>
      </c>
      <c r="BG17" s="4">
        <f t="shared" si="50"/>
        <v>97.784846987552655</v>
      </c>
      <c r="BI17" s="4">
        <f>BI$13*'[2]Ordinary Experience'!$D$409/'[2]Ordinary Experience'!$D$413</f>
        <v>297767634.68904108</v>
      </c>
      <c r="BJ17" s="4">
        <f>'[2]Ordinary Experience'!$E$409</f>
        <v>20.539063820366088</v>
      </c>
      <c r="BL17" s="4">
        <f t="shared" si="0"/>
        <v>104.2740208105859</v>
      </c>
      <c r="BM17" s="4">
        <f t="shared" si="34"/>
        <v>8.3286921392695668E-3</v>
      </c>
      <c r="BO17" s="4">
        <f>IF(OR('Summary, hourly ad costs'!R17=-9999,'Summary, PPI''s'!R17="."),".",(('Summary, hourly ad costs'!B17/'Summary, hourly ad costs'!R17)*100/('Summary, hourly ad costs'!B$11/'Summary, hourly ad costs'!R$11))/('Summary, PPI''s'!R17))</f>
        <v>1.1446383506631124</v>
      </c>
      <c r="BP17" s="4" t="str">
        <f>IF(OR('Summary, hourly ad costs'!S17=-9999,'Summary, PPI''s'!S17="."),".",(('Summary, hourly ad costs'!C17/'Summary, hourly ad costs'!S17)*100/('Summary, hourly ad costs'!C$11/'Summary, hourly ad costs'!S$11))/('Summary, PPI''s'!S17))</f>
        <v>.</v>
      </c>
      <c r="BQ17" s="4" t="str">
        <f>IF(OR('Summary, hourly ad costs'!T17=-9999,'Summary, PPI''s'!T17="."),".",(('Summary, hourly ad costs'!D17/'Summary, hourly ad costs'!T17)*100/('Summary, hourly ad costs'!D$11/'Summary, hourly ad costs'!T$11))/('Summary, PPI''s'!T17))</f>
        <v>.</v>
      </c>
      <c r="BR17" s="4">
        <f>IF(OR('Summary, hourly ad costs'!U17=-9999,'Summary, PPI''s'!U17="."),".",(('Summary, hourly ad costs'!E17/'Summary, hourly ad costs'!U17)*100/('Summary, hourly ad costs'!E$11/'Summary, hourly ad costs'!U$11))/('Summary, PPI''s'!U17))</f>
        <v>1.855633367754624</v>
      </c>
      <c r="BS17" s="4">
        <f>IF(OR('Summary, hourly ad costs'!V17=-9999,'Summary, PPI''s'!V17="."),".",(('Summary, hourly ad costs'!F17/'Summary, hourly ad costs'!V17)*100/('Summary, hourly ad costs'!F$11/'Summary, hourly ad costs'!V$11))/('Summary, PPI''s'!V17))</f>
        <v>1.7449522664809682</v>
      </c>
      <c r="BT17" s="4" t="str">
        <f>IF(OR('Summary, hourly ad costs'!W17=-9999,'Summary, PPI''s'!W17="."),".",(('Summary, hourly ad costs'!G17/'Summary, hourly ad costs'!W17)*100/('Summary, hourly ad costs'!G$11/'Summary, hourly ad costs'!W$11))/('Summary, PPI''s'!W17))</f>
        <v>.</v>
      </c>
      <c r="BU17" s="4">
        <f>IF(OR('Summary, hourly ad costs'!X17=-9999,'Summary, PPI''s'!X17="."),".",(('Summary, hourly ad costs'!H17/'Summary, hourly ad costs'!X17)*100/('Summary, hourly ad costs'!H$11/'Summary, hourly ad costs'!X$11))/('Summary, PPI''s'!X17))</f>
        <v>0.91238185143160266</v>
      </c>
      <c r="BV17" s="4">
        <f>IF(OR('Summary, hourly ad costs'!Y17=-9999,'Summary, PPI''s'!Y17="."),".",(('Summary, hourly ad costs'!I17/'Summary, hourly ad costs'!Y17)*100/('Summary, hourly ad costs'!I$11/'Summary, hourly ad costs'!Y$11))/('Summary, PPI''s'!Y17))</f>
        <v>0.95972355318544744</v>
      </c>
      <c r="BW17" s="4">
        <f>IF(OR('Summary, hourly ad costs'!Z17=-9999,'Summary, PPI''s'!Z17="."),".",(('Summary, hourly ad costs'!J17/'Summary, hourly ad costs'!Z17)*100/('Summary, hourly ad costs'!J$11/'Summary, hourly ad costs'!Z$11))/('Summary, PPI''s'!Z17))</f>
        <v>0.84580801092131819</v>
      </c>
      <c r="BX17" s="4">
        <f>IF(OR('Summary, hourly ad costs'!AA17=-9999,'Summary, PPI''s'!AA17="."),".",(('Summary, hourly ad costs'!K17/'Summary, hourly ad costs'!AA17)*100/('Summary, hourly ad costs'!K$11/'Summary, hourly ad costs'!AA$11))/('Summary, PPI''s'!AA17))</f>
        <v>1.2707372636144656</v>
      </c>
      <c r="BY17" s="4" t="str">
        <f>IF(OR('Summary, hourly ad costs'!AB17=-9999,'Summary, PPI''s'!AB17="."),".",(('Summary, hourly ad costs'!L17/'Summary, hourly ad costs'!AB17)*100/('Summary, hourly ad costs'!L$11/'Summary, hourly ad costs'!AB$11))/('Summary, PPI''s'!AB17))</f>
        <v>.</v>
      </c>
      <c r="BZ17" s="4" t="str">
        <f>IF(OR('Summary, hourly ad costs'!AC17=-9999,'Summary, PPI''s'!AC17="."),".",(('Summary, hourly ad costs'!M17/'Summary, hourly ad costs'!AC17)*100/('Summary, hourly ad costs'!M$11/'Summary, hourly ad costs'!AC$11))/('Summary, PPI''s'!AC17))</f>
        <v>.</v>
      </c>
      <c r="CA17" s="4" t="str">
        <f>IF(OR('Summary, hourly ad costs'!AD17=-9999,'Summary, PPI''s'!AD17="."),".",(('Summary, hourly ad costs'!N17/'Summary, hourly ad costs'!AD17)*100/('Summary, hourly ad costs'!N$11/'Summary, hourly ad costs'!AD$11))/('Summary, PPI''s'!AD17))</f>
        <v>.</v>
      </c>
      <c r="CB17" s="4" t="str">
        <f>IF(OR('Summary, hourly ad costs'!AE17=-9999,'Summary, PPI''s'!AE17="."),".",(('Summary, hourly ad costs'!O17/'Summary, hourly ad costs'!AE17)*100/('Summary, hourly ad costs'!O$11/'Summary, hourly ad costs'!AE$11))/('Summary, PPI''s'!AE17))</f>
        <v>.</v>
      </c>
      <c r="CC17" s="4" t="str">
        <f>IF(OR('Summary, hourly ad costs'!AF17=-9999,'Summary, PPI''s'!AF17="."),".",(('Summary, hourly ad costs'!P17/'Summary, hourly ad costs'!AF17)*100/('Summary, hourly ad costs'!P$11/'Summary, hourly ad costs'!AF$11))/('Summary, PPI''s'!AF17))</f>
        <v>.</v>
      </c>
      <c r="CE17" s="4">
        <f t="shared" si="51"/>
        <v>4.3289830885954839E-2</v>
      </c>
      <c r="CF17" s="4" t="str">
        <f t="shared" si="52"/>
        <v>.</v>
      </c>
      <c r="CG17" s="4" t="str">
        <f t="shared" si="53"/>
        <v>.</v>
      </c>
      <c r="CH17" s="4">
        <f t="shared" si="54"/>
        <v>1.1387096654871254E-3</v>
      </c>
      <c r="CI17" s="4">
        <f t="shared" si="55"/>
        <v>-1.8301406624726457E-2</v>
      </c>
      <c r="CJ17" s="4" t="str">
        <f t="shared" si="56"/>
        <v>.</v>
      </c>
      <c r="CK17" s="4">
        <f t="shared" si="57"/>
        <v>-4.8501458907698303E-2</v>
      </c>
      <c r="CL17" s="4">
        <f t="shared" si="58"/>
        <v>7.6341776324041044E-2</v>
      </c>
      <c r="CM17" s="4">
        <f t="shared" si="59"/>
        <v>-3.7491740233494664E-2</v>
      </c>
      <c r="CN17" s="4">
        <f t="shared" si="60"/>
        <v>1.4249938812088914E-2</v>
      </c>
      <c r="CO17" s="4">
        <f t="shared" si="61"/>
        <v>4.8869053391812439E-2</v>
      </c>
      <c r="CP17" s="4">
        <f t="shared" si="61"/>
        <v>0.16883627434093101</v>
      </c>
      <c r="CQ17" s="4" t="str">
        <f t="shared" si="62"/>
        <v>.</v>
      </c>
      <c r="CR17" s="4" t="str">
        <f t="shared" si="63"/>
        <v>.</v>
      </c>
      <c r="CS17" s="4" t="str">
        <f t="shared" si="64"/>
        <v>.</v>
      </c>
      <c r="CU17" s="5">
        <f>IF(CU16=".", ".", IF('Summary, PPI''s'!R17=".",IF(OR('Summary, hourly ad costs'!R17=-9999,'Summary, hourly ad costs'!R17=0), ".", 'Predicted PPIs'!CU16*('Summary, hourly ad costs'!B17/'Summary, hourly ad costs'!R17)/('Summary, hourly ad costs'!B16/'Summary, hourly ad costs'!R16)/(1-CE16)), 'Summary, PPI''s'!R17))</f>
        <v>100.58148839690584</v>
      </c>
      <c r="CV17" s="5">
        <f>IF(CV16=".", ".", IF('Summary, PPI''s'!S17=".",IF(OR('Summary, hourly ad costs'!S17=-9999,'Summary, hourly ad costs'!S17=0), ".", 'Predicted PPIs'!CV16*('Summary, hourly ad costs'!C17/'Summary, hourly ad costs'!S17)/('Summary, hourly ad costs'!C16/'Summary, hourly ad costs'!S16)/(1-CF16)), 'Summary, PPI''s'!S17))</f>
        <v>100.58148839690584</v>
      </c>
      <c r="CW17" s="5">
        <f>IF(CW16=".", ".", IF('Summary, PPI''s'!T17=".",IF(OR('Summary, hourly ad costs'!T17=-9999,'Summary, hourly ad costs'!T17=0), ".", 'Predicted PPIs'!CW16*('Summary, hourly ad costs'!D17/'Summary, hourly ad costs'!T17)/('Summary, hourly ad costs'!D16/'Summary, hourly ad costs'!T16)/(1-CG16)), 'Summary, PPI''s'!T17))</f>
        <v>93.82896260129867</v>
      </c>
      <c r="CX17" s="5">
        <f>IF(CX16=".", ".", IF('Summary, PPI''s'!U17=".",IF(OR('Summary, hourly ad costs'!U17=-9999,'Summary, hourly ad costs'!U17=0), ".", 'Predicted PPIs'!CX16*('Summary, hourly ad costs'!E17/'Summary, hourly ad costs'!U17)/('Summary, hourly ad costs'!E16/'Summary, hourly ad costs'!U16)/(1-CH16)), 'Summary, PPI''s'!U17))</f>
        <v>95.172822270169604</v>
      </c>
      <c r="CY17" s="5">
        <f>IF(CY16=".", ".", IF('Summary, PPI''s'!V17=".",IF(OR('Summary, hourly ad costs'!V17=-9999,'Summary, hourly ad costs'!V17=0), ".", 'Predicted PPIs'!CY16*('Summary, hourly ad costs'!F17/'Summary, hourly ad costs'!V17)/('Summary, hourly ad costs'!F16/'Summary, hourly ad costs'!V16)/(1-CI16)), 'Summary, PPI''s'!V17))</f>
        <v>86.027019234729579</v>
      </c>
      <c r="CZ17" s="5">
        <f>IF(CZ16=".", ".", IF('Summary, PPI''s'!W17=".",IF(OR('Summary, hourly ad costs'!W17=-9999,'Summary, hourly ad costs'!W17=0), ".", 'Predicted PPIs'!CZ16*('Summary, hourly ad costs'!G17/'Summary, hourly ad costs'!W17)/('Summary, hourly ad costs'!G16/'Summary, hourly ad costs'!W16)/(1-CJ16)), 'Summary, PPI''s'!W17))</f>
        <v>89.566900272703279</v>
      </c>
      <c r="DA17" s="5">
        <f>IF(DA16=".", ".", IF('Summary, PPI''s'!X17=".",IF(OR('Summary, hourly ad costs'!X17=-9999,'Summary, hourly ad costs'!X17=0), ".", 'Predicted PPIs'!DA16*('Summary, hourly ad costs'!H17/'Summary, hourly ad costs'!X17)/('Summary, hourly ad costs'!H16/'Summary, hourly ad costs'!X16)/(1-CK16)), 'Summary, PPI''s'!X17))</f>
        <v>88.638000000000005</v>
      </c>
      <c r="DB17" s="5">
        <f>IF(DB16=".", ".", IF('Summary, PPI''s'!Y17=".",IF(OR('Summary, hourly ad costs'!Y17=-9999,'Summary, hourly ad costs'!Y17=0), ".", 'Predicted PPIs'!DB16*('Summary, hourly ad costs'!I17/'Summary, hourly ad costs'!Y17)/('Summary, hourly ad costs'!I16/'Summary, hourly ad costs'!Y16)/(1-CL16)), 'Summary, PPI''s'!Y17))</f>
        <v>110.90150972669768</v>
      </c>
      <c r="DC17" s="5">
        <f>IF(DC16=".", ".", IF('Summary, PPI''s'!Z17=".",IF(OR('Summary, hourly ad costs'!Z17=-9999,'Summary, hourly ad costs'!Z17=0), ".", 'Predicted PPIs'!DC16*('Summary, hourly ad costs'!J17/'Summary, hourly ad costs'!Z17)/('Summary, hourly ad costs'!J16/'Summary, hourly ad costs'!Z16)/(1-CM16)), 'Summary, PPI''s'!Z17))</f>
        <v>103.51327247237232</v>
      </c>
      <c r="DD17" s="5">
        <f>IF(DD16=".", ".", IF('Summary, PPI''s'!AA17=".",IF(OR('Summary, hourly ad costs'!AA17=-9999,'Summary, hourly ad costs'!AA17=0), ".", 'Predicted PPIs'!DD16*('Summary, hourly ad costs'!K17/'Summary, hourly ad costs'!AA17)/('Summary, hourly ad costs'!K16/'Summary, hourly ad costs'!AA16)/(1-CN16)), 'Summary, PPI''s'!AA17))</f>
        <v>80.161189590326444</v>
      </c>
      <c r="DE17" s="5">
        <f>IF(DE16=".", ".", IF('Summary, PPI''s'!AB17=".",IF(OR('Summary, hourly ad costs'!AB17=-9999,'Summary, hourly ad costs'!AB17=0), ".", 'Predicted PPIs'!DE16*('Summary, hourly ad costs'!L17/'Summary, hourly ad costs'!AB17)/('Summary, hourly ad costs'!L16/'Summary, hourly ad costs'!AB16)/(1-CO16)), 'Summary, PPI''s'!AB17))</f>
        <v>73.603678480001491</v>
      </c>
      <c r="DF17" s="5">
        <f>IF(DF16=".", ".", IF('Summary, PPI''s'!AC17=".",IF(OR('Summary, hourly ad costs'!AC17=-9999,'Summary, hourly ad costs'!AC17=0), ".", 'Predicted PPIs'!DF16*('Summary, hourly ad costs'!M17/'Summary, hourly ad costs'!AC17)/('Summary, hourly ad costs'!M16/'Summary, hourly ad costs'!AC16)/(1-CP16)), 'Summary, PPI''s'!AC17))</f>
        <v>371.83455736987975</v>
      </c>
      <c r="DG17" s="5">
        <f>IF(DG16=".", ".", IF('Summary, PPI''s'!AD17=".",IF(OR('Summary, hourly ad costs'!AD17=-9999,'Summary, hourly ad costs'!AD17=0), ".", 'Predicted PPIs'!DG16*('Summary, hourly ad costs'!N17/'Summary, hourly ad costs'!AD17)/('Summary, hourly ad costs'!N16/'Summary, hourly ad costs'!AD16)/(1-CQ16)), 'Summary, PPI''s'!AD17))</f>
        <v>96.922190939339657</v>
      </c>
      <c r="DH17" s="5">
        <f>IF(DH16=".", ".", IF('Summary, PPI''s'!AE17=".",IF(OR('Summary, hourly ad costs'!AE17=-9999,'Summary, hourly ad costs'!AE17=0), ".", 'Predicted PPIs'!DH16*('Summary, hourly ad costs'!O17/'Summary, hourly ad costs'!AE17)/('Summary, hourly ad costs'!O16/'Summary, hourly ad costs'!AE16)/(1-CR16)), 'Summary, PPI''s'!AE17))</f>
        <v>86.153000000000006</v>
      </c>
      <c r="DI17" s="5">
        <f>IF(DI16=".", ".", IF('Summary, PPI''s'!AF17=".",IF(OR('Summary, hourly ad costs'!AF17=-9999,'Summary, hourly ad costs'!AF17=0), ".", 'Predicted PPIs'!DI16*('Summary, hourly ad costs'!P17/'Summary, hourly ad costs'!AF17)/('Summary, hourly ad costs'!P16/'Summary, hourly ad costs'!AF16)/(1-CS16)), 'Summary, PPI''s'!AF17))</f>
        <v>88.465999999999994</v>
      </c>
      <c r="DK17" s="4">
        <v>82.653999999999996</v>
      </c>
      <c r="DM17" s="5">
        <f t="shared" si="16"/>
        <v>-2.1352257999126101E-2</v>
      </c>
      <c r="DN17" s="5">
        <f t="shared" si="17"/>
        <v>-2.1352257999126101E-2</v>
      </c>
      <c r="DO17" s="5">
        <f t="shared" si="18"/>
        <v>-1.8676523457581862E-2</v>
      </c>
      <c r="DP17" s="5">
        <f t="shared" si="19"/>
        <v>-3.9263544011486351E-3</v>
      </c>
      <c r="DQ17" s="5">
        <f t="shared" si="20"/>
        <v>-1.1770455821529135E-2</v>
      </c>
      <c r="DR17" s="5">
        <f t="shared" si="21"/>
        <v>-2.0140844883911324E-2</v>
      </c>
      <c r="DS17" s="5">
        <f t="shared" si="22"/>
        <v>-5.5693598026136382E-3</v>
      </c>
      <c r="DT17" s="5">
        <f t="shared" si="23"/>
        <v>-4.4985127699553873E-2</v>
      </c>
      <c r="DU17" s="5">
        <f t="shared" si="24"/>
        <v>-3.3228048691258061E-2</v>
      </c>
      <c r="DV17" s="5">
        <f t="shared" si="25"/>
        <v>-4.4316719406220173E-2</v>
      </c>
      <c r="DW17" s="5">
        <f t="shared" si="26"/>
        <v>0.11878789274607238</v>
      </c>
      <c r="DX17" s="5">
        <f t="shared" si="27"/>
        <v>-0.17221118954450132</v>
      </c>
      <c r="DY17" s="5">
        <f t="shared" si="28"/>
        <v>-1.3468371344407593E-2</v>
      </c>
      <c r="DZ17" s="5">
        <f t="shared" si="29"/>
        <v>2.927808314179936E-3</v>
      </c>
      <c r="EA17" s="5">
        <f t="shared" si="30"/>
        <v>-3.6478875369996278E-3</v>
      </c>
      <c r="EC17" s="1">
        <f t="shared" si="35"/>
        <v>100.58148839690584</v>
      </c>
      <c r="ED17" s="1">
        <f t="shared" si="36"/>
        <v>100.58148839690584</v>
      </c>
      <c r="EE17" s="1">
        <f t="shared" si="37"/>
        <v>93.82896260129867</v>
      </c>
      <c r="EF17" s="1">
        <f t="shared" si="38"/>
        <v>95.172822270169604</v>
      </c>
      <c r="EG17" s="1">
        <f t="shared" si="39"/>
        <v>86.027019234729579</v>
      </c>
      <c r="EH17" s="1">
        <f t="shared" si="40"/>
        <v>89.566900272703279</v>
      </c>
      <c r="EI17" s="1">
        <f t="shared" si="41"/>
        <v>88.638000000000005</v>
      </c>
      <c r="EJ17" s="1">
        <f t="shared" si="42"/>
        <v>110.90150972669768</v>
      </c>
      <c r="EK17" s="1">
        <f t="shared" si="43"/>
        <v>103.51327247237232</v>
      </c>
      <c r="EL17" s="1">
        <f t="shared" si="44"/>
        <v>80.161189590326444</v>
      </c>
      <c r="EM17" s="1">
        <f t="shared" si="45"/>
        <v>73.603678480001491</v>
      </c>
      <c r="EN17" s="1">
        <f t="shared" si="46"/>
        <v>371.83455736987975</v>
      </c>
      <c r="EO17" s="1">
        <f t="shared" si="47"/>
        <v>96.922190939339657</v>
      </c>
      <c r="EP17" s="1">
        <f t="shared" si="48"/>
        <v>86.153000000000006</v>
      </c>
      <c r="EQ17" s="1">
        <f t="shared" si="49"/>
        <v>88.465999999999994</v>
      </c>
      <c r="ES17" s="1">
        <f>IF(EF$26=".", 0, 'Summary, PPI''s'!E17)+IF(EG$26=".", 0, 'Summary, PPI''s'!F17)+IF(EH$26=".", 0, 'Summary, PPI''s'!G17)+IF(EI$26=".", 0, 'Summary, PPI''s'!H17)+IF(EJ$26=".", 0, 'Summary, PPI''s'!I17)+IF(EK$26=".", 0, 'Summary, PPI''s'!J17)+IF(EL$26=".", 0, 'Summary, PPI''s'!K17)+IF(EM$26=".", 0, 'Summary, PPI''s'!L17)+IF(EN$26=".", 0, 'Summary, PPI''s'!M17)+IF(EC$26=".", 0, 'Summary, PPI''s'!B17)+IF(ED$26=".", 0, 'Summary, PPI''s'!C17)+IF(EE$26=".", 0, 'Summary, PPI''s'!D17)+IF(EO$26=".", 0, 'Summary, PPI''s'!N17)+IF(EP$26=".", 0, 'Summary, PPI''s'!O17)+IF(EQ$26=".", 0, 'Summary, PPI''s'!P17)</f>
        <v>316982907.31986237</v>
      </c>
      <c r="ET17" s="1">
        <f>'Summary, hourly ad costs'!E17+'Summary, hourly ad costs'!F17+'Summary, hourly ad costs'!H17+'Summary, hourly ad costs'!I17+'Summary, hourly ad costs'!J17+'Summary, hourly ad costs'!K17+'Summary, hourly ad costs'!L17+'Summary, hourly ad costs'!M17+'Summary, hourly ad costs'!B17</f>
        <v>164837021.3690944</v>
      </c>
      <c r="EV17" s="13">
        <f>EV16*IF(EF$26=".", 1, (EF17/EF16)^(('Summary, PPI''s'!$E17+'Summary, PPI''s'!$E16)/('Predicted PPIs'!ES17+'Predicted PPIs'!ES16)))*IF(EG$26=".", 1, (EG17/EG16)^(('Summary, PPI''s'!$F17+'Summary, PPI''s'!$F16)/('Predicted PPIs'!ES17+'Predicted PPIs'!ES16)))*IF(EH$26=".", 1, (EH17/EH16)^(('Summary, PPI''s'!$G17+'Summary, PPI''s'!$G16)/('Predicted PPIs'!ES17+'Predicted PPIs'!ES16)))*IF(EI$26=".", 1, (EI17/EI16)^(('Summary, PPI''s'!$H17+'Summary, PPI''s'!$H16)/('Predicted PPIs'!ES17+'Predicted PPIs'!ES16)))*IF(EJ$26=".", 1, (EJ17/EJ16)^(('Summary, PPI''s'!$I17+'Summary, PPI''s'!$I16)/('Predicted PPIs'!ES17+'Predicted PPIs'!ES16)))*IF(EK$26=".", 1, (EK17/EK16)^(('Summary, PPI''s'!$J17+'Summary, PPI''s'!$J16)/('Predicted PPIs'!ES17+'Predicted PPIs'!ES16)))*IF(EL$26=".", 1, (EL17/EL16)^(('Summary, PPI''s'!$K17+'Summary, PPI''s'!$K16)/('Predicted PPIs'!ES17+'Predicted PPIs'!ES16)))*IF(EM$26=".", 1, (EM17/EM16)^(('Summary, PPI''s'!$L17+'Summary, PPI''s'!$L16)/('Predicted PPIs'!ES17+'Predicted PPIs'!ES16)))*IF(EN$26=".", 1, (EN17/EN16)^(('Summary, PPI''s'!$M17+'Summary, PPI''s'!$M16)/('Predicted PPIs'!ES17+'Predicted PPIs'!ES16)))*IF(EC$26=".", 1, (EC17/EC16)^(('Summary, PPI''s'!$B17+'Summary, PPI''s'!$B16)/('Predicted PPIs'!ES17+'Predicted PPIs'!ES16)))*IF(ED$26=".", 1, (ED17/ED16)^(('Summary, PPI''s'!$C17+'Summary, PPI''s'!$C16)/('Predicted PPIs'!ES17+'Predicted PPIs'!ES16)))*IF(EE$26=".", 1, (EE17/EE16)^(('Summary, PPI''s'!$D17+'Summary, PPI''s'!$D16)/('Predicted PPIs'!ES17+'Predicted PPIs'!ES16)))*IF(EO$26=".", 1, (EO17/EO16)^(('Summary, PPI''s'!$N17+'Summary, PPI''s'!$N16)/('Predicted PPIs'!ES17+'Predicted PPIs'!ES16)))*IF(EP$26=".", 1, (EP17/EP16)^(('Summary, PPI''s'!$O17+'Summary, PPI''s'!$O16)/('Predicted PPIs'!ES17+'Predicted PPIs'!ES16)))*IF(EQ$26=".", 1, (EQ17/EQ16)^(('Summary, PPI''s'!$P17+'Summary, PPI''s'!$P16)/('Predicted PPIs'!ES17+'Predicted PPIs'!ES16)))</f>
        <v>106.01744412543189</v>
      </c>
      <c r="EW17" s="13">
        <f>EW16*IF(EF$26=".", 1, (EF17/EF16)^(('Summary, PPI''s'!$E17+'Summary, PPI''s'!$E16)/('Predicted PPIs'!ET17+'Predicted PPIs'!ET16)))*IF(EG$26=".", 1, (EG17/EG16)^(('Summary, PPI''s'!$F17+'Summary, PPI''s'!$F16)/('Predicted PPIs'!ET17+'Predicted PPIs'!ET16)))*IF(EH$26=".", 1, (EH17/EH16)^(('Summary, PPI''s'!$G17+'Summary, PPI''s'!$G16)/('Predicted PPIs'!ET17+'Predicted PPIs'!ET16)))*IF(EK$26=".", 1, (EK17/EK16)^(('Summary, PPI''s'!$J17+'Summary, PPI''s'!$J16)/('Predicted PPIs'!ET17+'Predicted PPIs'!ET16)))*IF(EL$26=".", 1, (EL17/EL16)^(('Summary, PPI''s'!$K17+'Summary, PPI''s'!$K16)/('Predicted PPIs'!ET17+'Predicted PPIs'!ET16)))*IF(EM$26=".", 1, (EM17/EM16)^(('Summary, PPI''s'!$L17+'Summary, PPI''s'!$L16)/('Predicted PPIs'!ET17+'Predicted PPIs'!ET16)))*IF(EN$26=".", 1, (EN17/EN16)^(('Summary, PPI''s'!$M17+'Summary, PPI''s'!$M16)/('Predicted PPIs'!ET17+'Predicted PPIs'!ET16)))*IF(EC$26=".", 1, (EC17/EC16)^(('Summary, PPI''s'!$B17+'Summary, PPI''s'!$B16)/('Predicted PPIs'!ET17+'Predicted PPIs'!ET16)))</f>
        <v>120.61510214424696</v>
      </c>
      <c r="EY17" s="2"/>
    </row>
    <row r="18" spans="1:155" x14ac:dyDescent="0.3">
      <c r="A18" s="4">
        <v>2005</v>
      </c>
      <c r="B18" s="10">
        <f>IF(B17=".", ".", IF('Summary, PPI''s'!R18=".",IF(OR('Summary, hourly ad costs'!R18=-9999,'Summary, hourly ad costs'!R18=0), ".", 'Predicted PPIs'!B17*('Summary, hourly ad costs'!B18/'Summary, hourly ad costs'!R18)/('Summary, hourly ad costs'!B17/'Summary, hourly ad costs'!R17)), 'Summary, PPI''s'!R18))</f>
        <v>98.740997599359829</v>
      </c>
      <c r="C18" s="10">
        <f>IF(C17=".", ".", IF('Summary, PPI''s'!S18=".",IF(OR('Summary, hourly ad costs'!S18=-9999,'Summary, hourly ad costs'!S18=0), ".", 'Predicted PPIs'!C17*('Summary, hourly ad costs'!C18/'Summary, hourly ad costs'!S18)/('Summary, hourly ad costs'!C17/'Summary, hourly ad costs'!S17)), 'Summary, PPI''s'!S18))</f>
        <v>98.740997599359829</v>
      </c>
      <c r="D18" s="10">
        <f>IF(D17=".", ".", IF('Summary, PPI''s'!T18=".",IF(OR('Summary, hourly ad costs'!T18=-9999,'Summary, hourly ad costs'!T18=0), ".", 'Predicted PPIs'!D17*('Summary, hourly ad costs'!D18/'Summary, hourly ad costs'!T18)/('Summary, hourly ad costs'!D17/'Summary, hourly ad costs'!T17)), 'Summary, PPI''s'!T18))</f>
        <v>91.860874817536626</v>
      </c>
      <c r="E18" s="10">
        <f>IF(E17=".", ".", IF('Summary, PPI''s'!U18=".",IF(OR('Summary, hourly ad costs'!U18=-9999,'Summary, hourly ad costs'!U18=0), ".", 'Predicted PPIs'!E17*('Summary, hourly ad costs'!E18/'Summary, hourly ad costs'!U18)/('Summary, hourly ad costs'!E17/'Summary, hourly ad costs'!U17)), 'Summary, PPI''s'!U18))</f>
        <v>91.79675931801836</v>
      </c>
      <c r="F18" s="10">
        <f>IF(F17=".", ".", IF('Summary, PPI''s'!V18=".",IF(OR('Summary, hourly ad costs'!V18=-9999,'Summary, hourly ad costs'!V18=0), ".", 'Predicted PPIs'!F17*('Summary, hourly ad costs'!F18/'Summary, hourly ad costs'!V18)/('Summary, hourly ad costs'!F17/'Summary, hourly ad costs'!V17)), 'Summary, PPI''s'!V18))</f>
        <v>83.634004695415783</v>
      </c>
      <c r="G18" s="10">
        <f>IF(G17=".", ".", IF('Summary, PPI''s'!W18=".",IF(OR('Summary, hourly ad costs'!W18=-9999,'Summary, hourly ad costs'!W18=0), ".", 'Predicted PPIs'!G17*('Summary, hourly ad costs'!G18/'Summary, hourly ad costs'!W18)/('Summary, hourly ad costs'!G17/'Summary, hourly ad costs'!W17)), 'Summary, PPI''s'!W18))</f>
        <v>87.819253438113947</v>
      </c>
      <c r="H18" s="10">
        <f>IF(H17=".", ".", IF('Summary, PPI''s'!X18=".",IF(OR('Summary, hourly ad costs'!X18=-9999,'Summary, hourly ad costs'!X18=0), ".", 'Predicted PPIs'!H17*('Summary, hourly ad costs'!H18/'Summary, hourly ad costs'!X18)/('Summary, hourly ad costs'!H17/'Summary, hourly ad costs'!X17)), 'Summary, PPI''s'!X18))</f>
        <v>85.635000000000005</v>
      </c>
      <c r="I18" s="10">
        <f>IF(I17=".", ".", IF('Summary, PPI''s'!Y18=".",IF(OR('Summary, hourly ad costs'!Y18=-9999,'Summary, hourly ad costs'!Y18=0), ".", 'Predicted PPIs'!I17*('Summary, hourly ad costs'!I18/'Summary, hourly ad costs'!Y18)/('Summary, hourly ad costs'!I17/'Summary, hourly ad costs'!Y17)), 'Summary, PPI''s'!Y18))</f>
        <v>111.56633706114022</v>
      </c>
      <c r="J18" s="10">
        <f>IF(J17=".", ".", IF('Summary, PPI''s'!Z18=".",IF(OR('Summary, hourly ad costs'!Z18=-9999,'Summary, hourly ad costs'!Z18=0), ".", 'Predicted PPIs'!J17*('Summary, hourly ad costs'!J18/'Summary, hourly ad costs'!Z18)/('Summary, hourly ad costs'!J17/'Summary, hourly ad costs'!Z17)), 'Summary, PPI''s'!Z18))</f>
        <v>102.86742007885159</v>
      </c>
      <c r="K18" s="10">
        <f>IF(K17=".", ".", IF('Summary, PPI''s'!AA18=".",IF(OR('Summary, hourly ad costs'!AA18=-9999,'Summary, hourly ad costs'!AA18=0), ".", 'Predicted PPIs'!K17*('Summary, hourly ad costs'!K18/'Summary, hourly ad costs'!AA18)/('Summary, hourly ad costs'!K17/'Summary, hourly ad costs'!AA17)), 'Summary, PPI''s'!AA18))</f>
        <v>80.585335131731355</v>
      </c>
      <c r="L18" s="10">
        <f>IF(L17=".", ".", IF('Summary, PPI''s'!AB18=".",IF(OR('Summary, hourly ad costs'!AB18=-9999,'Summary, hourly ad costs'!AB18=0), ".", 'Predicted PPIs'!L17*('Summary, hourly ad costs'!L18/'Summary, hourly ad costs'!AB18)/('Summary, hourly ad costs'!L17/'Summary, hourly ad costs'!AB17)), 'Summary, PPI''s'!AB18))</f>
        <v>92.614681089134081</v>
      </c>
      <c r="M18" s="10">
        <f>IF(M17=".", ".", IF('Summary, PPI''s'!AC18=".",IF(OR('Summary, hourly ad costs'!AC18=-9999,'Summary, hourly ad costs'!AC18=0), ".", 'Predicted PPIs'!M17*('Summary, hourly ad costs'!M18/'Summary, hourly ad costs'!AC18)/('Summary, hourly ad costs'!M17/'Summary, hourly ad costs'!AC17)), 'Summary, PPI''s'!AC18))</f>
        <v>109.02429901775994</v>
      </c>
      <c r="N18" s="10">
        <f>IF(N17=".", ".", IF('Summary, PPI''s'!AD18=".",IF(OR('Summary, hourly ad costs'!AD18=-9999,'Summary, hourly ad costs'!AD18=0), ".", 'Predicted PPIs'!N17*('Summary, hourly ad costs'!N18/'Summary, hourly ad costs'!AD18)/('Summary, hourly ad costs'!N17/'Summary, hourly ad costs'!AD17)), 'Summary, PPI''s'!AD18))</f>
        <v>94.38827745072949</v>
      </c>
      <c r="O18" s="10">
        <f>IF(O17=".", ".", IF('Summary, PPI''s'!AE18=".",IF(OR('Summary, hourly ad costs'!AE18=-9999,'Summary, hourly ad costs'!AE18=0), ".", 'Predicted PPIs'!O17*('Summary, hourly ad costs'!O18/'Summary, hourly ad costs'!AE18)/('Summary, hourly ad costs'!O17/'Summary, hourly ad costs'!AE17)), 'Summary, PPI''s'!AE18))</f>
        <v>82.528999999999996</v>
      </c>
      <c r="P18" s="10">
        <f>IF(P17=".", ".", IF('Summary, PPI''s'!AF18=".",IF(OR('Summary, hourly ad costs'!AF18=-9999,'Summary, hourly ad costs'!AF18=0), ".", 'Predicted PPIs'!P17*('Summary, hourly ad costs'!P18/'Summary, hourly ad costs'!AF18)/('Summary, hourly ad costs'!P17/'Summary, hourly ad costs'!AF17)), 'Summary, PPI''s'!AF18))</f>
        <v>85.304000000000002</v>
      </c>
      <c r="R18" s="1">
        <f>IF(E$26=".", 0, 'Summary, PPI''s'!E18)+IF(F$26=".", 0, 'Summary, PPI''s'!F18)+IF(G$26=".", 0, 'Summary, PPI''s'!G18)+IF(H$26=".", 0, 'Summary, PPI''s'!H18)+IF(I$26=".", 0, 'Summary, PPI''s'!I18)+IF(J$26=".", 0, 'Summary, PPI''s'!J18)+IF(K$26=".", 0, 'Summary, PPI''s'!K18)+IF(L$26=".", 0, 'Summary, PPI''s'!L18)+IF(M$26=".", 0, 'Summary, PPI''s'!M18)+IF(B$26=".", 0, 'Summary, PPI''s'!B18)+IF(C$26=".", 0, 'Summary, PPI''s'!C18)+IF(D$26=".", 0, 'Summary, PPI''s'!D18)+IF(N$26=".", 0, 'Summary, PPI''s'!N18)+IF(O$26=".", 0, 'Summary, PPI''s'!O18)+IF(P$26=".", 0, 'Summary, PPI''s'!P18)</f>
        <v>294994485.13161927</v>
      </c>
      <c r="S18" s="1">
        <f>IF(E$36=".", 0, 'Summary, PPI''s'!E18)+IF(F$36=".", 0, 'Summary, PPI''s'!F18)+IF(G$36=".", 0, 'Summary, PPI''s'!G18)+IF(H$36=".", 0, 'Summary, PPI''s'!H18)+IF(I$36=".", 0, 'Summary, PPI''s'!I18)+IF(J$36=".", 0, 'Summary, PPI''s'!J18)+IF(K$36=".", 0, 'Summary, PPI''s'!K18)+IF(L$36=".", 0, 'Summary, PPI''s'!L18)+IF(M$36=".", 0, 'Summary, PPI''s'!M18)+IF(B$36=".", 0, 'Summary, PPI''s'!B18)+IF(C$36=".", 0, 'Summary, PPI''s'!C18)+IF(D$36=".", 0, 'Summary, PPI''s'!D18)+IF(N$36=".", 0, 'Summary, PPI''s'!N18)+IF(O$36=".", 0, 'Summary, PPI''s'!O18)+IF(P$36=".", 0, 'Summary, PPI''s'!P18)</f>
        <v>283315853.81534612</v>
      </c>
      <c r="T18" s="1">
        <f>IF(E$46=".", 0, 'Summary, PPI''s'!E18)+IF(F$46=".", 0, 'Summary, PPI''s'!F18)+IF(G$46=".", 0, 'Summary, PPI''s'!G18)+IF(H$46=".", 0, 'Summary, PPI''s'!H18)+IF(I$46=".", 0, 'Summary, PPI''s'!I18)+IF(J$46=".", 0, 'Summary, PPI''s'!J18)+IF(K$46=".", 0, 'Summary, PPI''s'!K18)+IF(L$46=".", 0, 'Summary, PPI''s'!L18)+IF(M$46=".", 0, 'Summary, PPI''s'!M18)+IF(B$46=".", 0, 'Summary, PPI''s'!B18)+IF(C$46=".", 0, 'Summary, PPI''s'!C18)+IF(D$46=".", 0, 'Summary, PPI''s'!D18)+IF(N$46=".", 0, 'Summary, PPI''s'!N18)+IF(O$46=".", 0, 'Summary, PPI''s'!O18)+IF(P$46=".", 0, 'Summary, PPI''s'!P18)</f>
        <v>187813453.35550776</v>
      </c>
      <c r="U18" s="1">
        <f>IF(E$60=".", 0, 'Summary, PPI''s'!E18)+IF(F$60=".", 0, 'Summary, PPI''s'!F18)+IF(G$60=".", 0, 'Summary, PPI''s'!G18)+IF(H$60=".", 0, 'Summary, PPI''s'!H18)+IF(I$60=".", 0, 'Summary, PPI''s'!I18)+IF(J$60=".", 0, 'Summary, PPI''s'!J18)+IF(K$60=".", 0, 'Summary, PPI''s'!K18)+IF(L$60=".", 0, 'Summary, PPI''s'!L18)+IF(M$60=".", 0, 'Summary, PPI''s'!M18)+IF(B$60=".", 0, 'Summary, PPI''s'!B18)+IF(C$60=".", 0, 'Summary, PPI''s'!C18)+IF(D$60=".", 0, 'Summary, PPI''s'!D18)+IF(N$60=".", 0, 'Summary, PPI''s'!N18)+IF(O$60=".", 0, 'Summary, PPI''s'!O18)+IF(P$60=".", 0, 'Summary, PPI''s'!P18)</f>
        <v>144245130.11418256</v>
      </c>
      <c r="V18" s="1">
        <f>IF(E$73=".", 0, 'Summary, PPI''s'!E18)+IF(F$73=".", 0, 'Summary, PPI''s'!F18)+IF(G$73=".", 0, 'Summary, PPI''s'!G18)+IF(H$73=".", 0, 'Summary, PPI''s'!H18)+IF(I$73=".", 0, 'Summary, PPI''s'!I18)+IF(J$73=".", 0, 'Summary, PPI''s'!J18)+IF(K$73=".", 0, 'Summary, PPI''s'!K18)+IF(L$73=".", 0, 'Summary, PPI''s'!L18)+IF(M$73=".", 0, 'Summary, PPI''s'!M18)+IF(B$73=".", 0, 'Summary, PPI''s'!B18)+IF(C$73=".", 0, 'Summary, PPI''s'!C18)+IF(D$73=".", 0, 'Summary, PPI''s'!D18)+IF(N$73=".", 0, 'Summary, PPI''s'!N18)+IF(O$73=".", 0, 'Summary, PPI''s'!O18)+IF(P$73=".", 0, 'Summary, PPI''s'!P18)</f>
        <v>116684101.52148195</v>
      </c>
      <c r="W18" s="1">
        <f>IF(E$94=".",0,'Summary, PPI''s'!E18)+IF(F$94=".",0,'Summary, PPI''s'!F18)+IF(G$94=".",0,'Summary, PPI''s'!G18)+IF(H$94=".",0,'Summary, PPI''s'!H18)+IF(I$94=".",0,'Summary, PPI''s'!I18)+IF(J$94=".",0,'Summary, PPI''s'!J18)+IF(K$94=".",0,'Summary, PPI''s'!K18)+IF(L$94=".",0,'Summary, PPI''s'!L18)+IF(M$94=".",0,'Summary, PPI''s'!M18)+IF(B$94=".",0,'Summary, PPI''s'!B18)+IF(C$94=".",0,'Summary, PPI''s'!C18)+IF(D$94=".",0,'Summary, PPI''s'!D18)+IF(N$94=".",0,'Summary, PPI''s'!N18)+IF(O$94=".",0,'Summary, PPI''s'!O18)+IF(P$94=".",0,'Summary, PPI''s'!P18)</f>
        <v>85651017.970750749</v>
      </c>
      <c r="X18" s="1">
        <f>IF(E$123=".", 0, 'Summary, PPI''s'!E18)+IF(F$123=".", 0, 'Summary, PPI''s'!F18)+IF(G$123=".", 0, 'Summary, PPI''s'!G18)+IF(H$123=".", 0, 'Summary, PPI''s'!H18)+IF(I$123=".", 0, 'Summary, PPI''s'!I18)+IF(J$123=".", 0, 'Summary, PPI''s'!J18)+IF(K$123=".", 0, 'Summary, PPI''s'!K18)+IF(L$123=".", 0, 'Summary, PPI''s'!L18)+IF(M$123=".", 0, 'Summary, PPI''s'!M18)+IF(B$123=".", 0, 'Summary, PPI''s'!B18)+IF(C$123=".", 0, 'Summary, PPI''s'!C18)+IF(D$123=".", 0, 'Summary, PPI''s'!D18)+IF(N$123=".", 0, 'Summary, PPI''s'!N18)+IF(O$123=".", 0, 'Summary, PPI''s'!O18)+IF(P$123=".", 0, 'Summary, PPI''s'!P18)</f>
        <v>70534046.897382393</v>
      </c>
      <c r="Z18" s="4">
        <f>Z17*IF(E$26=".", 1, (E18/E17)^(('Summary, PPI''s'!$E18+'Summary, PPI''s'!$E17)/('Predicted PPIs'!R18+'Predicted PPIs'!R17)))*IF(F$26=".", 1, (F18/F17)^(('Summary, PPI''s'!$F18+'Summary, PPI''s'!$F17)/('Predicted PPIs'!R18+'Predicted PPIs'!R17)))*IF(G$26=".", 1, (G18/G17)^(('Summary, PPI''s'!$G18+'Summary, PPI''s'!$G17)/('Predicted PPIs'!R18+'Predicted PPIs'!R17)))*IF(H$26=".", 1, (H18/H17)^(('Summary, PPI''s'!$H18+'Summary, PPI''s'!$H17)/('Predicted PPIs'!R18+'Predicted PPIs'!R17)))*IF(I$26=".", 1, (I18/I17)^(('Summary, PPI''s'!$I18+'Summary, PPI''s'!$I17)/('Predicted PPIs'!R18+'Predicted PPIs'!R17)))*IF(J$26=".", 1, (J18/J17)^(('Summary, PPI''s'!$J18+'Summary, PPI''s'!$J17)/('Predicted PPIs'!R18+'Predicted PPIs'!R17)))*IF(K$26=".", 1, (K18/K17)^(('Summary, PPI''s'!$K18+'Summary, PPI''s'!$K17)/('Predicted PPIs'!R18+'Predicted PPIs'!R17)))*IF(L$26=".", 1, (L18/L17)^(('Summary, PPI''s'!$L18+'Summary, PPI''s'!$L17)/('Predicted PPIs'!R18+'Predicted PPIs'!R17)))*IF(M$26=".", 1, (M18/M17)^(('Summary, PPI''s'!$M18+'Summary, PPI''s'!$M17)/('Predicted PPIs'!R18+'Predicted PPIs'!R17)))*IF(B$26=".", 1, (B18/B17)^(('Summary, PPI''s'!$B18+'Summary, PPI''s'!$B17)/('Predicted PPIs'!R18+'Predicted PPIs'!R17)))*IF(C$26=".", 1, (C18/C17)^(('Summary, PPI''s'!$C18+'Summary, PPI''s'!$C17)/('Predicted PPIs'!R18+'Predicted PPIs'!R17)))*IF(D$26=".", 1, (D18/D17)^(('Summary, PPI''s'!$D18+'Summary, PPI''s'!$D17)/('Predicted PPIs'!R18+'Predicted PPIs'!R17)))*IF(N$26=".", 1, (N18/N17)^(('Summary, PPI''s'!$N18+'Summary, PPI''s'!$N17)/('Predicted PPIs'!R18+'Predicted PPIs'!R17)))*IF(O$26=".", 1, (O18/O17)^(('Summary, PPI''s'!$O18+'Summary, PPI''s'!$O17)/('Predicted PPIs'!R18+'Predicted PPIs'!R17)))*IF(P$26=".", 1, (P18/P17)^(('Summary, PPI''s'!$P18+'Summary, PPI''s'!$P17)/('Predicted PPIs'!R18+'Predicted PPIs'!R17)))</f>
        <v>101.02116605636768</v>
      </c>
      <c r="AA18" s="4">
        <f>AA17*IF(E$36=".", 1, (E18/E17)^(('Summary, PPI''s'!$E18+'Summary, PPI''s'!$E17)/('Predicted PPIs'!S18+'Predicted PPIs'!S17)))*IF(F$36=".", 1, (F18/F17)^(('Summary, PPI''s'!$F18+'Summary, PPI''s'!$F17)/('Predicted PPIs'!S18+'Predicted PPIs'!S17)))*IF(G$36=".", 1, (G18/G17)^(('Summary, PPI''s'!$G18+'Summary, PPI''s'!$G17)/('Predicted PPIs'!S18+'Predicted PPIs'!S17)))*IF(H$36=".", 1, (H18/H17)^(('Summary, PPI''s'!$H18+'Summary, PPI''s'!$H17)/('Predicted PPIs'!S18+'Predicted PPIs'!S17)))*IF(I$36=".", 1, (I18/I17)^(('Summary, PPI''s'!$I18+'Summary, PPI''s'!$I17)/('Predicted PPIs'!S18+'Predicted PPIs'!S17)))*IF(J$36=".", 1, (J18/J17)^(('Summary, PPI''s'!$J18+'Summary, PPI''s'!$J17)/('Predicted PPIs'!S18+'Predicted PPIs'!S17)))*IF(K$36=".", 1, (K18/K17)^(('Summary, PPI''s'!$K18+'Summary, PPI''s'!$K17)/('Predicted PPIs'!S18+'Predicted PPIs'!S17)))*IF(L$36=".", 1, (L18/L17)^(('Summary, PPI''s'!$L18+'Summary, PPI''s'!$L17)/('Predicted PPIs'!S18+'Predicted PPIs'!S17)))*IF(M$36=".", 1, (M18/M17)^(('Summary, PPI''s'!$M18+'Summary, PPI''s'!$M17)/('Predicted PPIs'!S18+'Predicted PPIs'!S17)))*IF(B$36=".", 1, (B18/B17)^(('Summary, PPI''s'!$B18+'Summary, PPI''s'!$B17)/('Predicted PPIs'!S18+'Predicted PPIs'!S17)))*IF(C$36=".", 1, (C18/C17)^(('Summary, PPI''s'!$C18+'Summary, PPI''s'!$C17)/('Predicted PPIs'!S18+'Predicted PPIs'!S17)))*IF(D$36=".", 1, (D18/D17)^(('Summary, PPI''s'!$D18+'Summary, PPI''s'!$D17)/('Predicted PPIs'!S18+'Predicted PPIs'!S17)))*IF(N$36=".", 1, (N18/N17)^(('Summary, PPI''s'!$N18+'Summary, PPI''s'!$N17)/('Predicted PPIs'!S18+'Predicted PPIs'!S17)))*IF(O$36=".", 1, (O18/O17)^(('Summary, PPI''s'!$O18+'Summary, PPI''s'!$O17)/('Predicted PPIs'!S18+'Predicted PPIs'!S17)))*IF(P$36=".", 1, (P18/P17)^(('Summary, PPI''s'!$P18+'Summary, PPI''s'!$P17)/('Predicted PPIs'!S18+'Predicted PPIs'!S17)))</f>
        <v>89.681198795521681</v>
      </c>
      <c r="AB18" s="4">
        <f>AB17*IF(E$46=".", 1, (E18/E17)^(('Summary, PPI''s'!$E18+'Summary, PPI''s'!$E17)/('Predicted PPIs'!T18+'Predicted PPIs'!T17)))*IF(F$46=".", 1, (F18/F17)^(('Summary, PPI''s'!$F18+'Summary, PPI''s'!$F17)/('Predicted PPIs'!T18+'Predicted PPIs'!T17)))*IF(G$46=".", 1, (G18/G17)^(('Summary, PPI''s'!$G18+'Summary, PPI''s'!$G17)/('Predicted PPIs'!T18+'Predicted PPIs'!T17)))*IF(H$46=".", 1, (H18/H17)^(('Summary, PPI''s'!$H18+'Summary, PPI''s'!$H17)/('Predicted PPIs'!T18+'Predicted PPIs'!T17)))*IF(I$46=".", 1, (I18/I17)^(('Summary, PPI''s'!$I18+'Summary, PPI''s'!$I17)/('Predicted PPIs'!T18+'Predicted PPIs'!T17)))*IF(J$46=".", 1, (J18/J17)^(('Summary, PPI''s'!$J18+'Summary, PPI''s'!$J17)/('Predicted PPIs'!T18+'Predicted PPIs'!T17)))*IF(K$46=".", 1, (K18/K17)^(('Summary, PPI''s'!$K18+'Summary, PPI''s'!$K17)/('Predicted PPIs'!T18+'Predicted PPIs'!T17)))*IF(L$46=".", 1, (L18/L17)^(('Summary, PPI''s'!$L18+'Summary, PPI''s'!$L17)/('Predicted PPIs'!T18+'Predicted PPIs'!T17)))*IF(M$46=".", 1, (M18/M17)^(('Summary, PPI''s'!$M18+'Summary, PPI''s'!$M17)/('Predicted PPIs'!T18+'Predicted PPIs'!T17)))*IF(B$46=".", 1, (B18/B17)^(('Summary, PPI''s'!$B18+'Summary, PPI''s'!$B17)/('Predicted PPIs'!T18+'Predicted PPIs'!T17)))*IF(C$46=".", 1, (C18/C17)^(('Summary, PPI''s'!$C18+'Summary, PPI''s'!$C17)/('Predicted PPIs'!T18+'Predicted PPIs'!T17)))*IF(D$46=".", 1, (D18/D17)^(('Summary, PPI''s'!$D18+'Summary, PPI''s'!$D17)/('Predicted PPIs'!T18+'Predicted PPIs'!T17)))*IF(N$46=".", 1, (N18/N17)^(('Summary, PPI''s'!$N18+'Summary, PPI''s'!$N17)/('Predicted PPIs'!T18+'Predicted PPIs'!T17)))*IF(O$46=".", 1, (O18/O17)^(('Summary, PPI''s'!$O18+'Summary, PPI''s'!$O17)/('Predicted PPIs'!T18+'Predicted PPIs'!T17)))*IF(P$46=".", 1, (P18/P17)^(('Summary, PPI''s'!$P18+'Summary, PPI''s'!$P17)/('Predicted PPIs'!T18+'Predicted PPIs'!T17)))</f>
        <v>90.760347328213868</v>
      </c>
      <c r="AC18" s="4">
        <f>AC17*IF(E$60=".",1,(E18/E17)^(('Summary, PPI''s'!$E18+'Summary, PPI''s'!$E17)/('Predicted PPIs'!U18+'Predicted PPIs'!U17)))*IF(F$60=".",1,(F18/F17)^(('Summary, PPI''s'!$F18+'Summary, PPI''s'!$F17)/('Predicted PPIs'!U18+'Predicted PPIs'!U17)))*IF(G$60=".",1,(G18/G17)^(('Summary, PPI''s'!$G18+'Summary, PPI''s'!$G17)/('Predicted PPIs'!U18+'Predicted PPIs'!U17)))*IF(H$60=".",1,(H18/H17)^(('Summary, PPI''s'!$H18+'Summary, PPI''s'!$H17)/('Predicted PPIs'!U18+'Predicted PPIs'!U17)))*IF(I$60=".",1,(I18/I17)^(('Summary, PPI''s'!$I18+'Summary, PPI''s'!$I17)/('Predicted PPIs'!U18+'Predicted PPIs'!U17)))*IF(J$60=".",1,(J18/J17)^(('Summary, PPI''s'!$J18+'Summary, PPI''s'!$J17)/('Predicted PPIs'!U18+'Predicted PPIs'!U17)))*IF(K$60=".",1,(K18/K17)^(('Summary, PPI''s'!$K18+'Summary, PPI''s'!$K17)/('Predicted PPIs'!U18+'Predicted PPIs'!U17)))*IF(L$60=".",1,(L18/L17)^(('Summary, PPI''s'!$L18+'Summary, PPI''s'!$L17)/('Predicted PPIs'!U18+'Predicted PPIs'!U17)))*IF(M$60=".",1,(M18/M17)^(('Summary, PPI''s'!$M18+'Summary, PPI''s'!$M17)/('Predicted PPIs'!U18+'Predicted PPIs'!U17)))*IF(B$60=".",1,(B18/B17)^(('Summary, PPI''s'!$B18+'Summary, PPI''s'!$B17)/('Predicted PPIs'!U18+'Predicted PPIs'!U17)))*IF(C$60=".",1,(C18/C17)^(('Summary, PPI''s'!$C18+'Summary, PPI''s'!$C17)/('Predicted PPIs'!U18+'Predicted PPIs'!U17)))*IF(D$60=".",1,(D18/D17)^(('Summary, PPI''s'!$D18+'Summary, PPI''s'!$D17)/('Predicted PPIs'!U18+'Predicted PPIs'!U17)))*IF(N$60=".",1,(N18/N17)^(('Summary, PPI''s'!$N18+'Summary, PPI''s'!$N17)/('Predicted PPIs'!U18+'Predicted PPIs'!U17)))*IF(O$60=".",1,(O18/O17)^(('Summary, PPI''s'!$O18+'Summary, PPI''s'!$O17)/('Predicted PPIs'!U18+'Predicted PPIs'!U17)))*IF(P$60=".",1,(P18/P17)^(('Summary, PPI''s'!$P18+'Summary, PPI''s'!$P17)/('Predicted PPIs'!U18+'Predicted PPIs'!U17)))</f>
        <v>99.163166781844708</v>
      </c>
      <c r="AD18" s="4">
        <f>AD17*IF(E$73=".", 1, (E18/E17)^(('Summary, PPI''s'!$E18+'Summary, PPI''s'!$E17)/('Predicted PPIs'!V18+'Predicted PPIs'!V17)))*IF(F$73=".", 1, (F18/F17)^(('Summary, PPI''s'!$F18+'Summary, PPI''s'!$F17)/('Predicted PPIs'!V18+'Predicted PPIs'!V17)))*IF(G$73=".", 1, (G18/G17)^(('Summary, PPI''s'!$G18+'Summary, PPI''s'!$G17)/('Predicted PPIs'!V18+'Predicted PPIs'!V17)))*IF(H$73=".", 1, (H18/H17)^(('Summary, PPI''s'!$H18+'Summary, PPI''s'!$H17)/('Predicted PPIs'!V18+'Predicted PPIs'!V17)))*IF(I$73=".", 1, (I18/I17)^(('Summary, PPI''s'!$I18+'Summary, PPI''s'!$I17)/('Predicted PPIs'!V18+'Predicted PPIs'!V17)))*IF(J$73=".", 1, (J18/J17)^(('Summary, PPI''s'!$J18+'Summary, PPI''s'!$J17)/('Predicted PPIs'!V18+'Predicted PPIs'!V17)))*IF(K$73=".", 1, (K18/K17)^(('Summary, PPI''s'!$K18+'Summary, PPI''s'!$K17)/('Predicted PPIs'!V18+'Predicted PPIs'!V17)))*IF(L$73=".", 1, (L18/L17)^(('Summary, PPI''s'!$L18+'Summary, PPI''s'!$L17)/('Predicted PPIs'!V18+'Predicted PPIs'!V17)))*IF(M$73=".", 1, (M18/M17)^(('Summary, PPI''s'!$M18+'Summary, PPI''s'!$M17)/('Predicted PPIs'!V18+'Predicted PPIs'!V17)))*IF(B$73=".", 1, (B18/B17)^(('Summary, PPI''s'!$B18+'Summary, PPI''s'!$B17)/('Predicted PPIs'!V18+'Predicted PPIs'!V17)))*IF(C$73=".", 1, (C18/C17)^(('Summary, PPI''s'!$C18+'Summary, PPI''s'!$C17)/('Predicted PPIs'!V18+'Predicted PPIs'!V17)))*IF(D$73=".", 1, (D18/D17)^(('Summary, PPI''s'!$D18+'Summary, PPI''s'!$D17)/('Predicted PPIs'!V18+'Predicted PPIs'!V17)))*IF(N$73=".", 1, (N18/N17)^(('Summary, PPI''s'!$N18+'Summary, PPI''s'!$N17)/('Predicted PPIs'!V18+'Predicted PPIs'!V17)))*IF(O$73=".", 1, (O18/O17)^(('Summary, PPI''s'!$O18+'Summary, PPI''s'!$O17)/('Predicted PPIs'!V18+'Predicted PPIs'!V17)))*IF(P$73=".", 1, (P18/P17)^(('Summary, PPI''s'!$P18+'Summary, PPI''s'!$P17)/('Predicted PPIs'!V18+'Predicted PPIs'!V17)))</f>
        <v>100.53176873940929</v>
      </c>
      <c r="AE18" s="4">
        <f>AE17*IF(E$94=".", 1, (E18/E17)^(('Summary, PPI''s'!$E18+'Summary, PPI''s'!$E17)/('Predicted PPIs'!W18+'Predicted PPIs'!W17)))*IF(F$94=".", 1, (F18/F17)^(('Summary, PPI''s'!$F18+'Summary, PPI''s'!$F17)/('Predicted PPIs'!W18+'Predicted PPIs'!W17)))*IF(G$94=".", 1, (G18/G17)^(('Summary, PPI''s'!$G18+'Summary, PPI''s'!$G17)/('Predicted PPIs'!W18+'Predicted PPIs'!W17)))*IF(H$94=".", 1, (H18/H17)^(('Summary, PPI''s'!$H18+'Summary, PPI''s'!$H17)/('Predicted PPIs'!W18+'Predicted PPIs'!W17)))*IF(I$94=".", 1, (I18/I17)^(('Summary, PPI''s'!$I18+'Summary, PPI''s'!$I17)/('Predicted PPIs'!W18+'Predicted PPIs'!W17)))*IF(J$94=".", 1, (J18/J17)^(('Summary, PPI''s'!$J18+'Summary, PPI''s'!$J17)/('Predicted PPIs'!W18+'Predicted PPIs'!W17)))*IF(K$94=".", 1, (K18/K17)^(('Summary, PPI''s'!$K18+'Summary, PPI''s'!$K17)/('Predicted PPIs'!W18+'Predicted PPIs'!W17)))*IF(L$94=".", 1, (L18/L17)^(('Summary, PPI''s'!$L18+'Summary, PPI''s'!$L17)/('Predicted PPIs'!W18+'Predicted PPIs'!W17)))*IF(M$94=".", 1, (M18/M17)^(('Summary, PPI''s'!$M18+'Summary, PPI''s'!$M17)/('Predicted PPIs'!W18+'Predicted PPIs'!W17)))*IF(B$94=".", 1, (B18/B17)^(('Summary, PPI''s'!$B18+'Summary, PPI''s'!$B17)/('Predicted PPIs'!W18+'Predicted PPIs'!W17)))*IF(C$94=".", 1, (C18/C17)^(('Summary, PPI''s'!$C18+'Summary, PPI''s'!$C17)/('Predicted PPIs'!W18+'Predicted PPIs'!W17)))*IF(D$94=".", 1, (D18/D17)^(('Summary, PPI''s'!$D18+'Summary, PPI''s'!$D17)/('Predicted PPIs'!W18+'Predicted PPIs'!W17)))*IF(N$94=".", 1, (N18/N17)^(('Summary, PPI''s'!$N18+'Summary, PPI''s'!$N17)/('Predicted PPIs'!W18+'Predicted PPIs'!W17)))*IF(O$94=".", 1, (O18/O17)^(('Summary, PPI''s'!$O18+'Summary, PPI''s'!$O17)/('Predicted PPIs'!W18+'Predicted PPIs'!W17)))*IF(P$94=".", 1, (P18/P17)^(('Summary, PPI''s'!$P18+'Summary, PPI''s'!$P17)/('Predicted PPIs'!W18+'Predicted PPIs'!W17)))</f>
        <v>94.918445039528862</v>
      </c>
      <c r="AF18" s="4">
        <f>AF17*IF(E$123=".", 1, (E18/E17)^(('Summary, PPI''s'!$E18+'Summary, PPI''s'!$E17)/('Predicted PPIs'!X18+'Predicted PPIs'!X17)))*IF(F$123=".", 1, (F18/F17)^(('Summary, PPI''s'!$F18+'Summary, PPI''s'!$F17)/('Predicted PPIs'!X18+'Predicted PPIs'!X17)))*IF(G$123=".", 1, (G18/G17)^(('Summary, PPI''s'!$G18+'Summary, PPI''s'!$G17)/('Predicted PPIs'!X18+'Predicted PPIs'!X17)))*IF(H$123=".", 1, (H18/H17)^(('Summary, PPI''s'!$H18+'Summary, PPI''s'!$H17)/('Predicted PPIs'!X18+'Predicted PPIs'!X17)))*IF(I$123=".", 1, (I18/I17)^(('Summary, PPI''s'!$I18+'Summary, PPI''s'!$I17)/('Predicted PPIs'!X18+'Predicted PPIs'!X17)))*IF(J$123=".", 1, (J18/J17)^(('Summary, PPI''s'!$J18+'Summary, PPI''s'!$J17)/('Predicted PPIs'!X18+'Predicted PPIs'!X17)))*IF(K$123=".", 1, (K18/K17)^(('Summary, PPI''s'!$K18+'Summary, PPI''s'!$K17)/('Predicted PPIs'!X18+'Predicted PPIs'!X17)))*IF(L$123=".", 1, (L18/L17)^(('Summary, PPI''s'!$L18+'Summary, PPI''s'!$L17)/('Predicted PPIs'!X18+'Predicted PPIs'!X17)))*IF(M$123=".", 1, (M18/M17)^(('Summary, PPI''s'!$M18+'Summary, PPI''s'!$M17)/('Predicted PPIs'!X18+'Predicted PPIs'!X17)))*IF(B$123=".", 1, (B18/B17)^(('Summary, PPI''s'!$B18+'Summary, PPI''s'!$B17)/('Predicted PPIs'!X18+'Predicted PPIs'!X17)))*IF(C$123=".", 1, (C18/C17)^(('Summary, PPI''s'!$C18+'Summary, PPI''s'!$C17)/('Predicted PPIs'!X18+'Predicted PPIs'!X17)))*IF(D$123=".", 1, (D18/D17)^(('Summary, PPI''s'!$D18+'Summary, PPI''s'!$D17)/('Predicted PPIs'!X18+'Predicted PPIs'!X17)))*IF(N$123=".", 1, (N18/N17)^(('Summary, PPI''s'!$N18+'Summary, PPI''s'!$N17)/('Predicted PPIs'!X18+'Predicted PPIs'!X17)))*IF(O$123=".", 1, (O18/O17)^(('Summary, PPI''s'!$O18+'Summary, PPI''s'!$O17)/('Predicted PPIs'!X18+'Predicted PPIs'!X17)))*IF(P$123=".", 1, (P18/P17)^(('Summary, PPI''s'!$P18+'Summary, PPI''s'!$P17)/('Predicted PPIs'!X18+'Predicted PPIs'!X17)))</f>
        <v>88.525944868497106</v>
      </c>
      <c r="AH18" s="13">
        <f t="shared" si="32"/>
        <v>101.02116605636769</v>
      </c>
      <c r="AJ18" s="4">
        <v>8769.1</v>
      </c>
      <c r="AK18" s="4">
        <v>-0.38400000000000001</v>
      </c>
      <c r="AL18" s="4">
        <v>-1029.105</v>
      </c>
      <c r="AM18" s="4">
        <v>-17.145</v>
      </c>
      <c r="AN18" s="4">
        <v>9563.2000000000007</v>
      </c>
      <c r="AO18" s="4">
        <v>2454.4</v>
      </c>
      <c r="AP18" s="4">
        <f>1286.303+0.005+0.232+13.512-1358.399</f>
        <v>-58.346999999999753</v>
      </c>
      <c r="AQ18" s="4">
        <f>844.339+15.461+11.629+40.1-1282.683</f>
        <v>-371.15399999999988</v>
      </c>
      <c r="AR18" s="4">
        <v>-37.719000000000001</v>
      </c>
      <c r="AS18" s="4">
        <v>-69.834999999999994</v>
      </c>
      <c r="AT18" s="4">
        <v>86.876000000000005</v>
      </c>
      <c r="AU18" s="4">
        <v>75.635000000000005</v>
      </c>
      <c r="AV18" s="4">
        <v>86.912999999999997</v>
      </c>
      <c r="AW18" s="4">
        <v>86.28</v>
      </c>
      <c r="AX18" s="4">
        <v>82.986000000000004</v>
      </c>
      <c r="AY18" s="4">
        <v>94.596999999999994</v>
      </c>
      <c r="AZ18" s="4">
        <v>75.733000000000004</v>
      </c>
      <c r="BA18" s="4">
        <v>85.88</v>
      </c>
      <c r="BB18" s="4">
        <v>98.828999999999994</v>
      </c>
      <c r="BC18" s="4">
        <v>98.304000000000002</v>
      </c>
      <c r="BG18" s="4">
        <f t="shared" si="50"/>
        <v>95.912140899403283</v>
      </c>
      <c r="BI18" s="4">
        <f>BI$13*'[2]Ordinary Experience'!$D$408/'[2]Ordinary Experience'!$D$413</f>
        <v>295021191.1565249</v>
      </c>
      <c r="BJ18" s="4">
        <f>'[2]Ordinary Experience'!$E$408</f>
        <v>20.680109430804247</v>
      </c>
      <c r="BL18" s="4">
        <f t="shared" si="0"/>
        <v>103.41272803549623</v>
      </c>
      <c r="BM18" s="4">
        <f t="shared" si="34"/>
        <v>3.4765361452316457E-2</v>
      </c>
      <c r="BO18" s="4">
        <f>IF(OR('Summary, hourly ad costs'!R18=-9999,'Summary, PPI''s'!R18="."),".",(('Summary, hourly ad costs'!B18/'Summary, hourly ad costs'!R18)*100/('Summary, hourly ad costs'!B$11/'Summary, hourly ad costs'!R$11))/('Summary, PPI''s'!R18))</f>
        <v>1.0971432067837688</v>
      </c>
      <c r="BP18" s="4" t="str">
        <f>IF(OR('Summary, hourly ad costs'!S18=-9999,'Summary, PPI''s'!S18="."),".",(('Summary, hourly ad costs'!C18/'Summary, hourly ad costs'!S18)*100/('Summary, hourly ad costs'!C$11/'Summary, hourly ad costs'!S$11))/('Summary, PPI''s'!S18))</f>
        <v>.</v>
      </c>
      <c r="BQ18" s="4" t="str">
        <f>IF(OR('Summary, hourly ad costs'!T18=-9999,'Summary, PPI''s'!T18="."),".",(('Summary, hourly ad costs'!D18/'Summary, hourly ad costs'!T18)*100/('Summary, hourly ad costs'!D$11/'Summary, hourly ad costs'!T$11))/('Summary, PPI''s'!T18))</f>
        <v>.</v>
      </c>
      <c r="BR18" s="4">
        <f>IF(OR('Summary, hourly ad costs'!U18=-9999,'Summary, PPI''s'!U18="."),".",(('Summary, hourly ad costs'!E18/'Summary, hourly ad costs'!U18)*100/('Summary, hourly ad costs'!E$11/'Summary, hourly ad costs'!U$11))/('Summary, PPI''s'!U18))</f>
        <v>1.8535227434914099</v>
      </c>
      <c r="BS18" s="4">
        <f>IF(OR('Summary, hourly ad costs'!V18=-9999,'Summary, PPI''s'!V18="."),".",(('Summary, hourly ad costs'!F18/'Summary, hourly ad costs'!V18)*100/('Summary, hourly ad costs'!F$11/'Summary, hourly ad costs'!V$11))/('Summary, PPI''s'!V18))</f>
        <v>1.7774827001447338</v>
      </c>
      <c r="BT18" s="4" t="str">
        <f>IF(OR('Summary, hourly ad costs'!W18=-9999,'Summary, PPI''s'!W18="."),".",(('Summary, hourly ad costs'!G18/'Summary, hourly ad costs'!W18)*100/('Summary, hourly ad costs'!G$11/'Summary, hourly ad costs'!W$11))/('Summary, PPI''s'!W18))</f>
        <v>.</v>
      </c>
      <c r="BU18" s="4">
        <f>IF(OR('Summary, hourly ad costs'!X18=-9999,'Summary, PPI''s'!X18="."),".",(('Summary, hourly ad costs'!H18/'Summary, hourly ad costs'!X18)*100/('Summary, hourly ad costs'!H$11/'Summary, hourly ad costs'!X$11))/('Summary, PPI''s'!X18))</f>
        <v>0.95888938556248982</v>
      </c>
      <c r="BV18" s="4">
        <f>IF(OR('Summary, hourly ad costs'!Y18=-9999,'Summary, PPI''s'!Y18="."),".",(('Summary, hourly ad costs'!I18/'Summary, hourly ad costs'!Y18)*100/('Summary, hourly ad costs'!I$11/'Summary, hourly ad costs'!Y$11))/('Summary, PPI''s'!Y18))</f>
        <v>0.89165316658350657</v>
      </c>
      <c r="BW18" s="4">
        <f>IF(OR('Summary, hourly ad costs'!Z18=-9999,'Summary, PPI''s'!Z18="."),".",(('Summary, hourly ad costs'!J18/'Summary, hourly ad costs'!Z18)*100/('Summary, hourly ad costs'!J$11/'Summary, hourly ad costs'!Z$11))/('Summary, PPI''s'!Z18))</f>
        <v>0.87875402869426034</v>
      </c>
      <c r="BX18" s="4">
        <f>IF(OR('Summary, hourly ad costs'!AA18=-9999,'Summary, PPI''s'!AA18="."),".",(('Summary, hourly ad costs'!K18/'Summary, hourly ad costs'!AA18)*100/('Summary, hourly ad costs'!K$11/'Summary, hourly ad costs'!AA$11))/('Summary, PPI''s'!AA18))</f>
        <v>1.2528837468827261</v>
      </c>
      <c r="BY18" s="4" t="str">
        <f>IF(OR('Summary, hourly ad costs'!AB18=-9999,'Summary, PPI''s'!AB18="."),".",(('Summary, hourly ad costs'!L18/'Summary, hourly ad costs'!AB18)*100/('Summary, hourly ad costs'!L$11/'Summary, hourly ad costs'!AB$11))/('Summary, PPI''s'!AB18))</f>
        <v>.</v>
      </c>
      <c r="BZ18" s="4" t="str">
        <f>IF(OR('Summary, hourly ad costs'!AC18=-9999,'Summary, PPI''s'!AC18="."),".",(('Summary, hourly ad costs'!M18/'Summary, hourly ad costs'!AC18)*100/('Summary, hourly ad costs'!M$11/'Summary, hourly ad costs'!AC$11))/('Summary, PPI''s'!AC18))</f>
        <v>.</v>
      </c>
      <c r="CA18" s="4" t="str">
        <f>IF(OR('Summary, hourly ad costs'!AD18=-9999,'Summary, PPI''s'!AD18="."),".",(('Summary, hourly ad costs'!N18/'Summary, hourly ad costs'!AD18)*100/('Summary, hourly ad costs'!N$11/'Summary, hourly ad costs'!AD$11))/('Summary, PPI''s'!AD18))</f>
        <v>.</v>
      </c>
      <c r="CB18" s="4" t="str">
        <f>IF(OR('Summary, hourly ad costs'!AE18=-9999,'Summary, PPI''s'!AE18="."),".",(('Summary, hourly ad costs'!O18/'Summary, hourly ad costs'!AE18)*100/('Summary, hourly ad costs'!O$11/'Summary, hourly ad costs'!AE$11))/('Summary, PPI''s'!AE18))</f>
        <v>.</v>
      </c>
      <c r="CC18" s="4" t="str">
        <f>IF(OR('Summary, hourly ad costs'!AF18=-9999,'Summary, PPI''s'!AF18="."),".",(('Summary, hourly ad costs'!P18/'Summary, hourly ad costs'!AF18)*100/('Summary, hourly ad costs'!P$11/'Summary, hourly ad costs'!AF$11))/('Summary, PPI''s'!AF18))</f>
        <v>.</v>
      </c>
      <c r="CE18" s="4">
        <f t="shared" si="51"/>
        <v>7.8673793458245767E-2</v>
      </c>
      <c r="CF18" s="4" t="str">
        <f t="shared" si="52"/>
        <v>.</v>
      </c>
      <c r="CG18" s="4" t="str">
        <f t="shared" si="53"/>
        <v>.</v>
      </c>
      <c r="CH18" s="4">
        <f t="shared" si="54"/>
        <v>7.208121025876979E-3</v>
      </c>
      <c r="CI18" s="4">
        <f t="shared" si="55"/>
        <v>-1.6229698783956414E-2</v>
      </c>
      <c r="CJ18" s="4" t="str">
        <f t="shared" si="56"/>
        <v>.</v>
      </c>
      <c r="CK18" s="4">
        <f t="shared" si="57"/>
        <v>-4.8497034829913854E-2</v>
      </c>
      <c r="CL18" s="4">
        <f t="shared" si="58"/>
        <v>-4.1382843234483158E-4</v>
      </c>
      <c r="CM18" s="4">
        <f t="shared" si="59"/>
        <v>3.0067696973554492E-2</v>
      </c>
      <c r="CN18" s="4">
        <f t="shared" si="60"/>
        <v>-2.223711643958326E-2</v>
      </c>
      <c r="CO18" s="4">
        <f t="shared" si="61"/>
        <v>0.2225621978072771</v>
      </c>
      <c r="CP18" s="4">
        <f t="shared" si="61"/>
        <v>9.883239883310109E-2</v>
      </c>
      <c r="CQ18" s="4" t="str">
        <f t="shared" si="62"/>
        <v>.</v>
      </c>
      <c r="CR18" s="4" t="str">
        <f t="shared" si="63"/>
        <v>.</v>
      </c>
      <c r="CS18" s="4" t="str">
        <f t="shared" si="64"/>
        <v>.</v>
      </c>
      <c r="CU18" s="5">
        <f>IF(CU17=".", ".", IF('Summary, PPI''s'!R18=".",IF(OR('Summary, hourly ad costs'!R18=-9999,'Summary, hourly ad costs'!R18=0), ".", 'Predicted PPIs'!CU17*('Summary, hourly ad costs'!B18/'Summary, hourly ad costs'!R18)/('Summary, hourly ad costs'!B17/'Summary, hourly ad costs'!R17)/(1-CE17)), 'Summary, PPI''s'!R18))</f>
        <v>98.740997599359829</v>
      </c>
      <c r="CV18" s="5">
        <f>IF(CV17=".", ".", IF('Summary, PPI''s'!S18=".",IF(OR('Summary, hourly ad costs'!S18=-9999,'Summary, hourly ad costs'!S18=0), ".", 'Predicted PPIs'!CV17*('Summary, hourly ad costs'!C18/'Summary, hourly ad costs'!S18)/('Summary, hourly ad costs'!C17/'Summary, hourly ad costs'!S17)/(1-CF17)), 'Summary, PPI''s'!S18))</f>
        <v>98.740997599359829</v>
      </c>
      <c r="CW18" s="5">
        <f>IF(CW17=".", ".", IF('Summary, PPI''s'!T18=".",IF(OR('Summary, hourly ad costs'!T18=-9999,'Summary, hourly ad costs'!T18=0), ".", 'Predicted PPIs'!CW17*('Summary, hourly ad costs'!D18/'Summary, hourly ad costs'!T18)/('Summary, hourly ad costs'!D17/'Summary, hourly ad costs'!T17)/(1-CG17)), 'Summary, PPI''s'!T18))</f>
        <v>91.860874817536626</v>
      </c>
      <c r="CX18" s="5">
        <f>IF(CX17=".", ".", IF('Summary, PPI''s'!U18=".",IF(OR('Summary, hourly ad costs'!U18=-9999,'Summary, hourly ad costs'!U18=0), ".", 'Predicted PPIs'!CX17*('Summary, hourly ad costs'!E18/'Summary, hourly ad costs'!U18)/('Summary, hourly ad costs'!E17/'Summary, hourly ad costs'!U17)/(1-CH17)), 'Summary, PPI''s'!U18))</f>
        <v>91.79675931801836</v>
      </c>
      <c r="CY18" s="5">
        <f>IF(CY17=".", ".", IF('Summary, PPI''s'!V18=".",IF(OR('Summary, hourly ad costs'!V18=-9999,'Summary, hourly ad costs'!V18=0), ".", 'Predicted PPIs'!CY17*('Summary, hourly ad costs'!F18/'Summary, hourly ad costs'!V18)/('Summary, hourly ad costs'!F17/'Summary, hourly ad costs'!V17)/(1-CI17)), 'Summary, PPI''s'!V18))</f>
        <v>83.634004695415783</v>
      </c>
      <c r="CZ18" s="5">
        <f>IF(CZ17=".", ".", IF('Summary, PPI''s'!W18=".",IF(OR('Summary, hourly ad costs'!W18=-9999,'Summary, hourly ad costs'!W18=0), ".", 'Predicted PPIs'!CZ17*('Summary, hourly ad costs'!G18/'Summary, hourly ad costs'!W18)/('Summary, hourly ad costs'!G17/'Summary, hourly ad costs'!W17)/(1-CJ17)), 'Summary, PPI''s'!W18))</f>
        <v>87.819253438113947</v>
      </c>
      <c r="DA18" s="5">
        <f>IF(DA17=".", ".", IF('Summary, PPI''s'!X18=".",IF(OR('Summary, hourly ad costs'!X18=-9999,'Summary, hourly ad costs'!X18=0), ".", 'Predicted PPIs'!DA17*('Summary, hourly ad costs'!H18/'Summary, hourly ad costs'!X18)/('Summary, hourly ad costs'!H17/'Summary, hourly ad costs'!X17)/(1-CK17)), 'Summary, PPI''s'!X18))</f>
        <v>85.635000000000005</v>
      </c>
      <c r="DB18" s="5">
        <f>IF(DB17=".", ".", IF('Summary, PPI''s'!Y18=".",IF(OR('Summary, hourly ad costs'!Y18=-9999,'Summary, hourly ad costs'!Y18=0), ".", 'Predicted PPIs'!DB17*('Summary, hourly ad costs'!I18/'Summary, hourly ad costs'!Y18)/('Summary, hourly ad costs'!I17/'Summary, hourly ad costs'!Y17)/(1-CL17)), 'Summary, PPI''s'!Y18))</f>
        <v>111.56633706114022</v>
      </c>
      <c r="DC18" s="5">
        <f>IF(DC17=".", ".", IF('Summary, PPI''s'!Z18=".",IF(OR('Summary, hourly ad costs'!Z18=-9999,'Summary, hourly ad costs'!Z18=0), ".", 'Predicted PPIs'!DC17*('Summary, hourly ad costs'!J18/'Summary, hourly ad costs'!Z18)/('Summary, hourly ad costs'!J17/'Summary, hourly ad costs'!Z17)/(1-CM17)), 'Summary, PPI''s'!Z18))</f>
        <v>102.86742007885159</v>
      </c>
      <c r="DD18" s="5">
        <f>IF(DD17=".", ".", IF('Summary, PPI''s'!AA18=".",IF(OR('Summary, hourly ad costs'!AA18=-9999,'Summary, hourly ad costs'!AA18=0), ".", 'Predicted PPIs'!DD17*('Summary, hourly ad costs'!K18/'Summary, hourly ad costs'!AA18)/('Summary, hourly ad costs'!K17/'Summary, hourly ad costs'!AA17)/(1-CN17)), 'Summary, PPI''s'!AA18))</f>
        <v>80.585335131731355</v>
      </c>
      <c r="DE18" s="5">
        <f>IF(DE17=".", ".", IF('Summary, PPI''s'!AB18=".",IF(OR('Summary, hourly ad costs'!AB18=-9999,'Summary, hourly ad costs'!AB18=0), ".", 'Predicted PPIs'!DE17*('Summary, hourly ad costs'!L18/'Summary, hourly ad costs'!AB18)/('Summary, hourly ad costs'!L17/'Summary, hourly ad costs'!AB17)/(1-CO17)), 'Summary, PPI''s'!AB18))</f>
        <v>63.20589898672813</v>
      </c>
      <c r="DF18" s="5">
        <f>IF(DF17=".", ".", IF('Summary, PPI''s'!AC18=".",IF(OR('Summary, hourly ad costs'!AC18=-9999,'Summary, hourly ad costs'!AC18=0), ".", 'Predicted PPIs'!DF17*('Summary, hourly ad costs'!M18/'Summary, hourly ad costs'!AC18)/('Summary, hourly ad costs'!M17/'Summary, hourly ad costs'!AC17)/(1-CP17)), 'Summary, PPI''s'!AC18))</f>
        <v>431.55489699862113</v>
      </c>
      <c r="DG18" s="5">
        <f>IF(DG17=".", ".", IF('Summary, PPI''s'!AD18=".",IF(OR('Summary, hourly ad costs'!AD18=-9999,'Summary, hourly ad costs'!AD18=0), ".", 'Predicted PPIs'!DG17*('Summary, hourly ad costs'!N18/'Summary, hourly ad costs'!AD18)/('Summary, hourly ad costs'!N17/'Summary, hourly ad costs'!AD17)/(1-CQ17)), 'Summary, PPI''s'!AD18))</f>
        <v>94.38827745072949</v>
      </c>
      <c r="DH18" s="5">
        <f>IF(DH17=".", ".", IF('Summary, PPI''s'!AE18=".",IF(OR('Summary, hourly ad costs'!AE18=-9999,'Summary, hourly ad costs'!AE18=0), ".", 'Predicted PPIs'!DH17*('Summary, hourly ad costs'!O18/'Summary, hourly ad costs'!AE18)/('Summary, hourly ad costs'!O17/'Summary, hourly ad costs'!AE17)/(1-CR17)), 'Summary, PPI''s'!AE18))</f>
        <v>82.528999999999996</v>
      </c>
      <c r="DI18" s="5">
        <f>IF(DI17=".", ".", IF('Summary, PPI''s'!AF18=".",IF(OR('Summary, hourly ad costs'!AF18=-9999,'Summary, hourly ad costs'!AF18=0), ".", 'Predicted PPIs'!DI17*('Summary, hourly ad costs'!P18/'Summary, hourly ad costs'!AF18)/('Summary, hourly ad costs'!P17/'Summary, hourly ad costs'!AF17)/(1-CS17)), 'Summary, PPI''s'!AF18))</f>
        <v>85.304000000000002</v>
      </c>
      <c r="DK18" s="4">
        <v>79.409000000000006</v>
      </c>
      <c r="DM18" s="5">
        <f t="shared" si="16"/>
        <v>-2.1439837303462772E-2</v>
      </c>
      <c r="DN18" s="5">
        <f t="shared" si="17"/>
        <v>-2.1439837303462772E-2</v>
      </c>
      <c r="DO18" s="5">
        <f t="shared" si="18"/>
        <v>-2.1339313877897226E-3</v>
      </c>
      <c r="DP18" s="5">
        <f t="shared" si="19"/>
        <v>4.4691861463259652E-3</v>
      </c>
      <c r="DQ18" s="5">
        <f t="shared" si="20"/>
        <v>2.88526202896211E-3</v>
      </c>
      <c r="DR18" s="5">
        <f t="shared" si="21"/>
        <v>-1.8123536247821592E-2</v>
      </c>
      <c r="DS18" s="5">
        <f t="shared" si="22"/>
        <v>-6.3521581980812147E-3</v>
      </c>
      <c r="DT18" s="5">
        <f t="shared" si="23"/>
        <v>2.2542132099601098E-4</v>
      </c>
      <c r="DU18" s="5">
        <f t="shared" si="24"/>
        <v>-6.2167823167902814E-2</v>
      </c>
      <c r="DV18" s="5">
        <f t="shared" si="25"/>
        <v>-3.107186372568016E-2</v>
      </c>
      <c r="DW18" s="5">
        <f t="shared" si="26"/>
        <v>-9.9006257487299631E-2</v>
      </c>
      <c r="DX18" s="5">
        <f t="shared" si="27"/>
        <v>3.813477463112358E-2</v>
      </c>
      <c r="DY18" s="5">
        <f t="shared" si="28"/>
        <v>-2.4805707169268887E-2</v>
      </c>
      <c r="DZ18" s="5">
        <f t="shared" si="29"/>
        <v>1.8200427694873733E-2</v>
      </c>
      <c r="EA18" s="5">
        <f t="shared" si="30"/>
        <v>-5.3843494733215591E-3</v>
      </c>
      <c r="EC18" s="1">
        <f t="shared" si="35"/>
        <v>98.740997599359829</v>
      </c>
      <c r="ED18" s="1">
        <f t="shared" si="36"/>
        <v>98.740997599359829</v>
      </c>
      <c r="EE18" s="1">
        <f t="shared" si="37"/>
        <v>91.860874817536626</v>
      </c>
      <c r="EF18" s="1">
        <f t="shared" si="38"/>
        <v>91.79675931801836</v>
      </c>
      <c r="EG18" s="1">
        <f t="shared" si="39"/>
        <v>83.634004695415783</v>
      </c>
      <c r="EH18" s="1">
        <f t="shared" si="40"/>
        <v>87.819253438113947</v>
      </c>
      <c r="EI18" s="1">
        <f t="shared" si="41"/>
        <v>85.635000000000005</v>
      </c>
      <c r="EJ18" s="1">
        <f t="shared" si="42"/>
        <v>111.56633706114022</v>
      </c>
      <c r="EK18" s="1">
        <f t="shared" si="43"/>
        <v>102.86742007885159</v>
      </c>
      <c r="EL18" s="1">
        <f t="shared" si="44"/>
        <v>80.585335131731355</v>
      </c>
      <c r="EM18" s="1">
        <f t="shared" si="45"/>
        <v>63.20589898672813</v>
      </c>
      <c r="EN18" s="1">
        <f t="shared" si="46"/>
        <v>431.55489699862113</v>
      </c>
      <c r="EO18" s="1">
        <f t="shared" si="47"/>
        <v>94.38827745072949</v>
      </c>
      <c r="EP18" s="1">
        <f t="shared" si="48"/>
        <v>82.528999999999996</v>
      </c>
      <c r="EQ18" s="1">
        <f t="shared" si="49"/>
        <v>85.304000000000002</v>
      </c>
      <c r="ES18" s="1">
        <f>IF(EF$26=".", 0, 'Summary, PPI''s'!E18)+IF(EG$26=".", 0, 'Summary, PPI''s'!F18)+IF(EH$26=".", 0, 'Summary, PPI''s'!G18)+IF(EI$26=".", 0, 'Summary, PPI''s'!H18)+IF(EJ$26=".", 0, 'Summary, PPI''s'!I18)+IF(EK$26=".", 0, 'Summary, PPI''s'!J18)+IF(EL$26=".", 0, 'Summary, PPI''s'!K18)+IF(EM$26=".", 0, 'Summary, PPI''s'!L18)+IF(EN$26=".", 0, 'Summary, PPI''s'!M18)+IF(EC$26=".", 0, 'Summary, PPI''s'!B18)+IF(ED$26=".", 0, 'Summary, PPI''s'!C18)+IF(EE$26=".", 0, 'Summary, PPI''s'!D18)+IF(EO$26=".", 0, 'Summary, PPI''s'!N18)+IF(EP$26=".", 0, 'Summary, PPI''s'!O18)+IF(EQ$26=".", 0, 'Summary, PPI''s'!P18)</f>
        <v>294994485.13161927</v>
      </c>
      <c r="ET18" s="1">
        <f>'Summary, hourly ad costs'!E18+'Summary, hourly ad costs'!F18+'Summary, hourly ad costs'!H18+'Summary, hourly ad costs'!I18+'Summary, hourly ad costs'!J18+'Summary, hourly ad costs'!K18+'Summary, hourly ad costs'!L18+'Summary, hourly ad costs'!M18+'Summary, hourly ad costs'!B18</f>
        <v>155109859.76727781</v>
      </c>
      <c r="EV18" s="13">
        <f>EV17*IF(EF$26=".", 1, (EF18/EF17)^(('Summary, PPI''s'!$E18+'Summary, PPI''s'!$E17)/('Predicted PPIs'!ES18+'Predicted PPIs'!ES17)))*IF(EG$26=".", 1, (EG18/EG17)^(('Summary, PPI''s'!$F18+'Summary, PPI''s'!$F17)/('Predicted PPIs'!ES18+'Predicted PPIs'!ES17)))*IF(EH$26=".", 1, (EH18/EH17)^(('Summary, PPI''s'!$G18+'Summary, PPI''s'!$G17)/('Predicted PPIs'!ES18+'Predicted PPIs'!ES17)))*IF(EI$26=".", 1, (EI18/EI17)^(('Summary, PPI''s'!$H18+'Summary, PPI''s'!$H17)/('Predicted PPIs'!ES18+'Predicted PPIs'!ES17)))*IF(EJ$26=".", 1, (EJ18/EJ17)^(('Summary, PPI''s'!$I18+'Summary, PPI''s'!$I17)/('Predicted PPIs'!ES18+'Predicted PPIs'!ES17)))*IF(EK$26=".", 1, (EK18/EK17)^(('Summary, PPI''s'!$J18+'Summary, PPI''s'!$J17)/('Predicted PPIs'!ES18+'Predicted PPIs'!ES17)))*IF(EL$26=".", 1, (EL18/EL17)^(('Summary, PPI''s'!$K18+'Summary, PPI''s'!$K17)/('Predicted PPIs'!ES18+'Predicted PPIs'!ES17)))*IF(EM$26=".", 1, (EM18/EM17)^(('Summary, PPI''s'!$L18+'Summary, PPI''s'!$L17)/('Predicted PPIs'!ES18+'Predicted PPIs'!ES17)))*IF(EN$26=".", 1, (EN18/EN17)^(('Summary, PPI''s'!$M18+'Summary, PPI''s'!$M17)/('Predicted PPIs'!ES18+'Predicted PPIs'!ES17)))*IF(EC$26=".", 1, (EC18/EC17)^(('Summary, PPI''s'!$B18+'Summary, PPI''s'!$B17)/('Predicted PPIs'!ES18+'Predicted PPIs'!ES17)))*IF(ED$26=".", 1, (ED18/ED17)^(('Summary, PPI''s'!$C18+'Summary, PPI''s'!$C17)/('Predicted PPIs'!ES18+'Predicted PPIs'!ES17)))*IF(EE$26=".", 1, (EE18/EE17)^(('Summary, PPI''s'!$D18+'Summary, PPI''s'!$D17)/('Predicted PPIs'!ES18+'Predicted PPIs'!ES17)))*IF(EO$26=".", 1, (EO18/EO17)^(('Summary, PPI''s'!$N18+'Summary, PPI''s'!$N17)/('Predicted PPIs'!ES18+'Predicted PPIs'!ES17)))*IF(EP$26=".", 1, (EP18/EP17)^(('Summary, PPI''s'!$O18+'Summary, PPI''s'!$O17)/('Predicted PPIs'!ES18+'Predicted PPIs'!ES17)))*IF(EQ$26=".", 1, (EQ18/EQ17)^(('Summary, PPI''s'!$P18+'Summary, PPI''s'!$P17)/('Predicted PPIs'!ES18+'Predicted PPIs'!ES17)))</f>
        <v>103.79801021274037</v>
      </c>
      <c r="EW18" s="13">
        <f>EW17*IF(EF$26=".", 1, (EF18/EF17)^(('Summary, PPI''s'!$E18+'Summary, PPI''s'!$E17)/('Predicted PPIs'!ET18+'Predicted PPIs'!ET17)))*IF(EG$26=".", 1, (EG18/EG17)^(('Summary, PPI''s'!$F18+'Summary, PPI''s'!$F17)/('Predicted PPIs'!ET18+'Predicted PPIs'!ET17)))*IF(EH$26=".", 1, (EH18/EH17)^(('Summary, PPI''s'!$G18+'Summary, PPI''s'!$G17)/('Predicted PPIs'!ET18+'Predicted PPIs'!ET17)))*IF(EK$26=".", 1, (EK18/EK17)^(('Summary, PPI''s'!$J18+'Summary, PPI''s'!$J17)/('Predicted PPIs'!ET18+'Predicted PPIs'!ET17)))*IF(EL$26=".", 1, (EL18/EL17)^(('Summary, PPI''s'!$K18+'Summary, PPI''s'!$K17)/('Predicted PPIs'!ET18+'Predicted PPIs'!ET17)))*IF(EM$26=".", 1, (EM18/EM17)^(('Summary, PPI''s'!$L18+'Summary, PPI''s'!$L17)/('Predicted PPIs'!ET18+'Predicted PPIs'!ET17)))*IF(EN$26=".", 1, (EN18/EN17)^(('Summary, PPI''s'!$M18+'Summary, PPI''s'!$M17)/('Predicted PPIs'!ET18+'Predicted PPIs'!ET17)))*IF(EC$26=".", 1, (EC18/EC17)^(('Summary, PPI''s'!$B18+'Summary, PPI''s'!$B17)/('Predicted PPIs'!ET18+'Predicted PPIs'!ET17)))</f>
        <v>118.37292719891755</v>
      </c>
      <c r="EY18" s="2"/>
    </row>
    <row r="19" spans="1:155" x14ac:dyDescent="0.3">
      <c r="A19" s="4">
        <v>2004</v>
      </c>
      <c r="B19" s="10">
        <f>IF(B18=".", ".", IF('Summary, PPI''s'!R19=".",IF(OR('Summary, hourly ad costs'!R19=-9999,'Summary, hourly ad costs'!R19=0), ".", 'Predicted PPIs'!B18*('Summary, hourly ad costs'!B19/'Summary, hourly ad costs'!R19)/('Summary, hourly ad costs'!B18/'Summary, hourly ad costs'!R18)), 'Summary, PPI''s'!R19))</f>
        <v>97.113897039210457</v>
      </c>
      <c r="C19" s="10">
        <f>IF(C18=".", ".", IF('Summary, PPI''s'!S19=".",IF(OR('Summary, hourly ad costs'!S19=-9999,'Summary, hourly ad costs'!S19=0), ".", 'Predicted PPIs'!C18*('Summary, hourly ad costs'!C19/'Summary, hourly ad costs'!S19)/('Summary, hourly ad costs'!C18/'Summary, hourly ad costs'!S18)), 'Summary, PPI''s'!S19))</f>
        <v>97.113897039210457</v>
      </c>
      <c r="D19" s="10">
        <f>IF(D18=".", ".", IF('Summary, PPI''s'!T19=".",IF(OR('Summary, hourly ad costs'!T19=-9999,'Summary, hourly ad costs'!T19=0), ".", 'Predicted PPIs'!D18*('Summary, hourly ad costs'!D19/'Summary, hourly ad costs'!T19)/('Summary, hourly ad costs'!D18/'Summary, hourly ad costs'!T18)), 'Summary, PPI''s'!T19))</f>
        <v>88.599184577439971</v>
      </c>
      <c r="E19" s="10">
        <f>IF(E18=".", ".", IF('Summary, PPI''s'!U19=".",IF(OR('Summary, hourly ad costs'!U19=-9999,'Summary, hourly ad costs'!U19=0), ".", 'Predicted PPIs'!E18*('Summary, hourly ad costs'!E19/'Summary, hourly ad costs'!U19)/('Summary, hourly ad costs'!E18/'Summary, hourly ad costs'!U18)), 'Summary, PPI''s'!U19))</f>
        <v>87.955324279730945</v>
      </c>
      <c r="F19" s="10">
        <f>IF(F18=".", ".", IF('Summary, PPI''s'!V19=".",IF(OR('Summary, hourly ad costs'!V19=-9999,'Summary, hourly ad costs'!V19=0), ".", 'Predicted PPIs'!F18*('Summary, hourly ad costs'!F19/'Summary, hourly ad costs'!V19)/('Summary, hourly ad costs'!F18/'Summary, hourly ad costs'!V18)), 'Summary, PPI''s'!V19))</f>
        <v>80.260719139997519</v>
      </c>
      <c r="G19" s="10">
        <f>IF(G18=".", ".", IF('Summary, PPI''s'!W19=".",IF(OR('Summary, hourly ad costs'!W19=-9999,'Summary, hourly ad costs'!W19=0), ".", 'Predicted PPIs'!G18*('Summary, hourly ad costs'!G19/'Summary, hourly ad costs'!W19)/('Summary, hourly ad costs'!G18/'Summary, hourly ad costs'!W18)), 'Summary, PPI''s'!W19))</f>
        <v>86.080403483564496</v>
      </c>
      <c r="H19" s="10">
        <f>IF(H18=".", ".", IF('Summary, PPI''s'!X19=".",IF(OR('Summary, hourly ad costs'!X19=-9999,'Summary, hourly ad costs'!X19=0), ".", 'Predicted PPIs'!H18*('Summary, hourly ad costs'!H19/'Summary, hourly ad costs'!X19)/('Summary, hourly ad costs'!H18/'Summary, hourly ad costs'!X18)), 'Summary, PPI''s'!X19))</f>
        <v>82.944999999999993</v>
      </c>
      <c r="I19" s="10">
        <f>IF(I18=".", ".", IF('Summary, PPI''s'!Y19=".",IF(OR('Summary, hourly ad costs'!Y19=-9999,'Summary, hourly ad costs'!Y19=0), ".", 'Predicted PPIs'!I18*('Summary, hourly ad costs'!I19/'Summary, hourly ad costs'!Y19)/('Summary, hourly ad costs'!I18/'Summary, hourly ad costs'!Y18)), 'Summary, PPI''s'!Y19))</f>
        <v>107.35114708651491</v>
      </c>
      <c r="J19" s="10">
        <f>IF(J18=".", ".", IF('Summary, PPI''s'!Z19=".",IF(OR('Summary, hourly ad costs'!Z19=-9999,'Summary, hourly ad costs'!Z19=0), ".", 'Predicted PPIs'!J18*('Summary, hourly ad costs'!J19/'Summary, hourly ad costs'!Z19)/('Summary, hourly ad costs'!J18/'Summary, hourly ad costs'!Z18)), 'Summary, PPI''s'!Z19))</f>
        <v>105.56601351929496</v>
      </c>
      <c r="K19" s="10">
        <f>IF(K18=".", ".", IF('Summary, PPI''s'!AA19=".",IF(OR('Summary, hourly ad costs'!AA19=-9999,'Summary, hourly ad costs'!AA19=0), ".", 'Predicted PPIs'!K18*('Summary, hourly ad costs'!K19/'Summary, hourly ad costs'!AA19)/('Summary, hourly ad costs'!K18/'Summary, hourly ad costs'!AA18)), 'Summary, PPI''s'!AA19))</f>
        <v>80.045302830379754</v>
      </c>
      <c r="L19" s="10">
        <f>IF(L18=".", ".", IF('Summary, PPI''s'!AB19=".",IF(OR('Summary, hourly ad costs'!AB19=-9999,'Summary, hourly ad costs'!AB19=0), ".", 'Predicted PPIs'!L18*('Summary, hourly ad costs'!L19/'Summary, hourly ad costs'!AB19)/('Summary, hourly ad costs'!L18/'Summary, hourly ad costs'!AB18)), 'Summary, PPI''s'!AB19))</f>
        <v>76.912179405831296</v>
      </c>
      <c r="M19" s="10">
        <f>IF(M18=".", ".", IF('Summary, PPI''s'!AC19=".",IF(OR('Summary, hourly ad costs'!AC19=-9999,'Summary, hourly ad costs'!AC19=0), ".", 'Predicted PPIs'!M18*('Summary, hourly ad costs'!M19/'Summary, hourly ad costs'!AC19)/('Summary, hourly ad costs'!M18/'Summary, hourly ad costs'!AC18)), 'Summary, PPI''s'!AC19))</f>
        <v>91.084931621623738</v>
      </c>
      <c r="N19" s="10">
        <f>IF(N18=".", ".", IF('Summary, PPI''s'!AD19=".",IF(OR('Summary, hourly ad costs'!AD19=-9999,'Summary, hourly ad costs'!AD19=0), ".", 'Predicted PPIs'!N18*('Summary, hourly ad costs'!N19/'Summary, hourly ad costs'!AD19)/('Summary, hourly ad costs'!N18/'Summary, hourly ad costs'!AD18)), 'Summary, PPI''s'!AD19))</f>
        <v>93.1533145636038</v>
      </c>
      <c r="O19" s="10">
        <f>IF(O18=".", ".", IF('Summary, PPI''s'!AE19=".",IF(OR('Summary, hourly ad costs'!AE19=-9999,'Summary, hourly ad costs'!AE19=0), ".", 'Predicted PPIs'!O18*('Summary, hourly ad costs'!O19/'Summary, hourly ad costs'!AE19)/('Summary, hourly ad costs'!O18/'Summary, hourly ad costs'!AE18)), 'Summary, PPI''s'!AE19))</f>
        <v>78.009</v>
      </c>
      <c r="P19" s="10">
        <f>IF(P18=".", ".", IF('Summary, PPI''s'!AF19=".",IF(OR('Summary, hourly ad costs'!AF19=-9999,'Summary, hourly ad costs'!AF19=0), ".", 'Predicted PPIs'!P18*('Summary, hourly ad costs'!P19/'Summary, hourly ad costs'!AF19)/('Summary, hourly ad costs'!P18/'Summary, hourly ad costs'!AF18)), 'Summary, PPI''s'!AF19))</f>
        <v>82.543999999999997</v>
      </c>
      <c r="R19" s="1">
        <f>IF(E$26=".", 0, 'Summary, PPI''s'!E19)+IF(F$26=".", 0, 'Summary, PPI''s'!F19)+IF(G$26=".", 0, 'Summary, PPI''s'!G19)+IF(H$26=".", 0, 'Summary, PPI''s'!H19)+IF(I$26=".", 0, 'Summary, PPI''s'!I19)+IF(J$26=".", 0, 'Summary, PPI''s'!J19)+IF(K$26=".", 0, 'Summary, PPI''s'!K19)+IF(L$26=".", 0, 'Summary, PPI''s'!L19)+IF(M$26=".", 0, 'Summary, PPI''s'!M19)+IF(B$26=".", 0, 'Summary, PPI''s'!B19)+IF(C$26=".", 0, 'Summary, PPI''s'!C19)+IF(D$26=".", 0, 'Summary, PPI''s'!D19)+IF(N$26=".", 0, 'Summary, PPI''s'!N19)+IF(O$26=".", 0, 'Summary, PPI''s'!O19)+IF(P$26=".", 0, 'Summary, PPI''s'!P19)</f>
        <v>277075121.64919347</v>
      </c>
      <c r="S19" s="1">
        <f>IF(E$36=".", 0, 'Summary, PPI''s'!E19)+IF(F$36=".", 0, 'Summary, PPI''s'!F19)+IF(G$36=".", 0, 'Summary, PPI''s'!G19)+IF(H$36=".", 0, 'Summary, PPI''s'!H19)+IF(I$36=".", 0, 'Summary, PPI''s'!I19)+IF(J$36=".", 0, 'Summary, PPI''s'!J19)+IF(K$36=".", 0, 'Summary, PPI''s'!K19)+IF(L$36=".", 0, 'Summary, PPI''s'!L19)+IF(M$36=".", 0, 'Summary, PPI''s'!M19)+IF(B$36=".", 0, 'Summary, PPI''s'!B19)+IF(C$36=".", 0, 'Summary, PPI''s'!C19)+IF(D$36=".", 0, 'Summary, PPI''s'!D19)+IF(N$36=".", 0, 'Summary, PPI''s'!N19)+IF(O$36=".", 0, 'Summary, PPI''s'!O19)+IF(P$36=".", 0, 'Summary, PPI''s'!P19)</f>
        <v>268106603.34172052</v>
      </c>
      <c r="T19" s="1">
        <f>IF(E$46=".", 0, 'Summary, PPI''s'!E19)+IF(F$46=".", 0, 'Summary, PPI''s'!F19)+IF(G$46=".", 0, 'Summary, PPI''s'!G19)+IF(H$46=".", 0, 'Summary, PPI''s'!H19)+IF(I$46=".", 0, 'Summary, PPI''s'!I19)+IF(J$46=".", 0, 'Summary, PPI''s'!J19)+IF(K$46=".", 0, 'Summary, PPI''s'!K19)+IF(L$46=".", 0, 'Summary, PPI''s'!L19)+IF(M$46=".", 0, 'Summary, PPI''s'!M19)+IF(B$46=".", 0, 'Summary, PPI''s'!B19)+IF(C$46=".", 0, 'Summary, PPI''s'!C19)+IF(D$46=".", 0, 'Summary, PPI''s'!D19)+IF(N$46=".", 0, 'Summary, PPI''s'!N19)+IF(O$46=".", 0, 'Summary, PPI''s'!O19)+IF(P$46=".", 0, 'Summary, PPI''s'!P19)</f>
        <v>179359293.53237668</v>
      </c>
      <c r="U19" s="1">
        <f>IF(E$60=".", 0, 'Summary, PPI''s'!E19)+IF(F$60=".", 0, 'Summary, PPI''s'!F19)+IF(G$60=".", 0, 'Summary, PPI''s'!G19)+IF(H$60=".", 0, 'Summary, PPI''s'!H19)+IF(I$60=".", 0, 'Summary, PPI''s'!I19)+IF(J$60=".", 0, 'Summary, PPI''s'!J19)+IF(K$60=".", 0, 'Summary, PPI''s'!K19)+IF(L$60=".", 0, 'Summary, PPI''s'!L19)+IF(M$60=".", 0, 'Summary, PPI''s'!M19)+IF(B$60=".", 0, 'Summary, PPI''s'!B19)+IF(C$60=".", 0, 'Summary, PPI''s'!C19)+IF(D$60=".", 0, 'Summary, PPI''s'!D19)+IF(N$60=".", 0, 'Summary, PPI''s'!N19)+IF(O$60=".", 0, 'Summary, PPI''s'!O19)+IF(P$60=".", 0, 'Summary, PPI''s'!P19)</f>
        <v>138857358.37010759</v>
      </c>
      <c r="V19" s="1">
        <f>IF(E$73=".", 0, 'Summary, PPI''s'!E19)+IF(F$73=".", 0, 'Summary, PPI''s'!F19)+IF(G$73=".", 0, 'Summary, PPI''s'!G19)+IF(H$73=".", 0, 'Summary, PPI''s'!H19)+IF(I$73=".", 0, 'Summary, PPI''s'!I19)+IF(J$73=".", 0, 'Summary, PPI''s'!J19)+IF(K$73=".", 0, 'Summary, PPI''s'!K19)+IF(L$73=".", 0, 'Summary, PPI''s'!L19)+IF(M$73=".", 0, 'Summary, PPI''s'!M19)+IF(B$73=".", 0, 'Summary, PPI''s'!B19)+IF(C$73=".", 0, 'Summary, PPI''s'!C19)+IF(D$73=".", 0, 'Summary, PPI''s'!D19)+IF(N$73=".", 0, 'Summary, PPI''s'!N19)+IF(O$73=".", 0, 'Summary, PPI''s'!O19)+IF(P$73=".", 0, 'Summary, PPI''s'!P19)</f>
        <v>112523953.69202752</v>
      </c>
      <c r="W19" s="1">
        <f>IF(E$94=".",0,'Summary, PPI''s'!E19)+IF(F$94=".",0,'Summary, PPI''s'!F19)+IF(G$94=".",0,'Summary, PPI''s'!G19)+IF(H$94=".",0,'Summary, PPI''s'!H19)+IF(I$94=".",0,'Summary, PPI''s'!I19)+IF(J$94=".",0,'Summary, PPI''s'!J19)+IF(K$94=".",0,'Summary, PPI''s'!K19)+IF(L$94=".",0,'Summary, PPI''s'!L19)+IF(M$94=".",0,'Summary, PPI''s'!M19)+IF(B$94=".",0,'Summary, PPI''s'!B19)+IF(C$94=".",0,'Summary, PPI''s'!C19)+IF(D$94=".",0,'Summary, PPI''s'!D19)+IF(N$94=".",0,'Summary, PPI''s'!N19)+IF(O$94=".",0,'Summary, PPI''s'!O19)+IF(P$94=".",0,'Summary, PPI''s'!P19)</f>
        <v>81257082.204660535</v>
      </c>
      <c r="X19" s="1">
        <f>IF(E$123=".", 0, 'Summary, PPI''s'!E19)+IF(F$123=".", 0, 'Summary, PPI''s'!F19)+IF(G$123=".", 0, 'Summary, PPI''s'!G19)+IF(H$123=".", 0, 'Summary, PPI''s'!H19)+IF(I$123=".", 0, 'Summary, PPI''s'!I19)+IF(J$123=".", 0, 'Summary, PPI''s'!J19)+IF(K$123=".", 0, 'Summary, PPI''s'!K19)+IF(L$123=".", 0, 'Summary, PPI''s'!L19)+IF(M$123=".", 0, 'Summary, PPI''s'!M19)+IF(B$123=".", 0, 'Summary, PPI''s'!B19)+IF(C$123=".", 0, 'Summary, PPI''s'!C19)+IF(D$123=".", 0, 'Summary, PPI''s'!D19)+IF(N$123=".", 0, 'Summary, PPI''s'!N19)+IF(O$123=".", 0, 'Summary, PPI''s'!O19)+IF(P$123=".", 0, 'Summary, PPI''s'!P19)</f>
        <v>66637987.335374787</v>
      </c>
      <c r="Z19" s="4">
        <f>Z18*IF(E$26=".", 1, (E19/E18)^(('Summary, PPI''s'!$E19+'Summary, PPI''s'!$E18)/('Predicted PPIs'!R19+'Predicted PPIs'!R18)))*IF(F$26=".", 1, (F19/F18)^(('Summary, PPI''s'!$F19+'Summary, PPI''s'!$F18)/('Predicted PPIs'!R19+'Predicted PPIs'!R18)))*IF(G$26=".", 1, (G19/G18)^(('Summary, PPI''s'!$G19+'Summary, PPI''s'!$G18)/('Predicted PPIs'!R19+'Predicted PPIs'!R18)))*IF(H$26=".", 1, (H19/H18)^(('Summary, PPI''s'!$H19+'Summary, PPI''s'!$H18)/('Predicted PPIs'!R19+'Predicted PPIs'!R18)))*IF(I$26=".", 1, (I19/I18)^(('Summary, PPI''s'!$I19+'Summary, PPI''s'!$I18)/('Predicted PPIs'!R19+'Predicted PPIs'!R18)))*IF(J$26=".", 1, (J19/J18)^(('Summary, PPI''s'!$J19+'Summary, PPI''s'!$J18)/('Predicted PPIs'!R19+'Predicted PPIs'!R18)))*IF(K$26=".", 1, (K19/K18)^(('Summary, PPI''s'!$K19+'Summary, PPI''s'!$K18)/('Predicted PPIs'!R19+'Predicted PPIs'!R18)))*IF(L$26=".", 1, (L19/L18)^(('Summary, PPI''s'!$L19+'Summary, PPI''s'!$L18)/('Predicted PPIs'!R19+'Predicted PPIs'!R18)))*IF(M$26=".", 1, (M19/M18)^(('Summary, PPI''s'!$M19+'Summary, PPI''s'!$M18)/('Predicted PPIs'!R19+'Predicted PPIs'!R18)))*IF(B$26=".", 1, (B19/B18)^(('Summary, PPI''s'!$B19+'Summary, PPI''s'!$B18)/('Predicted PPIs'!R19+'Predicted PPIs'!R18)))*IF(C$26=".", 1, (C19/C18)^(('Summary, PPI''s'!$C19+'Summary, PPI''s'!$C18)/('Predicted PPIs'!R19+'Predicted PPIs'!R18)))*IF(D$26=".", 1, (D19/D18)^(('Summary, PPI''s'!$D19+'Summary, PPI''s'!$D18)/('Predicted PPIs'!R19+'Predicted PPIs'!R18)))*IF(N$26=".", 1, (N19/N18)^(('Summary, PPI''s'!$N19+'Summary, PPI''s'!$N18)/('Predicted PPIs'!R19+'Predicted PPIs'!R18)))*IF(O$26=".", 1, (O19/O18)^(('Summary, PPI''s'!$O19+'Summary, PPI''s'!$O18)/('Predicted PPIs'!R19+'Predicted PPIs'!R18)))*IF(P$26=".", 1, (P19/P18)^(('Summary, PPI''s'!$P19+'Summary, PPI''s'!$P18)/('Predicted PPIs'!R19+'Predicted PPIs'!R18)))</f>
        <v>98.559964977866301</v>
      </c>
      <c r="AA19" s="4">
        <f>AA18*IF(E$36=".", 1, (E19/E18)^(('Summary, PPI''s'!$E19+'Summary, PPI''s'!$E18)/('Predicted PPIs'!S19+'Predicted PPIs'!S18)))*IF(F$36=".", 1, (F19/F18)^(('Summary, PPI''s'!$F19+'Summary, PPI''s'!$F18)/('Predicted PPIs'!S19+'Predicted PPIs'!S18)))*IF(G$36=".", 1, (G19/G18)^(('Summary, PPI''s'!$G19+'Summary, PPI''s'!$G18)/('Predicted PPIs'!S19+'Predicted PPIs'!S18)))*IF(H$36=".", 1, (H19/H18)^(('Summary, PPI''s'!$H19+'Summary, PPI''s'!$H18)/('Predicted PPIs'!S19+'Predicted PPIs'!S18)))*IF(I$36=".", 1, (I19/I18)^(('Summary, PPI''s'!$I19+'Summary, PPI''s'!$I18)/('Predicted PPIs'!S19+'Predicted PPIs'!S18)))*IF(J$36=".", 1, (J19/J18)^(('Summary, PPI''s'!$J19+'Summary, PPI''s'!$J18)/('Predicted PPIs'!S19+'Predicted PPIs'!S18)))*IF(K$36=".", 1, (K19/K18)^(('Summary, PPI''s'!$K19+'Summary, PPI''s'!$K18)/('Predicted PPIs'!S19+'Predicted PPIs'!S18)))*IF(L$36=".", 1, (L19/L18)^(('Summary, PPI''s'!$L19+'Summary, PPI''s'!$L18)/('Predicted PPIs'!S19+'Predicted PPIs'!S18)))*IF(M$36=".", 1, (M19/M18)^(('Summary, PPI''s'!$M19+'Summary, PPI''s'!$M18)/('Predicted PPIs'!S19+'Predicted PPIs'!S18)))*IF(B$36=".", 1, (B19/B18)^(('Summary, PPI''s'!$B19+'Summary, PPI''s'!$B18)/('Predicted PPIs'!S19+'Predicted PPIs'!S18)))*IF(C$36=".", 1, (C19/C18)^(('Summary, PPI''s'!$C19+'Summary, PPI''s'!$C18)/('Predicted PPIs'!S19+'Predicted PPIs'!S18)))*IF(D$36=".", 1, (D19/D18)^(('Summary, PPI''s'!$D19+'Summary, PPI''s'!$D18)/('Predicted PPIs'!S19+'Predicted PPIs'!S18)))*IF(N$36=".", 1, (N19/N18)^(('Summary, PPI''s'!$N19+'Summary, PPI''s'!$N18)/('Predicted PPIs'!S19+'Predicted PPIs'!S18)))*IF(O$36=".", 1, (O19/O18)^(('Summary, PPI''s'!$O19+'Summary, PPI''s'!$O18)/('Predicted PPIs'!S19+'Predicted PPIs'!S18)))*IF(P$36=".", 1, (P19/P18)^(('Summary, PPI''s'!$P19+'Summary, PPI''s'!$P18)/('Predicted PPIs'!S19+'Predicted PPIs'!S18)))</f>
        <v>88.01777883433148</v>
      </c>
      <c r="AB19" s="4">
        <f>AB18*IF(E$46=".", 1, (E19/E18)^(('Summary, PPI''s'!$E19+'Summary, PPI''s'!$E18)/('Predicted PPIs'!T19+'Predicted PPIs'!T18)))*IF(F$46=".", 1, (F19/F18)^(('Summary, PPI''s'!$F19+'Summary, PPI''s'!$F18)/('Predicted PPIs'!T19+'Predicted PPIs'!T18)))*IF(G$46=".", 1, (G19/G18)^(('Summary, PPI''s'!$G19+'Summary, PPI''s'!$G18)/('Predicted PPIs'!T19+'Predicted PPIs'!T18)))*IF(H$46=".", 1, (H19/H18)^(('Summary, PPI''s'!$H19+'Summary, PPI''s'!$H18)/('Predicted PPIs'!T19+'Predicted PPIs'!T18)))*IF(I$46=".", 1, (I19/I18)^(('Summary, PPI''s'!$I19+'Summary, PPI''s'!$I18)/('Predicted PPIs'!T19+'Predicted PPIs'!T18)))*IF(J$46=".", 1, (J19/J18)^(('Summary, PPI''s'!$J19+'Summary, PPI''s'!$J18)/('Predicted PPIs'!T19+'Predicted PPIs'!T18)))*IF(K$46=".", 1, (K19/K18)^(('Summary, PPI''s'!$K19+'Summary, PPI''s'!$K18)/('Predicted PPIs'!T19+'Predicted PPIs'!T18)))*IF(L$46=".", 1, (L19/L18)^(('Summary, PPI''s'!$L19+'Summary, PPI''s'!$L18)/('Predicted PPIs'!T19+'Predicted PPIs'!T18)))*IF(M$46=".", 1, (M19/M18)^(('Summary, PPI''s'!$M19+'Summary, PPI''s'!$M18)/('Predicted PPIs'!T19+'Predicted PPIs'!T18)))*IF(B$46=".", 1, (B19/B18)^(('Summary, PPI''s'!$B19+'Summary, PPI''s'!$B18)/('Predicted PPIs'!T19+'Predicted PPIs'!T18)))*IF(C$46=".", 1, (C19/C18)^(('Summary, PPI''s'!$C19+'Summary, PPI''s'!$C18)/('Predicted PPIs'!T19+'Predicted PPIs'!T18)))*IF(D$46=".", 1, (D19/D18)^(('Summary, PPI''s'!$D19+'Summary, PPI''s'!$D18)/('Predicted PPIs'!T19+'Predicted PPIs'!T18)))*IF(N$46=".", 1, (N19/N18)^(('Summary, PPI''s'!$N19+'Summary, PPI''s'!$N18)/('Predicted PPIs'!T19+'Predicted PPIs'!T18)))*IF(O$46=".", 1, (O19/O18)^(('Summary, PPI''s'!$O19+'Summary, PPI''s'!$O18)/('Predicted PPIs'!T19+'Predicted PPIs'!T18)))*IF(P$46=".", 1, (P19/P18)^(('Summary, PPI''s'!$P19+'Summary, PPI''s'!$P18)/('Predicted PPIs'!T19+'Predicted PPIs'!T18)))</f>
        <v>88.841785739674492</v>
      </c>
      <c r="AC19" s="4">
        <f>AC18*IF(E$60=".",1,(E19/E18)^(('Summary, PPI''s'!$E19+'Summary, PPI''s'!$E18)/('Predicted PPIs'!U19+'Predicted PPIs'!U18)))*IF(F$60=".",1,(F19/F18)^(('Summary, PPI''s'!$F19+'Summary, PPI''s'!$F18)/('Predicted PPIs'!U19+'Predicted PPIs'!U18)))*IF(G$60=".",1,(G19/G18)^(('Summary, PPI''s'!$G19+'Summary, PPI''s'!$G18)/('Predicted PPIs'!U19+'Predicted PPIs'!U18)))*IF(H$60=".",1,(H19/H18)^(('Summary, PPI''s'!$H19+'Summary, PPI''s'!$H18)/('Predicted PPIs'!U19+'Predicted PPIs'!U18)))*IF(I$60=".",1,(I19/I18)^(('Summary, PPI''s'!$I19+'Summary, PPI''s'!$I18)/('Predicted PPIs'!U19+'Predicted PPIs'!U18)))*IF(J$60=".",1,(J19/J18)^(('Summary, PPI''s'!$J19+'Summary, PPI''s'!$J18)/('Predicted PPIs'!U19+'Predicted PPIs'!U18)))*IF(K$60=".",1,(K19/K18)^(('Summary, PPI''s'!$K19+'Summary, PPI''s'!$K18)/('Predicted PPIs'!U19+'Predicted PPIs'!U18)))*IF(L$60=".",1,(L19/L18)^(('Summary, PPI''s'!$L19+'Summary, PPI''s'!$L18)/('Predicted PPIs'!U19+'Predicted PPIs'!U18)))*IF(M$60=".",1,(M19/M18)^(('Summary, PPI''s'!$M19+'Summary, PPI''s'!$M18)/('Predicted PPIs'!U19+'Predicted PPIs'!U18)))*IF(B$60=".",1,(B19/B18)^(('Summary, PPI''s'!$B19+'Summary, PPI''s'!$B18)/('Predicted PPIs'!U19+'Predicted PPIs'!U18)))*IF(C$60=".",1,(C19/C18)^(('Summary, PPI''s'!$C19+'Summary, PPI''s'!$C18)/('Predicted PPIs'!U19+'Predicted PPIs'!U18)))*IF(D$60=".",1,(D19/D18)^(('Summary, PPI''s'!$D19+'Summary, PPI''s'!$D18)/('Predicted PPIs'!U19+'Predicted PPIs'!U18)))*IF(N$60=".",1,(N19/N18)^(('Summary, PPI''s'!$N19+'Summary, PPI''s'!$N18)/('Predicted PPIs'!U19+'Predicted PPIs'!U18)))*IF(O$60=".",1,(O19/O18)^(('Summary, PPI''s'!$O19+'Summary, PPI''s'!$O18)/('Predicted PPIs'!U19+'Predicted PPIs'!U18)))*IF(P$60=".",1,(P19/P18)^(('Summary, PPI''s'!$P19+'Summary, PPI''s'!$P18)/('Predicted PPIs'!U19+'Predicted PPIs'!U18)))</f>
        <v>97.141619632796775</v>
      </c>
      <c r="AD19" s="4">
        <f>AD18*IF(E$73=".", 1, (E19/E18)^(('Summary, PPI''s'!$E19+'Summary, PPI''s'!$E18)/('Predicted PPIs'!V19+'Predicted PPIs'!V18)))*IF(F$73=".", 1, (F19/F18)^(('Summary, PPI''s'!$F19+'Summary, PPI''s'!$F18)/('Predicted PPIs'!V19+'Predicted PPIs'!V18)))*IF(G$73=".", 1, (G19/G18)^(('Summary, PPI''s'!$G19+'Summary, PPI''s'!$G18)/('Predicted PPIs'!V19+'Predicted PPIs'!V18)))*IF(H$73=".", 1, (H19/H18)^(('Summary, PPI''s'!$H19+'Summary, PPI''s'!$H18)/('Predicted PPIs'!V19+'Predicted PPIs'!V18)))*IF(I$73=".", 1, (I19/I18)^(('Summary, PPI''s'!$I19+'Summary, PPI''s'!$I18)/('Predicted PPIs'!V19+'Predicted PPIs'!V18)))*IF(J$73=".", 1, (J19/J18)^(('Summary, PPI''s'!$J19+'Summary, PPI''s'!$J18)/('Predicted PPIs'!V19+'Predicted PPIs'!V18)))*IF(K$73=".", 1, (K19/K18)^(('Summary, PPI''s'!$K19+'Summary, PPI''s'!$K18)/('Predicted PPIs'!V19+'Predicted PPIs'!V18)))*IF(L$73=".", 1, (L19/L18)^(('Summary, PPI''s'!$L19+'Summary, PPI''s'!$L18)/('Predicted PPIs'!V19+'Predicted PPIs'!V18)))*IF(M$73=".", 1, (M19/M18)^(('Summary, PPI''s'!$M19+'Summary, PPI''s'!$M18)/('Predicted PPIs'!V19+'Predicted PPIs'!V18)))*IF(B$73=".", 1, (B19/B18)^(('Summary, PPI''s'!$B19+'Summary, PPI''s'!$B18)/('Predicted PPIs'!V19+'Predicted PPIs'!V18)))*IF(C$73=".", 1, (C19/C18)^(('Summary, PPI''s'!$C19+'Summary, PPI''s'!$C18)/('Predicted PPIs'!V19+'Predicted PPIs'!V18)))*IF(D$73=".", 1, (D19/D18)^(('Summary, PPI''s'!$D19+'Summary, PPI''s'!$D18)/('Predicted PPIs'!V19+'Predicted PPIs'!V18)))*IF(N$73=".", 1, (N19/N18)^(('Summary, PPI''s'!$N19+'Summary, PPI''s'!$N18)/('Predicted PPIs'!V19+'Predicted PPIs'!V18)))*IF(O$73=".", 1, (O19/O18)^(('Summary, PPI''s'!$O19+'Summary, PPI''s'!$O18)/('Predicted PPIs'!V19+'Predicted PPIs'!V18)))*IF(P$73=".", 1, (P19/P18)^(('Summary, PPI''s'!$P19+'Summary, PPI''s'!$P18)/('Predicted PPIs'!V19+'Predicted PPIs'!V18)))</f>
        <v>98.433405129170382</v>
      </c>
      <c r="AE19" s="4">
        <f>AE18*IF(E$94=".", 1, (E19/E18)^(('Summary, PPI''s'!$E19+'Summary, PPI''s'!$E18)/('Predicted PPIs'!W19+'Predicted PPIs'!W18)))*IF(F$94=".", 1, (F19/F18)^(('Summary, PPI''s'!$F19+'Summary, PPI''s'!$F18)/('Predicted PPIs'!W19+'Predicted PPIs'!W18)))*IF(G$94=".", 1, (G19/G18)^(('Summary, PPI''s'!$G19+'Summary, PPI''s'!$G18)/('Predicted PPIs'!W19+'Predicted PPIs'!W18)))*IF(H$94=".", 1, (H19/H18)^(('Summary, PPI''s'!$H19+'Summary, PPI''s'!$H18)/('Predicted PPIs'!W19+'Predicted PPIs'!W18)))*IF(I$94=".", 1, (I19/I18)^(('Summary, PPI''s'!$I19+'Summary, PPI''s'!$I18)/('Predicted PPIs'!W19+'Predicted PPIs'!W18)))*IF(J$94=".", 1, (J19/J18)^(('Summary, PPI''s'!$J19+'Summary, PPI''s'!$J18)/('Predicted PPIs'!W19+'Predicted PPIs'!W18)))*IF(K$94=".", 1, (K19/K18)^(('Summary, PPI''s'!$K19+'Summary, PPI''s'!$K18)/('Predicted PPIs'!W19+'Predicted PPIs'!W18)))*IF(L$94=".", 1, (L19/L18)^(('Summary, PPI''s'!$L19+'Summary, PPI''s'!$L18)/('Predicted PPIs'!W19+'Predicted PPIs'!W18)))*IF(M$94=".", 1, (M19/M18)^(('Summary, PPI''s'!$M19+'Summary, PPI''s'!$M18)/('Predicted PPIs'!W19+'Predicted PPIs'!W18)))*IF(B$94=".", 1, (B19/B18)^(('Summary, PPI''s'!$B19+'Summary, PPI''s'!$B18)/('Predicted PPIs'!W19+'Predicted PPIs'!W18)))*IF(C$94=".", 1, (C19/C18)^(('Summary, PPI''s'!$C19+'Summary, PPI''s'!$C18)/('Predicted PPIs'!W19+'Predicted PPIs'!W18)))*IF(D$94=".", 1, (D19/D18)^(('Summary, PPI''s'!$D19+'Summary, PPI''s'!$D18)/('Predicted PPIs'!W19+'Predicted PPIs'!W18)))*IF(N$94=".", 1, (N19/N18)^(('Summary, PPI''s'!$N19+'Summary, PPI''s'!$N18)/('Predicted PPIs'!W19+'Predicted PPIs'!W18)))*IF(O$94=".", 1, (O19/O18)^(('Summary, PPI''s'!$O19+'Summary, PPI''s'!$O18)/('Predicted PPIs'!W19+'Predicted PPIs'!W18)))*IF(P$94=".", 1, (P19/P18)^(('Summary, PPI''s'!$P19+'Summary, PPI''s'!$P18)/('Predicted PPIs'!W19+'Predicted PPIs'!W18)))</f>
        <v>91.321423070477181</v>
      </c>
      <c r="AF19" s="4">
        <f>AF18*IF(E$123=".", 1, (E19/E18)^(('Summary, PPI''s'!$E19+'Summary, PPI''s'!$E18)/('Predicted PPIs'!X19+'Predicted PPIs'!X18)))*IF(F$123=".", 1, (F19/F18)^(('Summary, PPI''s'!$F19+'Summary, PPI''s'!$F18)/('Predicted PPIs'!X19+'Predicted PPIs'!X18)))*IF(G$123=".", 1, (G19/G18)^(('Summary, PPI''s'!$G19+'Summary, PPI''s'!$G18)/('Predicted PPIs'!X19+'Predicted PPIs'!X18)))*IF(H$123=".", 1, (H19/H18)^(('Summary, PPI''s'!$H19+'Summary, PPI''s'!$H18)/('Predicted PPIs'!X19+'Predicted PPIs'!X18)))*IF(I$123=".", 1, (I19/I18)^(('Summary, PPI''s'!$I19+'Summary, PPI''s'!$I18)/('Predicted PPIs'!X19+'Predicted PPIs'!X18)))*IF(J$123=".", 1, (J19/J18)^(('Summary, PPI''s'!$J19+'Summary, PPI''s'!$J18)/('Predicted PPIs'!X19+'Predicted PPIs'!X18)))*IF(K$123=".", 1, (K19/K18)^(('Summary, PPI''s'!$K19+'Summary, PPI''s'!$K18)/('Predicted PPIs'!X19+'Predicted PPIs'!X18)))*IF(L$123=".", 1, (L19/L18)^(('Summary, PPI''s'!$L19+'Summary, PPI''s'!$L18)/('Predicted PPIs'!X19+'Predicted PPIs'!X18)))*IF(M$123=".", 1, (M19/M18)^(('Summary, PPI''s'!$M19+'Summary, PPI''s'!$M18)/('Predicted PPIs'!X19+'Predicted PPIs'!X18)))*IF(B$123=".", 1, (B19/B18)^(('Summary, PPI''s'!$B19+'Summary, PPI''s'!$B18)/('Predicted PPIs'!X19+'Predicted PPIs'!X18)))*IF(C$123=".", 1, (C19/C18)^(('Summary, PPI''s'!$C19+'Summary, PPI''s'!$C18)/('Predicted PPIs'!X19+'Predicted PPIs'!X18)))*IF(D$123=".", 1, (D19/D18)^(('Summary, PPI''s'!$D19+'Summary, PPI''s'!$D18)/('Predicted PPIs'!X19+'Predicted PPIs'!X18)))*IF(N$123=".", 1, (N19/N18)^(('Summary, PPI''s'!$N19+'Summary, PPI''s'!$N18)/('Predicted PPIs'!X19+'Predicted PPIs'!X18)))*IF(O$123=".", 1, (O19/O18)^(('Summary, PPI''s'!$O19+'Summary, PPI''s'!$O18)/('Predicted PPIs'!X19+'Predicted PPIs'!X18)))*IF(P$123=".", 1, (P19/P18)^(('Summary, PPI''s'!$P19+'Summary, PPI''s'!$P18)/('Predicted PPIs'!X19+'Predicted PPIs'!X18)))</f>
        <v>85.168984904390825</v>
      </c>
      <c r="AH19" s="13">
        <f t="shared" si="32"/>
        <v>98.559964977866315</v>
      </c>
      <c r="AJ19" s="4">
        <v>8232</v>
      </c>
      <c r="AK19" s="4">
        <v>-0.34</v>
      </c>
      <c r="AL19" s="4">
        <v>-959.29899999999998</v>
      </c>
      <c r="AM19" s="4">
        <v>-15.435</v>
      </c>
      <c r="AN19" s="4">
        <v>8624.1</v>
      </c>
      <c r="AO19" s="4">
        <v>2193.8000000000002</v>
      </c>
      <c r="AP19" s="4">
        <f>1157.125+0.008+0.264+12.456-1223.293</f>
        <v>-53.440000000000055</v>
      </c>
      <c r="AQ19" s="4">
        <f>780.674+14.082+11.266+37.509-1187.709</f>
        <v>-344.17800000000011</v>
      </c>
      <c r="AR19" s="4">
        <v>-36.738</v>
      </c>
      <c r="AS19" s="4">
        <v>-64.111999999999995</v>
      </c>
      <c r="AT19" s="4">
        <v>84.442999999999998</v>
      </c>
      <c r="AU19" s="4">
        <v>74.992000000000004</v>
      </c>
      <c r="AV19" s="4">
        <v>84.947999999999993</v>
      </c>
      <c r="AW19" s="4">
        <v>77.763000000000005</v>
      </c>
      <c r="AX19" s="4">
        <v>78.534999999999997</v>
      </c>
      <c r="AY19" s="4">
        <v>90.843000000000004</v>
      </c>
      <c r="AZ19" s="4">
        <v>67.415999999999997</v>
      </c>
      <c r="BA19" s="4">
        <v>83.613</v>
      </c>
      <c r="BB19" s="4">
        <v>98.951999999999998</v>
      </c>
      <c r="BC19" s="4">
        <v>97.79</v>
      </c>
      <c r="BG19" s="4">
        <f t="shared" si="50"/>
        <v>91.670408538171642</v>
      </c>
      <c r="BI19" s="4">
        <f>BI$13*'[2]Ordinary Experience'!$D$407/'[2]Ordinary Experience'!$D$413</f>
        <v>292300079.29608637</v>
      </c>
      <c r="BJ19" s="4">
        <f>'[2]Ordinary Experience'!$E$407</f>
        <v>20.822123627951022</v>
      </c>
      <c r="BL19" s="4">
        <f t="shared" si="0"/>
        <v>99.938335672885444</v>
      </c>
      <c r="BM19" s="4">
        <f t="shared" si="34"/>
        <v>3.0480132929168402E-2</v>
      </c>
      <c r="BO19" s="4">
        <f>IF(OR('Summary, hourly ad costs'!R19=-9999,'Summary, PPI''s'!R19="."),".",(('Summary, hourly ad costs'!B19/'Summary, hourly ad costs'!R19)*100/('Summary, hourly ad costs'!B$11/'Summary, hourly ad costs'!R$11))/('Summary, PPI''s'!R19))</f>
        <v>1.0171223343308544</v>
      </c>
      <c r="BP19" s="4" t="str">
        <f>IF(OR('Summary, hourly ad costs'!S19=-9999,'Summary, PPI''s'!S19="."),".",(('Summary, hourly ad costs'!C19/'Summary, hourly ad costs'!S19)*100/('Summary, hourly ad costs'!C$11/'Summary, hourly ad costs'!S$11))/('Summary, PPI''s'!S19))</f>
        <v>.</v>
      </c>
      <c r="BQ19" s="4" t="str">
        <f>IF(OR('Summary, hourly ad costs'!T19=-9999,'Summary, PPI''s'!T19="."),".",(('Summary, hourly ad costs'!D19/'Summary, hourly ad costs'!T19)*100/('Summary, hourly ad costs'!D$11/'Summary, hourly ad costs'!T$11))/('Summary, PPI''s'!T19))</f>
        <v>.</v>
      </c>
      <c r="BR19" s="4">
        <f>IF(OR('Summary, hourly ad costs'!U19=-9999,'Summary, PPI''s'!U19="."),".",(('Summary, hourly ad costs'!E19/'Summary, hourly ad costs'!U19)*100/('Summary, hourly ad costs'!E$11/'Summary, hourly ad costs'!U$11))/('Summary, PPI''s'!U19))</f>
        <v>1.8402579415300302</v>
      </c>
      <c r="BS19" s="4">
        <f>IF(OR('Summary, hourly ad costs'!V19=-9999,'Summary, PPI''s'!V19="."),".",(('Summary, hourly ad costs'!F19/'Summary, hourly ad costs'!V19)*100/('Summary, hourly ad costs'!F$11/'Summary, hourly ad costs'!V$11))/('Summary, PPI''s'!V19))</f>
        <v>1.8068066274694186</v>
      </c>
      <c r="BT19" s="4" t="str">
        <f>IF(OR('Summary, hourly ad costs'!W19=-9999,'Summary, PPI''s'!W19="."),".",(('Summary, hourly ad costs'!G19/'Summary, hourly ad costs'!W19)*100/('Summary, hourly ad costs'!G$11/'Summary, hourly ad costs'!W$11))/('Summary, PPI''s'!W19))</f>
        <v>.</v>
      </c>
      <c r="BU19" s="4">
        <f>IF(OR('Summary, hourly ad costs'!X19=-9999,'Summary, PPI''s'!X19="."),".",(('Summary, hourly ad costs'!H19/'Summary, hourly ad costs'!X19)*100/('Summary, hourly ad costs'!H$11/'Summary, hourly ad costs'!X$11))/('Summary, PPI''s'!X19))</f>
        <v>1.0077628979233746</v>
      </c>
      <c r="BV19" s="4">
        <f>IF(OR('Summary, hourly ad costs'!Y19=-9999,'Summary, PPI''s'!Y19="."),".",(('Summary, hourly ad costs'!I19/'Summary, hourly ad costs'!Y19)*100/('Summary, hourly ad costs'!I$11/'Summary, hourly ad costs'!Y$11))/('Summary, PPI''s'!Y19))</f>
        <v>0.89202231077799243</v>
      </c>
      <c r="BW19" s="4">
        <f>IF(OR('Summary, hourly ad costs'!Z19=-9999,'Summary, PPI''s'!Z19="."),".",(('Summary, hourly ad costs'!J19/'Summary, hourly ad costs'!Z19)*100/('Summary, hourly ad costs'!J$11/'Summary, hourly ad costs'!Z$11))/('Summary, PPI''s'!Z19))</f>
        <v>0.85310318076775993</v>
      </c>
      <c r="BX19" s="4">
        <f>IF(OR('Summary, hourly ad costs'!AA19=-9999,'Summary, PPI''s'!AA19="."),".",(('Summary, hourly ad costs'!K19/'Summary, hourly ad costs'!AA19)*100/('Summary, hourly ad costs'!K$11/'Summary, hourly ad costs'!AA$11))/('Summary, PPI''s'!AA19))</f>
        <v>1.2813778963673552</v>
      </c>
      <c r="BY19" s="4" t="str">
        <f>IF(OR('Summary, hourly ad costs'!AB19=-9999,'Summary, PPI''s'!AB19="."),".",(('Summary, hourly ad costs'!L19/'Summary, hourly ad costs'!AB19)*100/('Summary, hourly ad costs'!L$11/'Summary, hourly ad costs'!AB$11))/('Summary, PPI''s'!AB19))</f>
        <v>.</v>
      </c>
      <c r="BZ19" s="4" t="str">
        <f>IF(OR('Summary, hourly ad costs'!AC19=-9999,'Summary, PPI''s'!AC19="."),".",(('Summary, hourly ad costs'!M19/'Summary, hourly ad costs'!AC19)*100/('Summary, hourly ad costs'!M$11/'Summary, hourly ad costs'!AC$11))/('Summary, PPI''s'!AC19))</f>
        <v>.</v>
      </c>
      <c r="CA19" s="4" t="str">
        <f>IF(OR('Summary, hourly ad costs'!AD19=-9999,'Summary, PPI''s'!AD19="."),".",(('Summary, hourly ad costs'!N19/'Summary, hourly ad costs'!AD19)*100/('Summary, hourly ad costs'!N$11/'Summary, hourly ad costs'!AD$11))/('Summary, PPI''s'!AD19))</f>
        <v>.</v>
      </c>
      <c r="CB19" s="4" t="str">
        <f>IF(OR('Summary, hourly ad costs'!AE19=-9999,'Summary, PPI''s'!AE19="."),".",(('Summary, hourly ad costs'!O19/'Summary, hourly ad costs'!AE19)*100/('Summary, hourly ad costs'!O$11/'Summary, hourly ad costs'!AE$11))/('Summary, PPI''s'!AE19))</f>
        <v>.</v>
      </c>
      <c r="CC19" s="4" t="str">
        <f>IF(OR('Summary, hourly ad costs'!AF19=-9999,'Summary, PPI''s'!AF19="."),".",(('Summary, hourly ad costs'!P19/'Summary, hourly ad costs'!AF19)*100/('Summary, hourly ad costs'!P$11/'Summary, hourly ad costs'!AF$11))/('Summary, PPI''s'!AF19))</f>
        <v>.</v>
      </c>
      <c r="CE19" s="4">
        <f t="shared" si="51"/>
        <v>6.0876101612113764E-2</v>
      </c>
      <c r="CF19" s="4" t="str">
        <f t="shared" si="52"/>
        <v>.</v>
      </c>
      <c r="CG19" s="4" t="str">
        <f t="shared" si="53"/>
        <v>.</v>
      </c>
      <c r="CH19" s="4">
        <f t="shared" si="54"/>
        <v>3.1220190010376347E-2</v>
      </c>
      <c r="CI19" s="4">
        <f t="shared" si="55"/>
        <v>1.0180189949052343E-2</v>
      </c>
      <c r="CJ19" s="4" t="str">
        <f t="shared" si="56"/>
        <v>.</v>
      </c>
      <c r="CK19" s="4">
        <f t="shared" si="57"/>
        <v>-4.8553633733804724E-2</v>
      </c>
      <c r="CL19" s="4">
        <f t="shared" si="58"/>
        <v>-7.2384416115329753E-3</v>
      </c>
      <c r="CM19" s="4">
        <f t="shared" si="59"/>
        <v>-3.7465991638820251E-2</v>
      </c>
      <c r="CN19" s="4">
        <f t="shared" si="60"/>
        <v>-3.4722110452479749E-3</v>
      </c>
      <c r="CO19" s="4">
        <f t="shared" si="61"/>
        <v>0.19440756123370945</v>
      </c>
      <c r="CP19" s="4">
        <f t="shared" si="61"/>
        <v>0.11017961509944869</v>
      </c>
      <c r="CQ19" s="4" t="str">
        <f t="shared" si="62"/>
        <v>.</v>
      </c>
      <c r="CR19" s="4" t="str">
        <f t="shared" si="63"/>
        <v>.</v>
      </c>
      <c r="CS19" s="4" t="str">
        <f t="shared" si="64"/>
        <v>.</v>
      </c>
      <c r="CU19" s="5">
        <f>IF(CU18=".", ".", IF('Summary, PPI''s'!R19=".",IF(OR('Summary, hourly ad costs'!R19=-9999,'Summary, hourly ad costs'!R19=0), ".", 'Predicted PPIs'!CU18*('Summary, hourly ad costs'!B19/'Summary, hourly ad costs'!R19)/('Summary, hourly ad costs'!B18/'Summary, hourly ad costs'!R18)/(1-CE18)), 'Summary, PPI''s'!R19))</f>
        <v>97.113897039210457</v>
      </c>
      <c r="CV19" s="5">
        <f>IF(CV18=".", ".", IF('Summary, PPI''s'!S19=".",IF(OR('Summary, hourly ad costs'!S19=-9999,'Summary, hourly ad costs'!S19=0), ".", 'Predicted PPIs'!CV18*('Summary, hourly ad costs'!C19/'Summary, hourly ad costs'!S19)/('Summary, hourly ad costs'!C18/'Summary, hourly ad costs'!S18)/(1-CF18)), 'Summary, PPI''s'!S19))</f>
        <v>97.113897039210457</v>
      </c>
      <c r="CW19" s="5">
        <f>IF(CW18=".", ".", IF('Summary, PPI''s'!T19=".",IF(OR('Summary, hourly ad costs'!T19=-9999,'Summary, hourly ad costs'!T19=0), ".", 'Predicted PPIs'!CW18*('Summary, hourly ad costs'!D19/'Summary, hourly ad costs'!T19)/('Summary, hourly ad costs'!D18/'Summary, hourly ad costs'!T18)/(1-CG18)), 'Summary, PPI''s'!T19))</f>
        <v>88.599184577439971</v>
      </c>
      <c r="CX19" s="5">
        <f>IF(CX18=".", ".", IF('Summary, PPI''s'!U19=".",IF(OR('Summary, hourly ad costs'!U19=-9999,'Summary, hourly ad costs'!U19=0), ".", 'Predicted PPIs'!CX18*('Summary, hourly ad costs'!E19/'Summary, hourly ad costs'!U19)/('Summary, hourly ad costs'!E18/'Summary, hourly ad costs'!U18)/(1-CH18)), 'Summary, PPI''s'!U19))</f>
        <v>87.955324279730945</v>
      </c>
      <c r="CY19" s="5">
        <f>IF(CY18=".", ".", IF('Summary, PPI''s'!V19=".",IF(OR('Summary, hourly ad costs'!V19=-9999,'Summary, hourly ad costs'!V19=0), ".", 'Predicted PPIs'!CY18*('Summary, hourly ad costs'!F19/'Summary, hourly ad costs'!V19)/('Summary, hourly ad costs'!F18/'Summary, hourly ad costs'!V18)/(1-CI18)), 'Summary, PPI''s'!V19))</f>
        <v>80.260719139997519</v>
      </c>
      <c r="CZ19" s="5">
        <f>IF(CZ18=".", ".", IF('Summary, PPI''s'!W19=".",IF(OR('Summary, hourly ad costs'!W19=-9999,'Summary, hourly ad costs'!W19=0), ".", 'Predicted PPIs'!CZ18*('Summary, hourly ad costs'!G19/'Summary, hourly ad costs'!W19)/('Summary, hourly ad costs'!G18/'Summary, hourly ad costs'!W18)/(1-CJ18)), 'Summary, PPI''s'!W19))</f>
        <v>86.080403483564496</v>
      </c>
      <c r="DA19" s="5">
        <f>IF(DA18=".", ".", IF('Summary, PPI''s'!X19=".",IF(OR('Summary, hourly ad costs'!X19=-9999,'Summary, hourly ad costs'!X19=0), ".", 'Predicted PPIs'!DA18*('Summary, hourly ad costs'!H19/'Summary, hourly ad costs'!X19)/('Summary, hourly ad costs'!H18/'Summary, hourly ad costs'!X18)/(1-CK18)), 'Summary, PPI''s'!X19))</f>
        <v>82.944999999999993</v>
      </c>
      <c r="DB19" s="5">
        <f>IF(DB18=".", ".", IF('Summary, PPI''s'!Y19=".",IF(OR('Summary, hourly ad costs'!Y19=-9999,'Summary, hourly ad costs'!Y19=0), ".", 'Predicted PPIs'!DB18*('Summary, hourly ad costs'!I19/'Summary, hourly ad costs'!Y19)/('Summary, hourly ad costs'!I18/'Summary, hourly ad costs'!Y18)/(1-CL18)), 'Summary, PPI''s'!Y19))</f>
        <v>107.35114708651491</v>
      </c>
      <c r="DC19" s="5">
        <f>IF(DC18=".", ".", IF('Summary, PPI''s'!Z19=".",IF(OR('Summary, hourly ad costs'!Z19=-9999,'Summary, hourly ad costs'!Z19=0), ".", 'Predicted PPIs'!DC18*('Summary, hourly ad costs'!J19/'Summary, hourly ad costs'!Z19)/('Summary, hourly ad costs'!J18/'Summary, hourly ad costs'!Z18)/(1-CM18)), 'Summary, PPI''s'!Z19))</f>
        <v>105.56601351929496</v>
      </c>
      <c r="DD19" s="5">
        <f>IF(DD18=".", ".", IF('Summary, PPI''s'!AA19=".",IF(OR('Summary, hourly ad costs'!AA19=-9999,'Summary, hourly ad costs'!AA19=0), ".", 'Predicted PPIs'!DD18*('Summary, hourly ad costs'!K19/'Summary, hourly ad costs'!AA19)/('Summary, hourly ad costs'!K18/'Summary, hourly ad costs'!AA18)/(1-CN18)), 'Summary, PPI''s'!AA19))</f>
        <v>80.045302830379754</v>
      </c>
      <c r="DE19" s="5">
        <f>IF(DE18=".", ".", IF('Summary, PPI''s'!AB19=".",IF(OR('Summary, hourly ad costs'!AB19=-9999,'Summary, hourly ad costs'!AB19=0), ".", 'Predicted PPIs'!DE18*('Summary, hourly ad costs'!L19/'Summary, hourly ad costs'!AB19)/('Summary, hourly ad costs'!L18/'Summary, hourly ad costs'!AB18)/(1-CO18)), 'Summary, PPI''s'!AB19))</f>
        <v>67.516083400697354</v>
      </c>
      <c r="DF19" s="5">
        <f>IF(DF18=".", ".", IF('Summary, PPI''s'!AC19=".",IF(OR('Summary, hourly ad costs'!AC19=-9999,'Summary, hourly ad costs'!AC19=0), ".", 'Predicted PPIs'!DF18*('Summary, hourly ad costs'!M19/'Summary, hourly ad costs'!AC19)/('Summary, hourly ad costs'!M18/'Summary, hourly ad costs'!AC18)/(1-CP18)), 'Summary, PPI''s'!AC19))</f>
        <v>400.08633028192867</v>
      </c>
      <c r="DG19" s="5">
        <f>IF(DG18=".", ".", IF('Summary, PPI''s'!AD19=".",IF(OR('Summary, hourly ad costs'!AD19=-9999,'Summary, hourly ad costs'!AD19=0), ".", 'Predicted PPIs'!DG18*('Summary, hourly ad costs'!N19/'Summary, hourly ad costs'!AD19)/('Summary, hourly ad costs'!N18/'Summary, hourly ad costs'!AD18)/(1-CQ18)), 'Summary, PPI''s'!AD19))</f>
        <v>93.1533145636038</v>
      </c>
      <c r="DH19" s="5">
        <f>IF(DH18=".", ".", IF('Summary, PPI''s'!AE19=".",IF(OR('Summary, hourly ad costs'!AE19=-9999,'Summary, hourly ad costs'!AE19=0), ".", 'Predicted PPIs'!DH18*('Summary, hourly ad costs'!O19/'Summary, hourly ad costs'!AE19)/('Summary, hourly ad costs'!O18/'Summary, hourly ad costs'!AE18)/(1-CR18)), 'Summary, PPI''s'!AE19))</f>
        <v>78.009</v>
      </c>
      <c r="DI19" s="5">
        <f>IF(DI18=".", ".", IF('Summary, PPI''s'!AF19=".",IF(OR('Summary, hourly ad costs'!AF19=-9999,'Summary, hourly ad costs'!AF19=0), ".", 'Predicted PPIs'!DI18*('Summary, hourly ad costs'!P19/'Summary, hourly ad costs'!AF19)/('Summary, hourly ad costs'!P18/'Summary, hourly ad costs'!AF18)/(1-CS18)), 'Summary, PPI''s'!AF19))</f>
        <v>82.543999999999997</v>
      </c>
      <c r="DK19" s="4">
        <v>76.426000000000002</v>
      </c>
      <c r="DM19" s="5">
        <f t="shared" si="16"/>
        <v>-3.5939243207881666E-2</v>
      </c>
      <c r="DN19" s="5">
        <f t="shared" si="17"/>
        <v>-3.5939243207881666E-2</v>
      </c>
      <c r="DO19" s="5">
        <f t="shared" si="18"/>
        <v>-3.6303343579206948E-2</v>
      </c>
      <c r="DP19" s="5">
        <f t="shared" si="19"/>
        <v>-4.4338987891766601E-3</v>
      </c>
      <c r="DQ19" s="5">
        <f t="shared" si="20"/>
        <v>-1.2474963421471807E-2</v>
      </c>
      <c r="DR19" s="5">
        <f t="shared" si="21"/>
        <v>-1.2749121230712146E-2</v>
      </c>
      <c r="DS19" s="5">
        <f t="shared" si="22"/>
        <v>-1.2627707904427132E-2</v>
      </c>
      <c r="DT19" s="5">
        <f t="shared" si="23"/>
        <v>9.0493352818961093E-3</v>
      </c>
      <c r="DU19" s="5">
        <f t="shared" si="24"/>
        <v>8.0440238263823627E-3</v>
      </c>
      <c r="DV19" s="5">
        <f t="shared" si="25"/>
        <v>1.1936957346032173E-2</v>
      </c>
      <c r="DW19" s="5">
        <f t="shared" si="26"/>
        <v>-9.1484262301862684E-2</v>
      </c>
      <c r="DX19" s="5">
        <f t="shared" si="27"/>
        <v>-0.11967542447883206</v>
      </c>
      <c r="DY19" s="5">
        <f t="shared" si="28"/>
        <v>-3.9883050160843037E-2</v>
      </c>
      <c r="DZ19" s="5">
        <f t="shared" si="29"/>
        <v>3.6291546733469016E-3</v>
      </c>
      <c r="EA19" s="5">
        <f t="shared" si="30"/>
        <v>-8.5466131053866246E-3</v>
      </c>
      <c r="EC19" s="1">
        <f t="shared" si="35"/>
        <v>97.113897039210457</v>
      </c>
      <c r="ED19" s="1">
        <f t="shared" si="36"/>
        <v>97.113897039210457</v>
      </c>
      <c r="EE19" s="1">
        <f t="shared" si="37"/>
        <v>88.599184577439971</v>
      </c>
      <c r="EF19" s="1">
        <f t="shared" si="38"/>
        <v>87.955324279730945</v>
      </c>
      <c r="EG19" s="1">
        <f t="shared" si="39"/>
        <v>80.260719139997519</v>
      </c>
      <c r="EH19" s="1">
        <f t="shared" si="40"/>
        <v>86.080403483564496</v>
      </c>
      <c r="EI19" s="1">
        <f t="shared" si="41"/>
        <v>82.944999999999993</v>
      </c>
      <c r="EJ19" s="1">
        <f t="shared" si="42"/>
        <v>107.35114708651491</v>
      </c>
      <c r="EK19" s="1">
        <f t="shared" si="43"/>
        <v>105.56601351929496</v>
      </c>
      <c r="EL19" s="1">
        <f t="shared" si="44"/>
        <v>80.045302830379754</v>
      </c>
      <c r="EM19" s="1">
        <f t="shared" si="45"/>
        <v>67.516083400697354</v>
      </c>
      <c r="EN19" s="1">
        <f t="shared" si="46"/>
        <v>400.08633028192867</v>
      </c>
      <c r="EO19" s="1">
        <f t="shared" si="47"/>
        <v>93.1533145636038</v>
      </c>
      <c r="EP19" s="1">
        <f t="shared" si="48"/>
        <v>78.009</v>
      </c>
      <c r="EQ19" s="1">
        <f t="shared" si="49"/>
        <v>82.543999999999997</v>
      </c>
      <c r="ES19" s="1">
        <f>IF(EF$26=".", 0, 'Summary, PPI''s'!E19)+IF(EG$26=".", 0, 'Summary, PPI''s'!F19)+IF(EH$26=".", 0, 'Summary, PPI''s'!G19)+IF(EI$26=".", 0, 'Summary, PPI''s'!H19)+IF(EJ$26=".", 0, 'Summary, PPI''s'!I19)+IF(EK$26=".", 0, 'Summary, PPI''s'!J19)+IF(EL$26=".", 0, 'Summary, PPI''s'!K19)+IF(EM$26=".", 0, 'Summary, PPI''s'!L19)+IF(EN$26=".", 0, 'Summary, PPI''s'!M19)+IF(EC$26=".", 0, 'Summary, PPI''s'!B19)+IF(ED$26=".", 0, 'Summary, PPI''s'!C19)+IF(EE$26=".", 0, 'Summary, PPI''s'!D19)+IF(EO$26=".", 0, 'Summary, PPI''s'!N19)+IF(EP$26=".", 0, 'Summary, PPI''s'!O19)+IF(EQ$26=".", 0, 'Summary, PPI''s'!P19)</f>
        <v>277075121.64919347</v>
      </c>
      <c r="ET19" s="1">
        <f>'Summary, hourly ad costs'!E19+'Summary, hourly ad costs'!F19+'Summary, hourly ad costs'!H19+'Summary, hourly ad costs'!I19+'Summary, hourly ad costs'!J19+'Summary, hourly ad costs'!K19+'Summary, hourly ad costs'!L19+'Summary, hourly ad costs'!M19+'Summary, hourly ad costs'!B19</f>
        <v>146077370.47801259</v>
      </c>
      <c r="EV19" s="13">
        <f>EV18*IF(EF$26=".", 1, (EF19/EF18)^(('Summary, PPI''s'!$E19+'Summary, PPI''s'!$E18)/('Predicted PPIs'!ES19+'Predicted PPIs'!ES18)))*IF(EG$26=".", 1, (EG19/EG18)^(('Summary, PPI''s'!$F19+'Summary, PPI''s'!$F18)/('Predicted PPIs'!ES19+'Predicted PPIs'!ES18)))*IF(EH$26=".", 1, (EH19/EH18)^(('Summary, PPI''s'!$G19+'Summary, PPI''s'!$G18)/('Predicted PPIs'!ES19+'Predicted PPIs'!ES18)))*IF(EI$26=".", 1, (EI19/EI18)^(('Summary, PPI''s'!$H19+'Summary, PPI''s'!$H18)/('Predicted PPIs'!ES19+'Predicted PPIs'!ES18)))*IF(EJ$26=".", 1, (EJ19/EJ18)^(('Summary, PPI''s'!$I19+'Summary, PPI''s'!$I18)/('Predicted PPIs'!ES19+'Predicted PPIs'!ES18)))*IF(EK$26=".", 1, (EK19/EK18)^(('Summary, PPI''s'!$J19+'Summary, PPI''s'!$J18)/('Predicted PPIs'!ES19+'Predicted PPIs'!ES18)))*IF(EL$26=".", 1, (EL19/EL18)^(('Summary, PPI''s'!$K19+'Summary, PPI''s'!$K18)/('Predicted PPIs'!ES19+'Predicted PPIs'!ES18)))*IF(EM$26=".", 1, (EM19/EM18)^(('Summary, PPI''s'!$L19+'Summary, PPI''s'!$L18)/('Predicted PPIs'!ES19+'Predicted PPIs'!ES18)))*IF(EN$26=".", 1, (EN19/EN18)^(('Summary, PPI''s'!$M19+'Summary, PPI''s'!$M18)/('Predicted PPIs'!ES19+'Predicted PPIs'!ES18)))*IF(EC$26=".", 1, (EC19/EC18)^(('Summary, PPI''s'!$B19+'Summary, PPI''s'!$B18)/('Predicted PPIs'!ES19+'Predicted PPIs'!ES18)))*IF(ED$26=".", 1, (ED19/ED18)^(('Summary, PPI''s'!$C19+'Summary, PPI''s'!$C18)/('Predicted PPIs'!ES19+'Predicted PPIs'!ES18)))*IF(EE$26=".", 1, (EE19/EE18)^(('Summary, PPI''s'!$D19+'Summary, PPI''s'!$D18)/('Predicted PPIs'!ES19+'Predicted PPIs'!ES18)))*IF(EO$26=".", 1, (EO19/EO18)^(('Summary, PPI''s'!$N19+'Summary, PPI''s'!$N18)/('Predicted PPIs'!ES19+'Predicted PPIs'!ES18)))*IF(EP$26=".", 1, (EP19/EP18)^(('Summary, PPI''s'!$O19+'Summary, PPI''s'!$O18)/('Predicted PPIs'!ES19+'Predicted PPIs'!ES18)))*IF(EQ$26=".", 1, (EQ19/EQ18)^(('Summary, PPI''s'!$P19+'Summary, PPI''s'!$P18)/('Predicted PPIs'!ES19+'Predicted PPIs'!ES18)))</f>
        <v>101.97513175354538</v>
      </c>
      <c r="EW19" s="13">
        <f>EW18*IF(EF$26=".", 1, (EF19/EF18)^(('Summary, PPI''s'!$E19+'Summary, PPI''s'!$E18)/('Predicted PPIs'!ET19+'Predicted PPIs'!ET18)))*IF(EG$26=".", 1, (EG19/EG18)^(('Summary, PPI''s'!$F19+'Summary, PPI''s'!$F18)/('Predicted PPIs'!ET19+'Predicted PPIs'!ET18)))*IF(EH$26=".", 1, (EH19/EH18)^(('Summary, PPI''s'!$G19+'Summary, PPI''s'!$G18)/('Predicted PPIs'!ET19+'Predicted PPIs'!ET18)))*IF(EK$26=".", 1, (EK19/EK18)^(('Summary, PPI''s'!$J19+'Summary, PPI''s'!$J18)/('Predicted PPIs'!ET19+'Predicted PPIs'!ET18)))*IF(EL$26=".", 1, (EL19/EL18)^(('Summary, PPI''s'!$K19+'Summary, PPI''s'!$K18)/('Predicted PPIs'!ET19+'Predicted PPIs'!ET18)))*IF(EM$26=".", 1, (EM19/EM18)^(('Summary, PPI''s'!$L19+'Summary, PPI''s'!$L18)/('Predicted PPIs'!ET19+'Predicted PPIs'!ET18)))*IF(EN$26=".", 1, (EN19/EN18)^(('Summary, PPI''s'!$M19+'Summary, PPI''s'!$M18)/('Predicted PPIs'!ET19+'Predicted PPIs'!ET18)))*IF(EC$26=".", 1, (EC19/EC18)^(('Summary, PPI''s'!$B19+'Summary, PPI''s'!$B18)/('Predicted PPIs'!ET19+'Predicted PPIs'!ET18)))</f>
        <v>116.65426059768025</v>
      </c>
      <c r="EY19" s="2"/>
    </row>
    <row r="20" spans="1:155" x14ac:dyDescent="0.3">
      <c r="A20" s="4">
        <v>2003</v>
      </c>
      <c r="B20" s="10">
        <f>IF(B19=".", ".", IF('Summary, PPI''s'!R20=".",IF(OR('Summary, hourly ad costs'!R20=-9999,'Summary, hourly ad costs'!R20=0), ".", 'Predicted PPIs'!B19*('Summary, hourly ad costs'!B20/'Summary, hourly ad costs'!R20)/('Summary, hourly ad costs'!B19/'Summary, hourly ad costs'!R19)), 'Summary, PPI''s'!R20))</f>
        <v>96.40437449986662</v>
      </c>
      <c r="C20" s="10">
        <f>IF(C19=".", ".", IF('Summary, PPI''s'!S20=".",IF(OR('Summary, hourly ad costs'!S20=-9999,'Summary, hourly ad costs'!S20=0), ".", 'Predicted PPIs'!C19*('Summary, hourly ad costs'!C20/'Summary, hourly ad costs'!S20)/('Summary, hourly ad costs'!C19/'Summary, hourly ad costs'!S19)), 'Summary, PPI''s'!S20))</f>
        <v>96.40437449986662</v>
      </c>
      <c r="D20" s="10">
        <f>IF(D19=".", ".", IF('Summary, PPI''s'!T20=".",IF(OR('Summary, hourly ad costs'!T20=-9999,'Summary, hourly ad costs'!T20=0), ".", 'Predicted PPIs'!D19*('Summary, hourly ad costs'!D20/'Summary, hourly ad costs'!T20)/('Summary, hourly ad costs'!D19/'Summary, hourly ad costs'!T19)), 'Summary, PPI''s'!T20))</f>
        <v>87.985100921125522</v>
      </c>
      <c r="E20" s="10">
        <f>IF(E19=".", ".", IF('Summary, PPI''s'!U20=".",IF(OR('Summary, hourly ad costs'!U20=-9999,'Summary, hourly ad costs'!U20=0), ".", 'Predicted PPIs'!E19*('Summary, hourly ad costs'!E20/'Summary, hourly ad costs'!U20)/('Summary, hourly ad costs'!E19/'Summary, hourly ad costs'!U19)), 'Summary, PPI''s'!U20))</f>
        <v>84.549646740280053</v>
      </c>
      <c r="F20" s="10">
        <f>IF(F19=".", ".", IF('Summary, PPI''s'!V20=".",IF(OR('Summary, hourly ad costs'!V20=-9999,'Summary, hourly ad costs'!V20=0), ".", 'Predicted PPIs'!F19*('Summary, hourly ad costs'!F20/'Summary, hourly ad costs'!V20)/('Summary, hourly ad costs'!F19/'Summary, hourly ad costs'!V19)), 'Summary, PPI''s'!V20))</f>
        <v>77.781210099262722</v>
      </c>
      <c r="G20" s="10">
        <f>IF(G19=".", ".", IF('Summary, PPI''s'!W20=".",IF(OR('Summary, hourly ad costs'!W20=-9999,'Summary, hourly ad costs'!W20=0), ".", 'Predicted PPIs'!G19*('Summary, hourly ad costs'!G20/'Summary, hourly ad costs'!W20)/('Summary, hourly ad costs'!G19/'Summary, hourly ad costs'!W19)), 'Summary, PPI''s'!W20))</f>
        <v>83.444271764947359</v>
      </c>
      <c r="H20" s="10">
        <f>IF(H19=".", ".", IF('Summary, PPI''s'!X20=".",IF(OR('Summary, hourly ad costs'!X20=-9999,'Summary, hourly ad costs'!X20=0), ".", 'Predicted PPIs'!H19*('Summary, hourly ad costs'!H20/'Summary, hourly ad costs'!X20)/('Summary, hourly ad costs'!H19/'Summary, hourly ad costs'!X19)), 'Summary, PPI''s'!X20))</f>
        <v>80.394999999999996</v>
      </c>
      <c r="I20" s="10">
        <f>IF(I19=".", ".", IF('Summary, PPI''s'!Y20=".",IF(OR('Summary, hourly ad costs'!Y20=-9999,'Summary, hourly ad costs'!Y20=0), ".", 'Predicted PPIs'!I19*('Summary, hourly ad costs'!I20/'Summary, hourly ad costs'!Y20)/('Summary, hourly ad costs'!I19/'Summary, hourly ad costs'!Y19)), 'Summary, PPI''s'!Y20))</f>
        <v>101.81553615598287</v>
      </c>
      <c r="J20" s="10">
        <f>IF(J19=".", ".", IF('Summary, PPI''s'!Z20=".",IF(OR('Summary, hourly ad costs'!Z20=-9999,'Summary, hourly ad costs'!Z20=0), ".", 'Predicted PPIs'!J19*('Summary, hourly ad costs'!J20/'Summary, hourly ad costs'!Z20)/('Summary, hourly ad costs'!J19/'Summary, hourly ad costs'!Z19)), 'Summary, PPI''s'!Z20))</f>
        <v>100.22230486207552</v>
      </c>
      <c r="K20" s="10">
        <f>IF(K19=".", ".", IF('Summary, PPI''s'!AA20=".",IF(OR('Summary, hourly ad costs'!AA20=-9999,'Summary, hourly ad costs'!AA20=0), ".", 'Predicted PPIs'!K19*('Summary, hourly ad costs'!K20/'Summary, hourly ad costs'!AA20)/('Summary, hourly ad costs'!K19/'Summary, hourly ad costs'!AA19)), 'Summary, PPI''s'!AA20))</f>
        <v>75.701094489178075</v>
      </c>
      <c r="L20" s="10">
        <f>IF(L19=".", ".", IF('Summary, PPI''s'!AB20=".",IF(OR('Summary, hourly ad costs'!AB20=-9999,'Summary, hourly ad costs'!AB20=0), ".", 'Predicted PPIs'!L19*('Summary, hourly ad costs'!L20/'Summary, hourly ad costs'!AB20)/('Summary, hourly ad costs'!L19/'Summary, hourly ad costs'!AB19)), 'Summary, PPI''s'!AB20))</f>
        <v>65.267624792242756</v>
      </c>
      <c r="M20" s="10">
        <f>IF(M19=".", ".", IF('Summary, PPI''s'!AC20=".",IF(OR('Summary, hourly ad costs'!AC20=-9999,'Summary, hourly ad costs'!AC20=0), ".", 'Predicted PPIs'!M19*('Summary, hourly ad costs'!M20/'Summary, hourly ad costs'!AC20)/('Summary, hourly ad costs'!M19/'Summary, hourly ad costs'!AC19)), 'Summary, PPI''s'!AC20))</f>
        <v>88.110126602543303</v>
      </c>
      <c r="N20" s="10">
        <f>IF(N19=".", ".", IF('Summary, PPI''s'!AD20=".",IF(OR('Summary, hourly ad costs'!AD20=-9999,'Summary, hourly ad costs'!AD20=0), ".", 'Predicted PPIs'!N19*('Summary, hourly ad costs'!N20/'Summary, hourly ad costs'!AD20)/('Summary, hourly ad costs'!N19/'Summary, hourly ad costs'!AD19)), 'Summary, PPI''s'!AD20))</f>
        <v>92.852572306117253</v>
      </c>
      <c r="O20" s="10">
        <f>IF(O19=".", ".", IF('Summary, PPI''s'!AE20=".",IF(OR('Summary, hourly ad costs'!AE20=-9999,'Summary, hourly ad costs'!AE20=0), ".", 'Predicted PPIs'!O19*('Summary, hourly ad costs'!O20/'Summary, hourly ad costs'!AE20)/('Summary, hourly ad costs'!O19/'Summary, hourly ad costs'!AE19)), 'Summary, PPI''s'!AE20))</f>
        <v>74.385999999999996</v>
      </c>
      <c r="P20" s="10">
        <f>IF(P19=".", ".", IF('Summary, PPI''s'!AF20=".",IF(OR('Summary, hourly ad costs'!AF20=-9999,'Summary, hourly ad costs'!AF20=0), ".", 'Predicted PPIs'!P19*('Summary, hourly ad costs'!P20/'Summary, hourly ad costs'!AF20)/('Summary, hourly ad costs'!P19/'Summary, hourly ad costs'!AF19)), 'Summary, PPI''s'!AF20))</f>
        <v>79.677000000000007</v>
      </c>
      <c r="R20" s="1">
        <f>IF(E$26=".", 0, 'Summary, PPI''s'!E20)+IF(F$26=".", 0, 'Summary, PPI''s'!F20)+IF(G$26=".", 0, 'Summary, PPI''s'!G20)+IF(H$26=".", 0, 'Summary, PPI''s'!H20)+IF(I$26=".", 0, 'Summary, PPI''s'!I20)+IF(J$26=".", 0, 'Summary, PPI''s'!J20)+IF(K$26=".", 0, 'Summary, PPI''s'!K20)+IF(L$26=".", 0, 'Summary, PPI''s'!L20)+IF(M$26=".", 0, 'Summary, PPI''s'!M20)+IF(B$26=".", 0, 'Summary, PPI''s'!B20)+IF(C$26=".", 0, 'Summary, PPI''s'!C20)+IF(D$26=".", 0, 'Summary, PPI''s'!D20)+IF(N$26=".", 0, 'Summary, PPI''s'!N20)+IF(O$26=".", 0, 'Summary, PPI''s'!O20)+IF(P$26=".", 0, 'Summary, PPI''s'!P20)</f>
        <v>255338490.80419919</v>
      </c>
      <c r="S20" s="1">
        <f>IF(E$36=".", 0, 'Summary, PPI''s'!E20)+IF(F$36=".", 0, 'Summary, PPI''s'!F20)+IF(G$36=".", 0, 'Summary, PPI''s'!G20)+IF(H$36=".", 0, 'Summary, PPI''s'!H20)+IF(I$36=".", 0, 'Summary, PPI''s'!I20)+IF(J$36=".", 0, 'Summary, PPI''s'!J20)+IF(K$36=".", 0, 'Summary, PPI''s'!K20)+IF(L$36=".", 0, 'Summary, PPI''s'!L20)+IF(M$36=".", 0, 'Summary, PPI''s'!M20)+IF(B$36=".", 0, 'Summary, PPI''s'!B20)+IF(C$36=".", 0, 'Summary, PPI''s'!C20)+IF(D$36=".", 0, 'Summary, PPI''s'!D20)+IF(N$36=".", 0, 'Summary, PPI''s'!N20)+IF(O$36=".", 0, 'Summary, PPI''s'!O20)+IF(P$36=".", 0, 'Summary, PPI''s'!P20)</f>
        <v>248567864.83376011</v>
      </c>
      <c r="T20" s="1">
        <f>IF(E$46=".", 0, 'Summary, PPI''s'!E20)+IF(F$46=".", 0, 'Summary, PPI''s'!F20)+IF(G$46=".", 0, 'Summary, PPI''s'!G20)+IF(H$46=".", 0, 'Summary, PPI''s'!H20)+IF(I$46=".", 0, 'Summary, PPI''s'!I20)+IF(J$46=".", 0, 'Summary, PPI''s'!J20)+IF(K$46=".", 0, 'Summary, PPI''s'!K20)+IF(L$46=".", 0, 'Summary, PPI''s'!L20)+IF(M$46=".", 0, 'Summary, PPI''s'!M20)+IF(B$46=".", 0, 'Summary, PPI''s'!B20)+IF(C$46=".", 0, 'Summary, PPI''s'!C20)+IF(D$46=".", 0, 'Summary, PPI''s'!D20)+IF(N$46=".", 0, 'Summary, PPI''s'!N20)+IF(O$46=".", 0, 'Summary, PPI''s'!O20)+IF(P$46=".", 0, 'Summary, PPI''s'!P20)</f>
        <v>168358240.95520046</v>
      </c>
      <c r="U20" s="1">
        <f>IF(E$60=".", 0, 'Summary, PPI''s'!E20)+IF(F$60=".", 0, 'Summary, PPI''s'!F20)+IF(G$60=".", 0, 'Summary, PPI''s'!G20)+IF(H$60=".", 0, 'Summary, PPI''s'!H20)+IF(I$60=".", 0, 'Summary, PPI''s'!I20)+IF(J$60=".", 0, 'Summary, PPI''s'!J20)+IF(K$60=".", 0, 'Summary, PPI''s'!K20)+IF(L$60=".", 0, 'Summary, PPI''s'!L20)+IF(M$60=".", 0, 'Summary, PPI''s'!M20)+IF(B$60=".", 0, 'Summary, PPI''s'!B20)+IF(C$60=".", 0, 'Summary, PPI''s'!C20)+IF(D$60=".", 0, 'Summary, PPI''s'!D20)+IF(N$60=".", 0, 'Summary, PPI''s'!N20)+IF(O$60=".", 0, 'Summary, PPI''s'!O20)+IF(P$60=".", 0, 'Summary, PPI''s'!P20)</f>
        <v>130869694.65376332</v>
      </c>
      <c r="V20" s="1">
        <f>IF(E$73=".", 0, 'Summary, PPI''s'!E20)+IF(F$73=".", 0, 'Summary, PPI''s'!F20)+IF(G$73=".", 0, 'Summary, PPI''s'!G20)+IF(H$73=".", 0, 'Summary, PPI''s'!H20)+IF(I$73=".", 0, 'Summary, PPI''s'!I20)+IF(J$73=".", 0, 'Summary, PPI''s'!J20)+IF(K$73=".", 0, 'Summary, PPI''s'!K20)+IF(L$73=".", 0, 'Summary, PPI''s'!L20)+IF(M$73=".", 0, 'Summary, PPI''s'!M20)+IF(B$73=".", 0, 'Summary, PPI''s'!B20)+IF(C$73=".", 0, 'Summary, PPI''s'!C20)+IF(D$73=".", 0, 'Summary, PPI''s'!D20)+IF(N$73=".", 0, 'Summary, PPI''s'!N20)+IF(O$73=".", 0, 'Summary, PPI''s'!O20)+IF(P$73=".", 0, 'Summary, PPI''s'!P20)</f>
        <v>105662913.06221905</v>
      </c>
      <c r="W20" s="1">
        <f>IF(E$94=".",0,'Summary, PPI''s'!E20)+IF(F$94=".",0,'Summary, PPI''s'!F20)+IF(G$94=".",0,'Summary, PPI''s'!G20)+IF(H$94=".",0,'Summary, PPI''s'!H20)+IF(I$94=".",0,'Summary, PPI''s'!I20)+IF(J$94=".",0,'Summary, PPI''s'!J20)+IF(K$94=".",0,'Summary, PPI''s'!K20)+IF(L$94=".",0,'Summary, PPI''s'!L20)+IF(M$94=".",0,'Summary, PPI''s'!M20)+IF(B$94=".",0,'Summary, PPI''s'!B20)+IF(C$94=".",0,'Summary, PPI''s'!C20)+IF(D$94=".",0,'Summary, PPI''s'!D20)+IF(N$94=".",0,'Summary, PPI''s'!N20)+IF(O$94=".",0,'Summary, PPI''s'!O20)+IF(P$94=".",0,'Summary, PPI''s'!P20)</f>
        <v>76011194.908479184</v>
      </c>
      <c r="X20" s="1">
        <f>IF(E$123=".", 0, 'Summary, PPI''s'!E20)+IF(F$123=".", 0, 'Summary, PPI''s'!F20)+IF(G$123=".", 0, 'Summary, PPI''s'!G20)+IF(H$123=".", 0, 'Summary, PPI''s'!H20)+IF(I$123=".", 0, 'Summary, PPI''s'!I20)+IF(J$123=".", 0, 'Summary, PPI''s'!J20)+IF(K$123=".", 0, 'Summary, PPI''s'!K20)+IF(L$123=".", 0, 'Summary, PPI''s'!L20)+IF(M$123=".", 0, 'Summary, PPI''s'!M20)+IF(B$123=".", 0, 'Summary, PPI''s'!B20)+IF(C$123=".", 0, 'Summary, PPI''s'!C20)+IF(D$123=".", 0, 'Summary, PPI''s'!D20)+IF(N$123=".", 0, 'Summary, PPI''s'!N20)+IF(O$123=".", 0, 'Summary, PPI''s'!O20)+IF(P$123=".", 0, 'Summary, PPI''s'!P20)</f>
        <v>61986796.050884463</v>
      </c>
      <c r="Z20" s="4">
        <f>Z19*IF(E$26=".", 1, (E20/E19)^(('Summary, PPI''s'!$E20+'Summary, PPI''s'!$E19)/('Predicted PPIs'!R20+'Predicted PPIs'!R19)))*IF(F$26=".", 1, (F20/F19)^(('Summary, PPI''s'!$F20+'Summary, PPI''s'!$F19)/('Predicted PPIs'!R20+'Predicted PPIs'!R19)))*IF(G$26=".", 1, (G20/G19)^(('Summary, PPI''s'!$G20+'Summary, PPI''s'!$G19)/('Predicted PPIs'!R20+'Predicted PPIs'!R19)))*IF(H$26=".", 1, (H20/H19)^(('Summary, PPI''s'!$H20+'Summary, PPI''s'!$H19)/('Predicted PPIs'!R20+'Predicted PPIs'!R19)))*IF(I$26=".", 1, (I20/I19)^(('Summary, PPI''s'!$I20+'Summary, PPI''s'!$I19)/('Predicted PPIs'!R20+'Predicted PPIs'!R19)))*IF(J$26=".", 1, (J20/J19)^(('Summary, PPI''s'!$J20+'Summary, PPI''s'!$J19)/('Predicted PPIs'!R20+'Predicted PPIs'!R19)))*IF(K$26=".", 1, (K20/K19)^(('Summary, PPI''s'!$K20+'Summary, PPI''s'!$K19)/('Predicted PPIs'!R20+'Predicted PPIs'!R19)))*IF(L$26=".", 1, (L20/L19)^(('Summary, PPI''s'!$L20+'Summary, PPI''s'!$L19)/('Predicted PPIs'!R20+'Predicted PPIs'!R19)))*IF(M$26=".", 1, (M20/M19)^(('Summary, PPI''s'!$M20+'Summary, PPI''s'!$M19)/('Predicted PPIs'!R20+'Predicted PPIs'!R19)))*IF(B$26=".", 1, (B20/B19)^(('Summary, PPI''s'!$B20+'Summary, PPI''s'!$B19)/('Predicted PPIs'!R20+'Predicted PPIs'!R19)))*IF(C$26=".", 1, (C20/C19)^(('Summary, PPI''s'!$C20+'Summary, PPI''s'!$C19)/('Predicted PPIs'!R20+'Predicted PPIs'!R19)))*IF(D$26=".", 1, (D20/D19)^(('Summary, PPI''s'!$D20+'Summary, PPI''s'!$D19)/('Predicted PPIs'!R20+'Predicted PPIs'!R19)))*IF(N$26=".", 1, (N20/N19)^(('Summary, PPI''s'!$N20+'Summary, PPI''s'!$N19)/('Predicted PPIs'!R20+'Predicted PPIs'!R19)))*IF(O$26=".", 1, (O20/O19)^(('Summary, PPI''s'!$O20+'Summary, PPI''s'!$O19)/('Predicted PPIs'!R20+'Predicted PPIs'!R19)))*IF(P$26=".", 1, (P20/P19)^(('Summary, PPI''s'!$P20+'Summary, PPI''s'!$P19)/('Predicted PPIs'!R20+'Predicted PPIs'!R19)))</f>
        <v>95.687876118182729</v>
      </c>
      <c r="AA20" s="4">
        <f>AA19*IF(E$36=".", 1, (E20/E19)^(('Summary, PPI''s'!$E20+'Summary, PPI''s'!$E19)/('Predicted PPIs'!S20+'Predicted PPIs'!S19)))*IF(F$36=".", 1, (F20/F19)^(('Summary, PPI''s'!$F20+'Summary, PPI''s'!$F19)/('Predicted PPIs'!S20+'Predicted PPIs'!S19)))*IF(G$36=".", 1, (G20/G19)^(('Summary, PPI''s'!$G20+'Summary, PPI''s'!$G19)/('Predicted PPIs'!S20+'Predicted PPIs'!S19)))*IF(H$36=".", 1, (H20/H19)^(('Summary, PPI''s'!$H20+'Summary, PPI''s'!$H19)/('Predicted PPIs'!S20+'Predicted PPIs'!S19)))*IF(I$36=".", 1, (I20/I19)^(('Summary, PPI''s'!$I20+'Summary, PPI''s'!$I19)/('Predicted PPIs'!S20+'Predicted PPIs'!S19)))*IF(J$36=".", 1, (J20/J19)^(('Summary, PPI''s'!$J20+'Summary, PPI''s'!$J19)/('Predicted PPIs'!S20+'Predicted PPIs'!S19)))*IF(K$36=".", 1, (K20/K19)^(('Summary, PPI''s'!$K20+'Summary, PPI''s'!$K19)/('Predicted PPIs'!S20+'Predicted PPIs'!S19)))*IF(L$36=".", 1, (L20/L19)^(('Summary, PPI''s'!$L20+'Summary, PPI''s'!$L19)/('Predicted PPIs'!S20+'Predicted PPIs'!S19)))*IF(M$36=".", 1, (M20/M19)^(('Summary, PPI''s'!$M20+'Summary, PPI''s'!$M19)/('Predicted PPIs'!S20+'Predicted PPIs'!S19)))*IF(B$36=".", 1, (B20/B19)^(('Summary, PPI''s'!$B20+'Summary, PPI''s'!$B19)/('Predicted PPIs'!S20+'Predicted PPIs'!S19)))*IF(C$36=".", 1, (C20/C19)^(('Summary, PPI''s'!$C20+'Summary, PPI''s'!$C19)/('Predicted PPIs'!S20+'Predicted PPIs'!S19)))*IF(D$36=".", 1, (D20/D19)^(('Summary, PPI''s'!$D20+'Summary, PPI''s'!$D19)/('Predicted PPIs'!S20+'Predicted PPIs'!S19)))*IF(N$36=".", 1, (N20/N19)^(('Summary, PPI''s'!$N20+'Summary, PPI''s'!$N19)/('Predicted PPIs'!S20+'Predicted PPIs'!S19)))*IF(O$36=".", 1, (O20/O19)^(('Summary, PPI''s'!$O20+'Summary, PPI''s'!$O19)/('Predicted PPIs'!S20+'Predicted PPIs'!S19)))*IF(P$36=".", 1, (P20/P19)^(('Summary, PPI''s'!$P20+'Summary, PPI''s'!$P19)/('Predicted PPIs'!S20+'Predicted PPIs'!S19)))</f>
        <v>85.676460958467317</v>
      </c>
      <c r="AB20" s="4">
        <f>AB19*IF(E$46=".", 1, (E20/E19)^(('Summary, PPI''s'!$E20+'Summary, PPI''s'!$E19)/('Predicted PPIs'!T20+'Predicted PPIs'!T19)))*IF(F$46=".", 1, (F20/F19)^(('Summary, PPI''s'!$F20+'Summary, PPI''s'!$F19)/('Predicted PPIs'!T20+'Predicted PPIs'!T19)))*IF(G$46=".", 1, (G20/G19)^(('Summary, PPI''s'!$G20+'Summary, PPI''s'!$G19)/('Predicted PPIs'!T20+'Predicted PPIs'!T19)))*IF(H$46=".", 1, (H20/H19)^(('Summary, PPI''s'!$H20+'Summary, PPI''s'!$H19)/('Predicted PPIs'!T20+'Predicted PPIs'!T19)))*IF(I$46=".", 1, (I20/I19)^(('Summary, PPI''s'!$I20+'Summary, PPI''s'!$I19)/('Predicted PPIs'!T20+'Predicted PPIs'!T19)))*IF(J$46=".", 1, (J20/J19)^(('Summary, PPI''s'!$J20+'Summary, PPI''s'!$J19)/('Predicted PPIs'!T20+'Predicted PPIs'!T19)))*IF(K$46=".", 1, (K20/K19)^(('Summary, PPI''s'!$K20+'Summary, PPI''s'!$K19)/('Predicted PPIs'!T20+'Predicted PPIs'!T19)))*IF(L$46=".", 1, (L20/L19)^(('Summary, PPI''s'!$L20+'Summary, PPI''s'!$L19)/('Predicted PPIs'!T20+'Predicted PPIs'!T19)))*IF(M$46=".", 1, (M20/M19)^(('Summary, PPI''s'!$M20+'Summary, PPI''s'!$M19)/('Predicted PPIs'!T20+'Predicted PPIs'!T19)))*IF(B$46=".", 1, (B20/B19)^(('Summary, PPI''s'!$B20+'Summary, PPI''s'!$B19)/('Predicted PPIs'!T20+'Predicted PPIs'!T19)))*IF(C$46=".", 1, (C20/C19)^(('Summary, PPI''s'!$C20+'Summary, PPI''s'!$C19)/('Predicted PPIs'!T20+'Predicted PPIs'!T19)))*IF(D$46=".", 1, (D20/D19)^(('Summary, PPI''s'!$D20+'Summary, PPI''s'!$D19)/('Predicted PPIs'!T20+'Predicted PPIs'!T19)))*IF(N$46=".", 1, (N20/N19)^(('Summary, PPI''s'!$N20+'Summary, PPI''s'!$N19)/('Predicted PPIs'!T20+'Predicted PPIs'!T19)))*IF(O$46=".", 1, (O20/O19)^(('Summary, PPI''s'!$O20+'Summary, PPI''s'!$O19)/('Predicted PPIs'!T20+'Predicted PPIs'!T19)))*IF(P$46=".", 1, (P20/P19)^(('Summary, PPI''s'!$P20+'Summary, PPI''s'!$P19)/('Predicted PPIs'!T20+'Predicted PPIs'!T19)))</f>
        <v>85.506614005876173</v>
      </c>
      <c r="AC20" s="4">
        <f>AC19*IF(E$60=".",1,(E20/E19)^(('Summary, PPI''s'!$E20+'Summary, PPI''s'!$E19)/('Predicted PPIs'!U20+'Predicted PPIs'!U19)))*IF(F$60=".",1,(F20/F19)^(('Summary, PPI''s'!$F20+'Summary, PPI''s'!$F19)/('Predicted PPIs'!U20+'Predicted PPIs'!U19)))*IF(G$60=".",1,(G20/G19)^(('Summary, PPI''s'!$G20+'Summary, PPI''s'!$G19)/('Predicted PPIs'!U20+'Predicted PPIs'!U19)))*IF(H$60=".",1,(H20/H19)^(('Summary, PPI''s'!$H20+'Summary, PPI''s'!$H19)/('Predicted PPIs'!U20+'Predicted PPIs'!U19)))*IF(I$60=".",1,(I20/I19)^(('Summary, PPI''s'!$I20+'Summary, PPI''s'!$I19)/('Predicted PPIs'!U20+'Predicted PPIs'!U19)))*IF(J$60=".",1,(J20/J19)^(('Summary, PPI''s'!$J20+'Summary, PPI''s'!$J19)/('Predicted PPIs'!U20+'Predicted PPIs'!U19)))*IF(K$60=".",1,(K20/K19)^(('Summary, PPI''s'!$K20+'Summary, PPI''s'!$K19)/('Predicted PPIs'!U20+'Predicted PPIs'!U19)))*IF(L$60=".",1,(L20/L19)^(('Summary, PPI''s'!$L20+'Summary, PPI''s'!$L19)/('Predicted PPIs'!U20+'Predicted PPIs'!U19)))*IF(M$60=".",1,(M20/M19)^(('Summary, PPI''s'!$M20+'Summary, PPI''s'!$M19)/('Predicted PPIs'!U20+'Predicted PPIs'!U19)))*IF(B$60=".",1,(B20/B19)^(('Summary, PPI''s'!$B20+'Summary, PPI''s'!$B19)/('Predicted PPIs'!U20+'Predicted PPIs'!U19)))*IF(C$60=".",1,(C20/C19)^(('Summary, PPI''s'!$C20+'Summary, PPI''s'!$C19)/('Predicted PPIs'!U20+'Predicted PPIs'!U19)))*IF(D$60=".",1,(D20/D19)^(('Summary, PPI''s'!$D20+'Summary, PPI''s'!$D19)/('Predicted PPIs'!U20+'Predicted PPIs'!U19)))*IF(N$60=".",1,(N20/N19)^(('Summary, PPI''s'!$N20+'Summary, PPI''s'!$N19)/('Predicted PPIs'!U20+'Predicted PPIs'!U19)))*IF(O$60=".",1,(O20/O19)^(('Summary, PPI''s'!$O20+'Summary, PPI''s'!$O19)/('Predicted PPIs'!U20+'Predicted PPIs'!U19)))*IF(P$60=".",1,(P20/P19)^(('Summary, PPI''s'!$P20+'Summary, PPI''s'!$P19)/('Predicted PPIs'!U20+'Predicted PPIs'!U19)))</f>
        <v>93.612279634349221</v>
      </c>
      <c r="AD20" s="4">
        <f>AD19*IF(E$73=".", 1, (E20/E19)^(('Summary, PPI''s'!$E20+'Summary, PPI''s'!$E19)/('Predicted PPIs'!V20+'Predicted PPIs'!V19)))*IF(F$73=".", 1, (F20/F19)^(('Summary, PPI''s'!$F20+'Summary, PPI''s'!$F19)/('Predicted PPIs'!V20+'Predicted PPIs'!V19)))*IF(G$73=".", 1, (G20/G19)^(('Summary, PPI''s'!$G20+'Summary, PPI''s'!$G19)/('Predicted PPIs'!V20+'Predicted PPIs'!V19)))*IF(H$73=".", 1, (H20/H19)^(('Summary, PPI''s'!$H20+'Summary, PPI''s'!$H19)/('Predicted PPIs'!V20+'Predicted PPIs'!V19)))*IF(I$73=".", 1, (I20/I19)^(('Summary, PPI''s'!$I20+'Summary, PPI''s'!$I19)/('Predicted PPIs'!V20+'Predicted PPIs'!V19)))*IF(J$73=".", 1, (J20/J19)^(('Summary, PPI''s'!$J20+'Summary, PPI''s'!$J19)/('Predicted PPIs'!V20+'Predicted PPIs'!V19)))*IF(K$73=".", 1, (K20/K19)^(('Summary, PPI''s'!$K20+'Summary, PPI''s'!$K19)/('Predicted PPIs'!V20+'Predicted PPIs'!V19)))*IF(L$73=".", 1, (L20/L19)^(('Summary, PPI''s'!$L20+'Summary, PPI''s'!$L19)/('Predicted PPIs'!V20+'Predicted PPIs'!V19)))*IF(M$73=".", 1, (M20/M19)^(('Summary, PPI''s'!$M20+'Summary, PPI''s'!$M19)/('Predicted PPIs'!V20+'Predicted PPIs'!V19)))*IF(B$73=".", 1, (B20/B19)^(('Summary, PPI''s'!$B20+'Summary, PPI''s'!$B19)/('Predicted PPIs'!V20+'Predicted PPIs'!V19)))*IF(C$73=".", 1, (C20/C19)^(('Summary, PPI''s'!$C20+'Summary, PPI''s'!$C19)/('Predicted PPIs'!V20+'Predicted PPIs'!V19)))*IF(D$73=".", 1, (D20/D19)^(('Summary, PPI''s'!$D20+'Summary, PPI''s'!$D19)/('Predicted PPIs'!V20+'Predicted PPIs'!V19)))*IF(N$73=".", 1, (N20/N19)^(('Summary, PPI''s'!$N20+'Summary, PPI''s'!$N19)/('Predicted PPIs'!V20+'Predicted PPIs'!V19)))*IF(O$73=".", 1, (O20/O19)^(('Summary, PPI''s'!$O20+'Summary, PPI''s'!$O19)/('Predicted PPIs'!V20+'Predicted PPIs'!V19)))*IF(P$73=".", 1, (P20/P19)^(('Summary, PPI''s'!$P20+'Summary, PPI''s'!$P19)/('Predicted PPIs'!V20+'Predicted PPIs'!V19)))</f>
        <v>94.496247777642012</v>
      </c>
      <c r="AE20" s="4">
        <f>AE19*IF(E$94=".", 1, (E20/E19)^(('Summary, PPI''s'!$E20+'Summary, PPI''s'!$E19)/('Predicted PPIs'!W20+'Predicted PPIs'!W19)))*IF(F$94=".", 1, (F20/F19)^(('Summary, PPI''s'!$F20+'Summary, PPI''s'!$F19)/('Predicted PPIs'!W20+'Predicted PPIs'!W19)))*IF(G$94=".", 1, (G20/G19)^(('Summary, PPI''s'!$G20+'Summary, PPI''s'!$G19)/('Predicted PPIs'!W20+'Predicted PPIs'!W19)))*IF(H$94=".", 1, (H20/H19)^(('Summary, PPI''s'!$H20+'Summary, PPI''s'!$H19)/('Predicted PPIs'!W20+'Predicted PPIs'!W19)))*IF(I$94=".", 1, (I20/I19)^(('Summary, PPI''s'!$I20+'Summary, PPI''s'!$I19)/('Predicted PPIs'!W20+'Predicted PPIs'!W19)))*IF(J$94=".", 1, (J20/J19)^(('Summary, PPI''s'!$J20+'Summary, PPI''s'!$J19)/('Predicted PPIs'!W20+'Predicted PPIs'!W19)))*IF(K$94=".", 1, (K20/K19)^(('Summary, PPI''s'!$K20+'Summary, PPI''s'!$K19)/('Predicted PPIs'!W20+'Predicted PPIs'!W19)))*IF(L$94=".", 1, (L20/L19)^(('Summary, PPI''s'!$L20+'Summary, PPI''s'!$L19)/('Predicted PPIs'!W20+'Predicted PPIs'!W19)))*IF(M$94=".", 1, (M20/M19)^(('Summary, PPI''s'!$M20+'Summary, PPI''s'!$M19)/('Predicted PPIs'!W20+'Predicted PPIs'!W19)))*IF(B$94=".", 1, (B20/B19)^(('Summary, PPI''s'!$B20+'Summary, PPI''s'!$B19)/('Predicted PPIs'!W20+'Predicted PPIs'!W19)))*IF(C$94=".", 1, (C20/C19)^(('Summary, PPI''s'!$C20+'Summary, PPI''s'!$C19)/('Predicted PPIs'!W20+'Predicted PPIs'!W19)))*IF(D$94=".", 1, (D20/D19)^(('Summary, PPI''s'!$D20+'Summary, PPI''s'!$D19)/('Predicted PPIs'!W20+'Predicted PPIs'!W19)))*IF(N$94=".", 1, (N20/N19)^(('Summary, PPI''s'!$N20+'Summary, PPI''s'!$N19)/('Predicted PPIs'!W20+'Predicted PPIs'!W19)))*IF(O$94=".", 1, (O20/O19)^(('Summary, PPI''s'!$O20+'Summary, PPI''s'!$O19)/('Predicted PPIs'!W20+'Predicted PPIs'!W19)))*IF(P$94=".", 1, (P20/P19)^(('Summary, PPI''s'!$P20+'Summary, PPI''s'!$P19)/('Predicted PPIs'!W20+'Predicted PPIs'!W19)))</f>
        <v>88.047360631896012</v>
      </c>
      <c r="AF20" s="4">
        <f>AF19*IF(E$123=".", 1, (E20/E19)^(('Summary, PPI''s'!$E20+'Summary, PPI''s'!$E19)/('Predicted PPIs'!X20+'Predicted PPIs'!X19)))*IF(F$123=".", 1, (F20/F19)^(('Summary, PPI''s'!$F20+'Summary, PPI''s'!$F19)/('Predicted PPIs'!X20+'Predicted PPIs'!X19)))*IF(G$123=".", 1, (G20/G19)^(('Summary, PPI''s'!$G20+'Summary, PPI''s'!$G19)/('Predicted PPIs'!X20+'Predicted PPIs'!X19)))*IF(H$123=".", 1, (H20/H19)^(('Summary, PPI''s'!$H20+'Summary, PPI''s'!$H19)/('Predicted PPIs'!X20+'Predicted PPIs'!X19)))*IF(I$123=".", 1, (I20/I19)^(('Summary, PPI''s'!$I20+'Summary, PPI''s'!$I19)/('Predicted PPIs'!X20+'Predicted PPIs'!X19)))*IF(J$123=".", 1, (J20/J19)^(('Summary, PPI''s'!$J20+'Summary, PPI''s'!$J19)/('Predicted PPIs'!X20+'Predicted PPIs'!X19)))*IF(K$123=".", 1, (K20/K19)^(('Summary, PPI''s'!$K20+'Summary, PPI''s'!$K19)/('Predicted PPIs'!X20+'Predicted PPIs'!X19)))*IF(L$123=".", 1, (L20/L19)^(('Summary, PPI''s'!$L20+'Summary, PPI''s'!$L19)/('Predicted PPIs'!X20+'Predicted PPIs'!X19)))*IF(M$123=".", 1, (M20/M19)^(('Summary, PPI''s'!$M20+'Summary, PPI''s'!$M19)/('Predicted PPIs'!X20+'Predicted PPIs'!X19)))*IF(B$123=".", 1, (B20/B19)^(('Summary, PPI''s'!$B20+'Summary, PPI''s'!$B19)/('Predicted PPIs'!X20+'Predicted PPIs'!X19)))*IF(C$123=".", 1, (C20/C19)^(('Summary, PPI''s'!$C20+'Summary, PPI''s'!$C19)/('Predicted PPIs'!X20+'Predicted PPIs'!X19)))*IF(D$123=".", 1, (D20/D19)^(('Summary, PPI''s'!$D20+'Summary, PPI''s'!$D19)/('Predicted PPIs'!X20+'Predicted PPIs'!X19)))*IF(N$123=".", 1, (N20/N19)^(('Summary, PPI''s'!$N20+'Summary, PPI''s'!$N19)/('Predicted PPIs'!X20+'Predicted PPIs'!X19)))*IF(O$123=".", 1, (O20/O19)^(('Summary, PPI''s'!$O20+'Summary, PPI''s'!$O19)/('Predicted PPIs'!X20+'Predicted PPIs'!X19)))*IF(P$123=".", 1, (P20/P19)^(('Summary, PPI''s'!$P20+'Summary, PPI''s'!$P19)/('Predicted PPIs'!X20+'Predicted PPIs'!X19)))</f>
        <v>82.416530698008657</v>
      </c>
      <c r="AH20" s="13">
        <f t="shared" si="32"/>
        <v>95.687876118182757</v>
      </c>
      <c r="AJ20" s="4">
        <v>7740.7</v>
      </c>
      <c r="AK20" s="4">
        <v>-0.27500000000000002</v>
      </c>
      <c r="AL20" s="4">
        <v>-908.15099999999995</v>
      </c>
      <c r="AM20" s="4">
        <v>-13.250999999999999</v>
      </c>
      <c r="AN20" s="4">
        <v>7891.4</v>
      </c>
      <c r="AO20" s="4">
        <v>1986.2</v>
      </c>
      <c r="AP20" s="4">
        <f>1038.307+0.008+0.314+11.89-1097.79</f>
        <v>-47.270999999999731</v>
      </c>
      <c r="AQ20" s="4">
        <f>722.423+13.8+11.009+35.417-1109.277</f>
        <v>-326.62800000000004</v>
      </c>
      <c r="AR20" s="4">
        <v>-33.718000000000004</v>
      </c>
      <c r="AS20" s="4">
        <v>-62.664000000000001</v>
      </c>
      <c r="AT20" s="4">
        <v>82.397999999999996</v>
      </c>
      <c r="AU20" s="4">
        <v>67.174000000000007</v>
      </c>
      <c r="AV20" s="4">
        <v>83.055999999999997</v>
      </c>
      <c r="AW20" s="4">
        <v>66.438999999999993</v>
      </c>
      <c r="AX20" s="4">
        <v>74.506</v>
      </c>
      <c r="AY20" s="4">
        <v>88.265000000000001</v>
      </c>
      <c r="AZ20" s="4">
        <v>62.768999999999998</v>
      </c>
      <c r="BA20" s="4">
        <v>81.677999999999997</v>
      </c>
      <c r="BB20" s="4">
        <v>100.643</v>
      </c>
      <c r="BC20" s="4">
        <v>97.012</v>
      </c>
      <c r="BG20" s="4">
        <f t="shared" si="50"/>
        <v>87.979249224989303</v>
      </c>
      <c r="BI20" s="4">
        <f>BI$13*'[2]Ordinary Experience'!$D$406/'[2]Ordinary Experience'!$D$413</f>
        <v>289604065.4624303</v>
      </c>
      <c r="BJ20" s="4">
        <f>'[2]Ordinary Experience'!$E$406</f>
        <v>20.965113063273336</v>
      </c>
      <c r="BL20" s="4">
        <f t="shared" si="0"/>
        <v>96.982302209755318</v>
      </c>
      <c r="BM20" s="4">
        <f t="shared" si="34"/>
        <v>1.5100069439886843E-2</v>
      </c>
      <c r="BO20" s="4">
        <f>IF(OR('Summary, hourly ad costs'!R20=-9999,'Summary, PPI''s'!R20="."),".",(('Summary, hourly ad costs'!B20/'Summary, hourly ad costs'!R20)*100/('Summary, hourly ad costs'!B$11/'Summary, hourly ad costs'!R$11))/('Summary, PPI''s'!R20))</f>
        <v>0.95875694888896945</v>
      </c>
      <c r="BP20" s="4" t="str">
        <f>IF(OR('Summary, hourly ad costs'!S20=-9999,'Summary, PPI''s'!S20="."),".",(('Summary, hourly ad costs'!C20/'Summary, hourly ad costs'!S20)*100/('Summary, hourly ad costs'!C$11/'Summary, hourly ad costs'!S$11))/('Summary, PPI''s'!S20))</f>
        <v>.</v>
      </c>
      <c r="BQ20" s="4" t="str">
        <f>IF(OR('Summary, hourly ad costs'!T20=-9999,'Summary, PPI''s'!T20="."),".",(('Summary, hourly ad costs'!D20/'Summary, hourly ad costs'!T20)*100/('Summary, hourly ad costs'!D$11/'Summary, hourly ad costs'!T$11))/('Summary, PPI''s'!T20))</f>
        <v>.</v>
      </c>
      <c r="BR20" s="4">
        <f>IF(OR('Summary, hourly ad costs'!U20=-9999,'Summary, PPI''s'!U20="."),".",(('Summary, hourly ad costs'!E20/'Summary, hourly ad costs'!U20)*100/('Summary, hourly ad costs'!E$11/'Summary, hourly ad costs'!U$11))/('Summary, PPI''s'!U20))</f>
        <v>1.7845441345669475</v>
      </c>
      <c r="BS20" s="4">
        <f>IF(OR('Summary, hourly ad costs'!V20=-9999,'Summary, PPI''s'!V20="."),".",(('Summary, hourly ad costs'!F20/'Summary, hourly ad costs'!V20)*100/('Summary, hourly ad costs'!F$11/'Summary, hourly ad costs'!V$11))/('Summary, PPI''s'!V20))</f>
        <v>1.7885983564581123</v>
      </c>
      <c r="BT20" s="4" t="str">
        <f>IF(OR('Summary, hourly ad costs'!W20=-9999,'Summary, PPI''s'!W20="."),".",(('Summary, hourly ad costs'!G20/'Summary, hourly ad costs'!W20)*100/('Summary, hourly ad costs'!G$11/'Summary, hourly ad costs'!W$11))/('Summary, PPI''s'!W20))</f>
        <v>.</v>
      </c>
      <c r="BU20" s="4">
        <f>IF(OR('Summary, hourly ad costs'!X20=-9999,'Summary, PPI''s'!X20="."),".",(('Summary, hourly ad costs'!H20/'Summary, hourly ad costs'!X20)*100/('Summary, hourly ad costs'!H$11/'Summary, hourly ad costs'!X$11))/('Summary, PPI''s'!X20))</f>
        <v>1.0591904427342393</v>
      </c>
      <c r="BV20" s="4">
        <f>IF(OR('Summary, hourly ad costs'!Y20=-9999,'Summary, PPI''s'!Y20="."),".",(('Summary, hourly ad costs'!I20/'Summary, hourly ad costs'!Y20)*100/('Summary, hourly ad costs'!I$11/'Summary, hourly ad costs'!Y$11))/('Summary, PPI''s'!Y20))</f>
        <v>0.89852624050632768</v>
      </c>
      <c r="BW20" s="4">
        <f>IF(OR('Summary, hourly ad costs'!Z20=-9999,'Summary, PPI''s'!Z20="."),".",(('Summary, hourly ad costs'!J20/'Summary, hourly ad costs'!Z20)*100/('Summary, hourly ad costs'!J$11/'Summary, hourly ad costs'!Z$11))/('Summary, PPI''s'!Z20))</f>
        <v>0.88630965073147094</v>
      </c>
      <c r="BX20" s="4">
        <f>IF(OR('Summary, hourly ad costs'!AA20=-9999,'Summary, PPI''s'!AA20="."),".",(('Summary, hourly ad costs'!K20/'Summary, hourly ad costs'!AA20)*100/('Summary, hourly ad costs'!K$11/'Summary, hourly ad costs'!AA$11))/('Summary, PPI''s'!AA20))</f>
        <v>1.2858426132916772</v>
      </c>
      <c r="BY20" s="4" t="str">
        <f>IF(OR('Summary, hourly ad costs'!AB20=-9999,'Summary, PPI''s'!AB20="."),".",(('Summary, hourly ad costs'!L20/'Summary, hourly ad costs'!AB20)*100/('Summary, hourly ad costs'!L$11/'Summary, hourly ad costs'!AB$11))/('Summary, PPI''s'!AB20))</f>
        <v>.</v>
      </c>
      <c r="BZ20" s="4" t="str">
        <f>IF(OR('Summary, hourly ad costs'!AC20=-9999,'Summary, PPI''s'!AC20="."),".",(('Summary, hourly ad costs'!M20/'Summary, hourly ad costs'!AC20)*100/('Summary, hourly ad costs'!M$11/'Summary, hourly ad costs'!AC$11))/('Summary, PPI''s'!AC20))</f>
        <v>.</v>
      </c>
      <c r="CA20" s="4" t="str">
        <f>IF(OR('Summary, hourly ad costs'!AD20=-9999,'Summary, PPI''s'!AD20="."),".",(('Summary, hourly ad costs'!N20/'Summary, hourly ad costs'!AD20)*100/('Summary, hourly ad costs'!N$11/'Summary, hourly ad costs'!AD$11))/('Summary, PPI''s'!AD20))</f>
        <v>.</v>
      </c>
      <c r="CB20" s="4" t="str">
        <f>IF(OR('Summary, hourly ad costs'!AE20=-9999,'Summary, PPI''s'!AE20="."),".",(('Summary, hourly ad costs'!O20/'Summary, hourly ad costs'!AE20)*100/('Summary, hourly ad costs'!O$11/'Summary, hourly ad costs'!AE$11))/('Summary, PPI''s'!AE20))</f>
        <v>.</v>
      </c>
      <c r="CC20" s="4" t="str">
        <f>IF(OR('Summary, hourly ad costs'!AF20=-9999,'Summary, PPI''s'!AF20="."),".",(('Summary, hourly ad costs'!P20/'Summary, hourly ad costs'!AF20)*100/('Summary, hourly ad costs'!P$11/'Summary, hourly ad costs'!AF$11))/('Summary, PPI''s'!AF20))</f>
        <v>.</v>
      </c>
      <c r="CE20" s="4">
        <f t="shared" si="51"/>
        <v>3.9514937193120936E-2</v>
      </c>
      <c r="CF20" s="4" t="str">
        <f t="shared" si="52"/>
        <v>.</v>
      </c>
      <c r="CG20" s="4" t="str">
        <f t="shared" si="53"/>
        <v>.</v>
      </c>
      <c r="CH20" s="4">
        <f t="shared" si="54"/>
        <v>1.9571947033521608E-2</v>
      </c>
      <c r="CI20" s="4">
        <f t="shared" si="55"/>
        <v>4.6379835512921908E-4</v>
      </c>
      <c r="CJ20" s="4" t="str">
        <f t="shared" si="56"/>
        <v>.</v>
      </c>
      <c r="CK20" s="4">
        <f t="shared" si="57"/>
        <v>-4.8509249961346534E-2</v>
      </c>
      <c r="CL20" s="4">
        <f t="shared" si="58"/>
        <v>-2.191648668929902E-2</v>
      </c>
      <c r="CM20" s="4">
        <f t="shared" si="59"/>
        <v>-3.212739497094097E-2</v>
      </c>
      <c r="CN20" s="4">
        <f t="shared" si="60"/>
        <v>-5.5793445320922452E-2</v>
      </c>
      <c r="CO20" s="4">
        <f t="shared" si="61"/>
        <v>9.3358084950234677E-2</v>
      </c>
      <c r="CP20" s="4">
        <f>_xlfn.FORECAST.LINEAR($BM20,CP$4:CP$12,$BM$4:$BM$12)</f>
        <v>0.15090577606386479</v>
      </c>
      <c r="CQ20" s="4" t="str">
        <f t="shared" si="62"/>
        <v>.</v>
      </c>
      <c r="CR20" s="4" t="str">
        <f t="shared" si="63"/>
        <v>.</v>
      </c>
      <c r="CS20" s="4" t="str">
        <f t="shared" si="64"/>
        <v>.</v>
      </c>
      <c r="CU20" s="5">
        <f>IF(CU19=".", ".", IF('Summary, PPI''s'!R20=".",IF(OR('Summary, hourly ad costs'!R20=-9999,'Summary, hourly ad costs'!R20=0), ".", 'Predicted PPIs'!CU19*('Summary, hourly ad costs'!B20/'Summary, hourly ad costs'!R20)/('Summary, hourly ad costs'!B19/'Summary, hourly ad costs'!R19)/(1-CE19)), 'Summary, PPI''s'!R20))</f>
        <v>96.40437449986662</v>
      </c>
      <c r="CV20" s="5">
        <f>IF(CV19=".", ".", IF('Summary, PPI''s'!S20=".",IF(OR('Summary, hourly ad costs'!S20=-9999,'Summary, hourly ad costs'!S20=0), ".", 'Predicted PPIs'!CV19*('Summary, hourly ad costs'!C20/'Summary, hourly ad costs'!S20)/('Summary, hourly ad costs'!C19/'Summary, hourly ad costs'!S19)/(1-CF19)), 'Summary, PPI''s'!S20))</f>
        <v>96.40437449986662</v>
      </c>
      <c r="CW20" s="5">
        <f>IF(CW19=".", ".", IF('Summary, PPI''s'!T20=".",IF(OR('Summary, hourly ad costs'!T20=-9999,'Summary, hourly ad costs'!T20=0), ".", 'Predicted PPIs'!CW19*('Summary, hourly ad costs'!D20/'Summary, hourly ad costs'!T20)/('Summary, hourly ad costs'!D19/'Summary, hourly ad costs'!T19)/(1-CG19)), 'Summary, PPI''s'!T20))</f>
        <v>87.985100921125522</v>
      </c>
      <c r="CX20" s="5">
        <f>IF(CX19=".", ".", IF('Summary, PPI''s'!U20=".",IF(OR('Summary, hourly ad costs'!U20=-9999,'Summary, hourly ad costs'!U20=0), ".", 'Predicted PPIs'!CX19*('Summary, hourly ad costs'!E20/'Summary, hourly ad costs'!U20)/('Summary, hourly ad costs'!E19/'Summary, hourly ad costs'!U19)/(1-CH19)), 'Summary, PPI''s'!U20))</f>
        <v>84.549646740280053</v>
      </c>
      <c r="CY20" s="5">
        <f>IF(CY19=".", ".", IF('Summary, PPI''s'!V20=".",IF(OR('Summary, hourly ad costs'!V20=-9999,'Summary, hourly ad costs'!V20=0), ".", 'Predicted PPIs'!CY19*('Summary, hourly ad costs'!F20/'Summary, hourly ad costs'!V20)/('Summary, hourly ad costs'!F19/'Summary, hourly ad costs'!V19)/(1-CI19)), 'Summary, PPI''s'!V20))</f>
        <v>77.781210099262722</v>
      </c>
      <c r="CZ20" s="5">
        <f>IF(CZ19=".", ".", IF('Summary, PPI''s'!W20=".",IF(OR('Summary, hourly ad costs'!W20=-9999,'Summary, hourly ad costs'!W20=0), ".", 'Predicted PPIs'!CZ19*('Summary, hourly ad costs'!G20/'Summary, hourly ad costs'!W20)/('Summary, hourly ad costs'!G19/'Summary, hourly ad costs'!W19)/(1-CJ19)), 'Summary, PPI''s'!W20))</f>
        <v>83.444271764947359</v>
      </c>
      <c r="DA20" s="5">
        <f>IF(DA19=".", ".", IF('Summary, PPI''s'!X20=".",IF(OR('Summary, hourly ad costs'!X20=-9999,'Summary, hourly ad costs'!X20=0), ".", 'Predicted PPIs'!DA19*('Summary, hourly ad costs'!H20/'Summary, hourly ad costs'!X20)/('Summary, hourly ad costs'!H19/'Summary, hourly ad costs'!X19)/(1-CK19)), 'Summary, PPI''s'!X20))</f>
        <v>80.394999999999996</v>
      </c>
      <c r="DB20" s="5">
        <f>IF(DB19=".", ".", IF('Summary, PPI''s'!Y20=".",IF(OR('Summary, hourly ad costs'!Y20=-9999,'Summary, hourly ad costs'!Y20=0), ".", 'Predicted PPIs'!DB19*('Summary, hourly ad costs'!I20/'Summary, hourly ad costs'!Y20)/('Summary, hourly ad costs'!I19/'Summary, hourly ad costs'!Y19)/(1-CL19)), 'Summary, PPI''s'!Y20))</f>
        <v>101.81553615598287</v>
      </c>
      <c r="DC20" s="5">
        <f>IF(DC19=".", ".", IF('Summary, PPI''s'!Z20=".",IF(OR('Summary, hourly ad costs'!Z20=-9999,'Summary, hourly ad costs'!Z20=0), ".", 'Predicted PPIs'!DC19*('Summary, hourly ad costs'!J20/'Summary, hourly ad costs'!Z20)/('Summary, hourly ad costs'!J19/'Summary, hourly ad costs'!Z19)/(1-CM19)), 'Summary, PPI''s'!Z20))</f>
        <v>100.22230486207552</v>
      </c>
      <c r="DD20" s="5">
        <f>IF(DD19=".", ".", IF('Summary, PPI''s'!AA20=".",IF(OR('Summary, hourly ad costs'!AA20=-9999,'Summary, hourly ad costs'!AA20=0), ".", 'Predicted PPIs'!DD19*('Summary, hourly ad costs'!K20/'Summary, hourly ad costs'!AA20)/('Summary, hourly ad costs'!K19/'Summary, hourly ad costs'!AA19)/(1-CN19)), 'Summary, PPI''s'!AA20))</f>
        <v>75.701094489178075</v>
      </c>
      <c r="DE20" s="5">
        <f>IF(DE19=".", ".", IF('Summary, PPI''s'!AB20=".",IF(OR('Summary, hourly ad costs'!AB20=-9999,'Summary, hourly ad costs'!AB20=0), ".", 'Predicted PPIs'!DE19*('Summary, hourly ad costs'!L20/'Summary, hourly ad costs'!AB20)/('Summary, hourly ad costs'!L19/'Summary, hourly ad costs'!AB19)/(1-CO19)), 'Summary, PPI''s'!AB20))</f>
        <v>71.120458873661875</v>
      </c>
      <c r="DF20" s="5">
        <f>IF(DF19=".", ".", IF('Summary, PPI''s'!AC20=".",IF(OR('Summary, hourly ad costs'!AC20=-9999,'Summary, hourly ad costs'!AC20=0), ".", 'Predicted PPIs'!DF19*('Summary, hourly ad costs'!M20/'Summary, hourly ad costs'!AC20)/('Summary, hourly ad costs'!M19/'Summary, hourly ad costs'!AC19)/(1-CP19)), 'Summary, PPI''s'!AC20))</f>
        <v>434.94130277795028</v>
      </c>
      <c r="DG20" s="5">
        <f>IF(DG19=".", ".", IF('Summary, PPI''s'!AD20=".",IF(OR('Summary, hourly ad costs'!AD20=-9999,'Summary, hourly ad costs'!AD20=0), ".", 'Predicted PPIs'!DG19*('Summary, hourly ad costs'!N20/'Summary, hourly ad costs'!AD20)/('Summary, hourly ad costs'!N19/'Summary, hourly ad costs'!AD19)/(1-CQ19)), 'Summary, PPI''s'!AD20))</f>
        <v>92.852572306117253</v>
      </c>
      <c r="DH20" s="5">
        <f>IF(DH19=".", ".", IF('Summary, PPI''s'!AE20=".",IF(OR('Summary, hourly ad costs'!AE20=-9999,'Summary, hourly ad costs'!AE20=0), ".", 'Predicted PPIs'!DH19*('Summary, hourly ad costs'!O20/'Summary, hourly ad costs'!AE20)/('Summary, hourly ad costs'!O19/'Summary, hourly ad costs'!AE19)/(1-CR19)), 'Summary, PPI''s'!AE20))</f>
        <v>74.385999999999996</v>
      </c>
      <c r="DI20" s="5">
        <f>IF(DI19=".", ".", IF('Summary, PPI''s'!AF20=".",IF(OR('Summary, hourly ad costs'!AF20=-9999,'Summary, hourly ad costs'!AF20=0), ".", 'Predicted PPIs'!DI19*('Summary, hourly ad costs'!P20/'Summary, hourly ad costs'!AF20)/('Summary, hourly ad costs'!P19/'Summary, hourly ad costs'!AF19)/(1-CS19)), 'Summary, PPI''s'!AF20))</f>
        <v>79.677000000000007</v>
      </c>
      <c r="DK20" s="4">
        <v>73.141000000000005</v>
      </c>
      <c r="DM20" s="5">
        <f t="shared" si="16"/>
        <v>-4.8531053888264841E-2</v>
      </c>
      <c r="DN20" s="5">
        <f t="shared" si="17"/>
        <v>-4.8531053888264841E-2</v>
      </c>
      <c r="DO20" s="5">
        <f t="shared" si="18"/>
        <v>-4.5905127447990801E-2</v>
      </c>
      <c r="DP20" s="5">
        <f t="shared" si="19"/>
        <v>-2.250247110049064E-3</v>
      </c>
      <c r="DQ20" s="5">
        <f t="shared" si="20"/>
        <v>-8.996604738246039E-3</v>
      </c>
      <c r="DR20" s="5">
        <f t="shared" si="21"/>
        <v>9.1788926582270225E-3</v>
      </c>
      <c r="DS20" s="5">
        <f t="shared" si="22"/>
        <v>7.0395393402649109E-3</v>
      </c>
      <c r="DT20" s="5">
        <f t="shared" si="23"/>
        <v>3.9695987129066967E-3</v>
      </c>
      <c r="DU20" s="5">
        <f t="shared" si="24"/>
        <v>-2.5662566189640357E-2</v>
      </c>
      <c r="DV20" s="5">
        <f t="shared" si="25"/>
        <v>4.5470524103712551E-2</v>
      </c>
      <c r="DW20" s="5">
        <f t="shared" si="26"/>
        <v>-0.25165584620932202</v>
      </c>
      <c r="DX20" s="5">
        <f t="shared" si="27"/>
        <v>0.13985995330133338</v>
      </c>
      <c r="DY20" s="5">
        <f t="shared" si="28"/>
        <v>-2.6436147060169168E-2</v>
      </c>
      <c r="DZ20" s="5">
        <f t="shared" si="29"/>
        <v>-2.631183097734735E-2</v>
      </c>
      <c r="EA20" s="5">
        <f t="shared" si="30"/>
        <v>-2.2471573200658956E-2</v>
      </c>
      <c r="EC20" s="1">
        <f t="shared" si="35"/>
        <v>96.40437449986662</v>
      </c>
      <c r="ED20" s="1">
        <f t="shared" si="36"/>
        <v>96.40437449986662</v>
      </c>
      <c r="EE20" s="1">
        <f t="shared" si="37"/>
        <v>87.985100921125522</v>
      </c>
      <c r="EF20" s="1">
        <f t="shared" si="38"/>
        <v>84.549646740280053</v>
      </c>
      <c r="EG20" s="1">
        <f t="shared" si="39"/>
        <v>77.781210099262722</v>
      </c>
      <c r="EH20" s="1">
        <f t="shared" si="40"/>
        <v>83.444271764947359</v>
      </c>
      <c r="EI20" s="1">
        <f t="shared" si="41"/>
        <v>80.394999999999996</v>
      </c>
      <c r="EJ20" s="1">
        <f t="shared" si="42"/>
        <v>101.81553615598287</v>
      </c>
      <c r="EK20" s="1">
        <f t="shared" si="43"/>
        <v>100.22230486207552</v>
      </c>
      <c r="EL20" s="1">
        <f t="shared" si="44"/>
        <v>75.701094489178075</v>
      </c>
      <c r="EM20" s="1">
        <f t="shared" si="45"/>
        <v>71.120458873661875</v>
      </c>
      <c r="EN20" s="1">
        <f t="shared" si="46"/>
        <v>434.94130277795028</v>
      </c>
      <c r="EO20" s="1">
        <f t="shared" si="47"/>
        <v>92.852572306117253</v>
      </c>
      <c r="EP20" s="1">
        <f t="shared" si="48"/>
        <v>74.385999999999996</v>
      </c>
      <c r="EQ20" s="1">
        <f t="shared" si="49"/>
        <v>79.677000000000007</v>
      </c>
      <c r="ES20" s="1">
        <f>IF(EF$26=".", 0, 'Summary, PPI''s'!E20)+IF(EG$26=".", 0, 'Summary, PPI''s'!F20)+IF(EH$26=".", 0, 'Summary, PPI''s'!G20)+IF(EI$26=".", 0, 'Summary, PPI''s'!H20)+IF(EJ$26=".", 0, 'Summary, PPI''s'!I20)+IF(EK$26=".", 0, 'Summary, PPI''s'!J20)+IF(EL$26=".", 0, 'Summary, PPI''s'!K20)+IF(EM$26=".", 0, 'Summary, PPI''s'!L20)+IF(EN$26=".", 0, 'Summary, PPI''s'!M20)+IF(EC$26=".", 0, 'Summary, PPI''s'!B20)+IF(ED$26=".", 0, 'Summary, PPI''s'!C20)+IF(EE$26=".", 0, 'Summary, PPI''s'!D20)+IF(EO$26=".", 0, 'Summary, PPI''s'!N20)+IF(EP$26=".", 0, 'Summary, PPI''s'!O20)+IF(EQ$26=".", 0, 'Summary, PPI''s'!P20)</f>
        <v>255338490.80419919</v>
      </c>
      <c r="ET20" s="1">
        <f>'Summary, hourly ad costs'!E20+'Summary, hourly ad costs'!F20+'Summary, hourly ad costs'!H20+'Summary, hourly ad costs'!I20+'Summary, hourly ad costs'!J20+'Summary, hourly ad costs'!K20+'Summary, hourly ad costs'!L20+'Summary, hourly ad costs'!M20+'Summary, hourly ad costs'!B20</f>
        <v>134413410.01243579</v>
      </c>
      <c r="EV20" s="13">
        <f>EV19*IF(EF$26=".", 1, (EF20/EF19)^(('Summary, PPI''s'!$E20+'Summary, PPI''s'!$E19)/('Predicted PPIs'!ES20+'Predicted PPIs'!ES19)))*IF(EG$26=".", 1, (EG20/EG19)^(('Summary, PPI''s'!$F20+'Summary, PPI''s'!$F19)/('Predicted PPIs'!ES20+'Predicted PPIs'!ES19)))*IF(EH$26=".", 1, (EH20/EH19)^(('Summary, PPI''s'!$G20+'Summary, PPI''s'!$G19)/('Predicted PPIs'!ES20+'Predicted PPIs'!ES19)))*IF(EI$26=".", 1, (EI20/EI19)^(('Summary, PPI''s'!$H20+'Summary, PPI''s'!$H19)/('Predicted PPIs'!ES20+'Predicted PPIs'!ES19)))*IF(EJ$26=".", 1, (EJ20/EJ19)^(('Summary, PPI''s'!$I20+'Summary, PPI''s'!$I19)/('Predicted PPIs'!ES20+'Predicted PPIs'!ES19)))*IF(EK$26=".", 1, (EK20/EK19)^(('Summary, PPI''s'!$J20+'Summary, PPI''s'!$J19)/('Predicted PPIs'!ES20+'Predicted PPIs'!ES19)))*IF(EL$26=".", 1, (EL20/EL19)^(('Summary, PPI''s'!$K20+'Summary, PPI''s'!$K19)/('Predicted PPIs'!ES20+'Predicted PPIs'!ES19)))*IF(EM$26=".", 1, (EM20/EM19)^(('Summary, PPI''s'!$L20+'Summary, PPI''s'!$L19)/('Predicted PPIs'!ES20+'Predicted PPIs'!ES19)))*IF(EN$26=".", 1, (EN20/EN19)^(('Summary, PPI''s'!$M20+'Summary, PPI''s'!$M19)/('Predicted PPIs'!ES20+'Predicted PPIs'!ES19)))*IF(EC$26=".", 1, (EC20/EC19)^(('Summary, PPI''s'!$B20+'Summary, PPI''s'!$B19)/('Predicted PPIs'!ES20+'Predicted PPIs'!ES19)))*IF(ED$26=".", 1, (ED20/ED19)^(('Summary, PPI''s'!$C20+'Summary, PPI''s'!$C19)/('Predicted PPIs'!ES20+'Predicted PPIs'!ES19)))*IF(EE$26=".", 1, (EE20/EE19)^(('Summary, PPI''s'!$D20+'Summary, PPI''s'!$D19)/('Predicted PPIs'!ES20+'Predicted PPIs'!ES19)))*IF(EO$26=".", 1, (EO20/EO19)^(('Summary, PPI''s'!$N20+'Summary, PPI''s'!$N19)/('Predicted PPIs'!ES20+'Predicted PPIs'!ES19)))*IF(EP$26=".", 1, (EP20/EP19)^(('Summary, PPI''s'!$O20+'Summary, PPI''s'!$O19)/('Predicted PPIs'!ES20+'Predicted PPIs'!ES19)))*IF(EQ$26=".", 1, (EQ20/EQ19)^(('Summary, PPI''s'!$P20+'Summary, PPI''s'!$P19)/('Predicted PPIs'!ES20+'Predicted PPIs'!ES19)))</f>
        <v>99.52910869530929</v>
      </c>
      <c r="EW20" s="13">
        <f>EW19*IF(EF$26=".", 1, (EF20/EF19)^(('Summary, PPI''s'!$E20+'Summary, PPI''s'!$E19)/('Predicted PPIs'!ET20+'Predicted PPIs'!ET19)))*IF(EG$26=".", 1, (EG20/EG19)^(('Summary, PPI''s'!$F20+'Summary, PPI''s'!$F19)/('Predicted PPIs'!ET20+'Predicted PPIs'!ET19)))*IF(EH$26=".", 1, (EH20/EH19)^(('Summary, PPI''s'!$G20+'Summary, PPI''s'!$G19)/('Predicted PPIs'!ET20+'Predicted PPIs'!ET19)))*IF(EK$26=".", 1, (EK20/EK19)^(('Summary, PPI''s'!$J20+'Summary, PPI''s'!$J19)/('Predicted PPIs'!ET20+'Predicted PPIs'!ET19)))*IF(EL$26=".", 1, (EL20/EL19)^(('Summary, PPI''s'!$K20+'Summary, PPI''s'!$K19)/('Predicted PPIs'!ET20+'Predicted PPIs'!ET19)))*IF(EM$26=".", 1, (EM20/EM19)^(('Summary, PPI''s'!$L20+'Summary, PPI''s'!$L19)/('Predicted PPIs'!ET20+'Predicted PPIs'!ET19)))*IF(EN$26=".", 1, (EN20/EN19)^(('Summary, PPI''s'!$M20+'Summary, PPI''s'!$M19)/('Predicted PPIs'!ET20+'Predicted PPIs'!ET19)))*IF(EC$26=".", 1, (EC20/EC19)^(('Summary, PPI''s'!$B20+'Summary, PPI''s'!$B19)/('Predicted PPIs'!ET20+'Predicted PPIs'!ET19)))</f>
        <v>112.68688915312154</v>
      </c>
      <c r="EY20" s="2"/>
    </row>
    <row r="21" spans="1:155" x14ac:dyDescent="0.3">
      <c r="A21" s="4">
        <v>2002</v>
      </c>
      <c r="B21" s="10">
        <f>IF(B20=".", ".", IF('Summary, PPI''s'!R21=".",IF(OR('Summary, hourly ad costs'!R21=-9999,'Summary, hourly ad costs'!R21=0), ".", 'Predicted PPIs'!B20*('Summary, hourly ad costs'!B21/'Summary, hourly ad costs'!R21)/('Summary, hourly ad costs'!B20/'Summary, hourly ad costs'!R20)), 'Summary, PPI''s'!R21))</f>
        <v>96.991197652707399</v>
      </c>
      <c r="C21" s="10">
        <f>IF(C20=".", ".", IF('Summary, PPI''s'!S21=".",IF(OR('Summary, hourly ad costs'!S21=-9999,'Summary, hourly ad costs'!S21=0), ".", 'Predicted PPIs'!C20*('Summary, hourly ad costs'!C21/'Summary, hourly ad costs'!S21)/('Summary, hourly ad costs'!C20/'Summary, hourly ad costs'!S20)), 'Summary, PPI''s'!S21))</f>
        <v>96.991197652707399</v>
      </c>
      <c r="D21" s="10">
        <f>IF(D20=".", ".", IF('Summary, PPI''s'!T21=".",IF(OR('Summary, hourly ad costs'!T21=-9999,'Summary, hourly ad costs'!T21=0), ".", 'Predicted PPIs'!D20*('Summary, hourly ad costs'!D21/'Summary, hourly ad costs'!T21)/('Summary, hourly ad costs'!D20/'Summary, hourly ad costs'!T20)), 'Summary, PPI''s'!T21))</f>
        <v>88.277042331504518</v>
      </c>
      <c r="E21" s="10">
        <f>IF(E20=".", ".", IF('Summary, PPI''s'!U21=".",IF(OR('Summary, hourly ad costs'!U21=-9999,'Summary, hourly ad costs'!U21=0), ".", 'Predicted PPIs'!E20*('Summary, hourly ad costs'!E21/'Summary, hourly ad costs'!U21)/('Summary, hourly ad costs'!E20/'Summary, hourly ad costs'!U20)), 'Summary, PPI''s'!U21))</f>
        <v>81.118585268858141</v>
      </c>
      <c r="F21" s="10">
        <f>IF(F20=".", ".", IF('Summary, PPI''s'!V21=".",IF(OR('Summary, hourly ad costs'!V21=-9999,'Summary, hourly ad costs'!V21=0), ".", 'Predicted PPIs'!F20*('Summary, hourly ad costs'!F21/'Summary, hourly ad costs'!V21)/('Summary, hourly ad costs'!F20/'Summary, hourly ad costs'!V20)), 'Summary, PPI''s'!V21))</f>
        <v>75.132830841467921</v>
      </c>
      <c r="G21" s="10">
        <f>IF(G20=".", ".", IF('Summary, PPI''s'!W21=".",IF(OR('Summary, hourly ad costs'!W21=-9999,'Summary, hourly ad costs'!W21=0), ".", 'Predicted PPIs'!G20*('Summary, hourly ad costs'!G21/'Summary, hourly ad costs'!W21)/('Summary, hourly ad costs'!G20/'Summary, hourly ad costs'!W20)), 'Summary, PPI''s'!W21))</f>
        <v>79.15139430548632</v>
      </c>
      <c r="H21" s="10">
        <f>IF(H20=".", ".", IF('Summary, PPI''s'!X21=".",IF(OR('Summary, hourly ad costs'!X21=-9999,'Summary, hourly ad costs'!X21=0), ".", 'Predicted PPIs'!H20*('Summary, hourly ad costs'!H21/'Summary, hourly ad costs'!X21)/('Summary, hourly ad costs'!H20/'Summary, hourly ad costs'!X20)), 'Summary, PPI''s'!X21))</f>
        <v>76.421000000000006</v>
      </c>
      <c r="I21" s="10">
        <f>IF(I20=".", ".", IF('Summary, PPI''s'!Y21=".",IF(OR('Summary, hourly ad costs'!Y21=-9999,'Summary, hourly ad costs'!Y21=0), ".", 'Predicted PPIs'!I20*('Summary, hourly ad costs'!I21/'Summary, hourly ad costs'!Y21)/('Summary, hourly ad costs'!I20/'Summary, hourly ad costs'!Y20)), 'Summary, PPI''s'!Y21))</f>
        <v>97.078641398079697</v>
      </c>
      <c r="J21" s="10">
        <f>IF(J20=".", ".", IF('Summary, PPI''s'!Z21=".",IF(OR('Summary, hourly ad costs'!Z21=-9999,'Summary, hourly ad costs'!Z21=0), ".", 'Predicted PPIs'!J20*('Summary, hourly ad costs'!J21/'Summary, hourly ad costs'!Z21)/('Summary, hourly ad costs'!J20/'Summary, hourly ad costs'!Z20)), 'Summary, PPI''s'!Z21))</f>
        <v>98.465750900079627</v>
      </c>
      <c r="K21" s="10">
        <f>IF(K20=".", ".", IF('Summary, PPI''s'!AA21=".",IF(OR('Summary, hourly ad costs'!AA21=-9999,'Summary, hourly ad costs'!AA21=0), ".", 'Predicted PPIs'!K20*('Summary, hourly ad costs'!K21/'Summary, hourly ad costs'!AA21)/('Summary, hourly ad costs'!K20/'Summary, hourly ad costs'!AA20)), 'Summary, PPI''s'!AA21))</f>
        <v>69.31393664573838</v>
      </c>
      <c r="L21" s="10">
        <f>IF(L20=".", ".", IF('Summary, PPI''s'!AB21=".",IF(OR('Summary, hourly ad costs'!AB21=-9999,'Summary, hourly ad costs'!AB21=0), ".", 'Predicted PPIs'!L20*('Summary, hourly ad costs'!L21/'Summary, hourly ad costs'!AB21)/('Summary, hourly ad costs'!L20/'Summary, hourly ad costs'!AB20)), 'Summary, PPI''s'!AB21))</f>
        <v>75.694169861604223</v>
      </c>
      <c r="M21" s="10">
        <f>IF(M20=".", ".", IF('Summary, PPI''s'!AC21=".",IF(OR('Summary, hourly ad costs'!AC21=-9999,'Summary, hourly ad costs'!AC21=0), ".", 'Predicted PPIs'!M20*('Summary, hourly ad costs'!M21/'Summary, hourly ad costs'!AC21)/('Summary, hourly ad costs'!M20/'Summary, hourly ad costs'!AC20)), 'Summary, PPI''s'!AC21))</f>
        <v>62.829038749331175</v>
      </c>
      <c r="N21" s="10">
        <f>IF(N20=".", ".", IF('Summary, PPI''s'!AD21=".",IF(OR('Summary, hourly ad costs'!AD21=-9999,'Summary, hourly ad costs'!AD21=0), ".", 'Predicted PPIs'!N20*('Summary, hourly ad costs'!N21/'Summary, hourly ad costs'!AD21)/('Summary, hourly ad costs'!N20/'Summary, hourly ad costs'!AD20)), 'Summary, PPI''s'!AD21))</f>
        <v>91.297670847197352</v>
      </c>
      <c r="O21" s="10">
        <f>IF(O20=".", ".", IF('Summary, PPI''s'!AE21=".",IF(OR('Summary, hourly ad costs'!AE21=-9999,'Summary, hourly ad costs'!AE21=0), ".", 'Predicted PPIs'!O20*('Summary, hourly ad costs'!O21/'Summary, hourly ad costs'!AE21)/('Summary, hourly ad costs'!O20/'Summary, hourly ad costs'!AE20)), 'Summary, PPI''s'!AE21))</f>
        <v>73.131</v>
      </c>
      <c r="P21" s="10">
        <f>IF(P20=".", ".", IF('Summary, PPI''s'!AF21=".",IF(OR('Summary, hourly ad costs'!AF21=-9999,'Summary, hourly ad costs'!AF21=0), ".", 'Predicted PPIs'!P20*('Summary, hourly ad costs'!P21/'Summary, hourly ad costs'!AF21)/('Summary, hourly ad costs'!P20/'Summary, hourly ad costs'!AF20)), 'Summary, PPI''s'!AF21))</f>
        <v>78.025000000000006</v>
      </c>
      <c r="R21" s="1">
        <f>IF(E$26=".", 0, 'Summary, PPI''s'!E21)+IF(F$26=".", 0, 'Summary, PPI''s'!F21)+IF(G$26=".", 0, 'Summary, PPI''s'!G21)+IF(H$26=".", 0, 'Summary, PPI''s'!H21)+IF(I$26=".", 0, 'Summary, PPI''s'!I21)+IF(J$26=".", 0, 'Summary, PPI''s'!J21)+IF(K$26=".", 0, 'Summary, PPI''s'!K21)+IF(L$26=".", 0, 'Summary, PPI''s'!L21)+IF(M$26=".", 0, 'Summary, PPI''s'!M21)+IF(B$26=".", 0, 'Summary, PPI''s'!B21)+IF(C$26=".", 0, 'Summary, PPI''s'!C21)+IF(D$26=".", 0, 'Summary, PPI''s'!D21)+IF(N$26=".", 0, 'Summary, PPI''s'!N21)+IF(O$26=".", 0, 'Summary, PPI''s'!O21)+IF(P$26=".", 0, 'Summary, PPI''s'!P21)</f>
        <v>245232360.14622292</v>
      </c>
      <c r="S21" s="1">
        <f>IF(E$36=".", 0, 'Summary, PPI''s'!E21)+IF(F$36=".", 0, 'Summary, PPI''s'!F21)+IF(G$36=".", 0, 'Summary, PPI''s'!G21)+IF(H$36=".", 0, 'Summary, PPI''s'!H21)+IF(I$36=".", 0, 'Summary, PPI''s'!I21)+IF(J$36=".", 0, 'Summary, PPI''s'!J21)+IF(K$36=".", 0, 'Summary, PPI''s'!K21)+IF(L$36=".", 0, 'Summary, PPI''s'!L21)+IF(M$36=".", 0, 'Summary, PPI''s'!M21)+IF(B$36=".", 0, 'Summary, PPI''s'!B21)+IF(C$36=".", 0, 'Summary, PPI''s'!C21)+IF(D$36=".", 0, 'Summary, PPI''s'!D21)+IF(N$36=".", 0, 'Summary, PPI''s'!N21)+IF(O$36=".", 0, 'Summary, PPI''s'!O21)+IF(P$36=".", 0, 'Summary, PPI''s'!P21)</f>
        <v>239635185.16928503</v>
      </c>
      <c r="T21" s="1">
        <f>IF(E$46=".", 0, 'Summary, PPI''s'!E21)+IF(F$46=".", 0, 'Summary, PPI''s'!F21)+IF(G$46=".", 0, 'Summary, PPI''s'!G21)+IF(H$46=".", 0, 'Summary, PPI''s'!H21)+IF(I$46=".", 0, 'Summary, PPI''s'!I21)+IF(J$46=".", 0, 'Summary, PPI''s'!J21)+IF(K$46=".", 0, 'Summary, PPI''s'!K21)+IF(L$46=".", 0, 'Summary, PPI''s'!L21)+IF(M$46=".", 0, 'Summary, PPI''s'!M21)+IF(B$46=".", 0, 'Summary, PPI''s'!B21)+IF(C$46=".", 0, 'Summary, PPI''s'!C21)+IF(D$46=".", 0, 'Summary, PPI''s'!D21)+IF(N$46=".", 0, 'Summary, PPI''s'!N21)+IF(O$46=".", 0, 'Summary, PPI''s'!O21)+IF(P$46=".", 0, 'Summary, PPI''s'!P21)</f>
        <v>163657887.67613938</v>
      </c>
      <c r="U21" s="1">
        <f>IF(E$60=".", 0, 'Summary, PPI''s'!E21)+IF(F$60=".", 0, 'Summary, PPI''s'!F21)+IF(G$60=".", 0, 'Summary, PPI''s'!G21)+IF(H$60=".", 0, 'Summary, PPI''s'!H21)+IF(I$60=".", 0, 'Summary, PPI''s'!I21)+IF(J$60=".", 0, 'Summary, PPI''s'!J21)+IF(K$60=".", 0, 'Summary, PPI''s'!K21)+IF(L$60=".", 0, 'Summary, PPI''s'!L21)+IF(M$60=".", 0, 'Summary, PPI''s'!M21)+IF(B$60=".", 0, 'Summary, PPI''s'!B21)+IF(C$60=".", 0, 'Summary, PPI''s'!C21)+IF(D$60=".", 0, 'Summary, PPI''s'!D21)+IF(N$60=".", 0, 'Summary, PPI''s'!N21)+IF(O$60=".", 0, 'Summary, PPI''s'!O21)+IF(P$60=".", 0, 'Summary, PPI''s'!P21)</f>
        <v>128350420.13562624</v>
      </c>
      <c r="V21" s="1">
        <f>IF(E$73=".", 0, 'Summary, PPI''s'!E21)+IF(F$73=".", 0, 'Summary, PPI''s'!F21)+IF(G$73=".", 0, 'Summary, PPI''s'!G21)+IF(H$73=".", 0, 'Summary, PPI''s'!H21)+IF(I$73=".", 0, 'Summary, PPI''s'!I21)+IF(J$73=".", 0, 'Summary, PPI''s'!J21)+IF(K$73=".", 0, 'Summary, PPI''s'!K21)+IF(L$73=".", 0, 'Summary, PPI''s'!L21)+IF(M$73=".", 0, 'Summary, PPI''s'!M21)+IF(B$73=".", 0, 'Summary, PPI''s'!B21)+IF(C$73=".", 0, 'Summary, PPI''s'!C21)+IF(D$73=".", 0, 'Summary, PPI''s'!D21)+IF(N$73=".", 0, 'Summary, PPI''s'!N21)+IF(O$73=".", 0, 'Summary, PPI''s'!O21)+IF(P$73=".", 0, 'Summary, PPI''s'!P21)</f>
        <v>103293729.86902909</v>
      </c>
      <c r="W21" s="1">
        <f>IF(E$94=".",0,'Summary, PPI''s'!E21)+IF(F$94=".",0,'Summary, PPI''s'!F21)+IF(G$94=".",0,'Summary, PPI''s'!G21)+IF(H$94=".",0,'Summary, PPI''s'!H21)+IF(I$94=".",0,'Summary, PPI''s'!I21)+IF(J$94=".",0,'Summary, PPI''s'!J21)+IF(K$94=".",0,'Summary, PPI''s'!K21)+IF(L$94=".",0,'Summary, PPI''s'!L21)+IF(M$94=".",0,'Summary, PPI''s'!M21)+IF(B$94=".",0,'Summary, PPI''s'!B21)+IF(C$94=".",0,'Summary, PPI''s'!C21)+IF(D$94=".",0,'Summary, PPI''s'!D21)+IF(N$94=".",0,'Summary, PPI''s'!N21)+IF(O$94=".",0,'Summary, PPI''s'!O21)+IF(P$94=".",0,'Summary, PPI''s'!P21)</f>
        <v>73280681.631568804</v>
      </c>
      <c r="X21" s="1">
        <f>IF(E$123=".", 0, 'Summary, PPI''s'!E21)+IF(F$123=".", 0, 'Summary, PPI''s'!F21)+IF(G$123=".", 0, 'Summary, PPI''s'!G21)+IF(H$123=".", 0, 'Summary, PPI''s'!H21)+IF(I$123=".", 0, 'Summary, PPI''s'!I21)+IF(J$123=".", 0, 'Summary, PPI''s'!J21)+IF(K$123=".", 0, 'Summary, PPI''s'!K21)+IF(L$123=".", 0, 'Summary, PPI''s'!L21)+IF(M$123=".", 0, 'Summary, PPI''s'!M21)+IF(B$123=".", 0, 'Summary, PPI''s'!B21)+IF(C$123=".", 0, 'Summary, PPI''s'!C21)+IF(D$123=".", 0, 'Summary, PPI''s'!D21)+IF(N$123=".", 0, 'Summary, PPI''s'!N21)+IF(O$123=".", 0, 'Summary, PPI''s'!O21)+IF(P$123=".", 0, 'Summary, PPI''s'!P21)</f>
        <v>59446000.129443392</v>
      </c>
      <c r="Z21" s="4">
        <f>Z20*IF(E$26=".", 1, (E21/E20)^(('Summary, PPI''s'!$E21+'Summary, PPI''s'!$E20)/('Predicted PPIs'!R21+'Predicted PPIs'!R20)))*IF(F$26=".", 1, (F21/F20)^(('Summary, PPI''s'!$F21+'Summary, PPI''s'!$F20)/('Predicted PPIs'!R21+'Predicted PPIs'!R20)))*IF(G$26=".", 1, (G21/G20)^(('Summary, PPI''s'!$G21+'Summary, PPI''s'!$G20)/('Predicted PPIs'!R21+'Predicted PPIs'!R20)))*IF(H$26=".", 1, (H21/H20)^(('Summary, PPI''s'!$H21+'Summary, PPI''s'!$H20)/('Predicted PPIs'!R21+'Predicted PPIs'!R20)))*IF(I$26=".", 1, (I21/I20)^(('Summary, PPI''s'!$I21+'Summary, PPI''s'!$I20)/('Predicted PPIs'!R21+'Predicted PPIs'!R20)))*IF(J$26=".", 1, (J21/J20)^(('Summary, PPI''s'!$J21+'Summary, PPI''s'!$J20)/('Predicted PPIs'!R21+'Predicted PPIs'!R20)))*IF(K$26=".", 1, (K21/K20)^(('Summary, PPI''s'!$K21+'Summary, PPI''s'!$K20)/('Predicted PPIs'!R21+'Predicted PPIs'!R20)))*IF(L$26=".", 1, (L21/L20)^(('Summary, PPI''s'!$L21+'Summary, PPI''s'!$L20)/('Predicted PPIs'!R21+'Predicted PPIs'!R20)))*IF(M$26=".", 1, (M21/M20)^(('Summary, PPI''s'!$M21+'Summary, PPI''s'!$M20)/('Predicted PPIs'!R21+'Predicted PPIs'!R20)))*IF(B$26=".", 1, (B21/B20)^(('Summary, PPI''s'!$B21+'Summary, PPI''s'!$B20)/('Predicted PPIs'!R21+'Predicted PPIs'!R20)))*IF(C$26=".", 1, (C21/C20)^(('Summary, PPI''s'!$C21+'Summary, PPI''s'!$C20)/('Predicted PPIs'!R21+'Predicted PPIs'!R20)))*IF(D$26=".", 1, (D21/D20)^(('Summary, PPI''s'!$D21+'Summary, PPI''s'!$D20)/('Predicted PPIs'!R21+'Predicted PPIs'!R20)))*IF(N$26=".", 1, (N21/N20)^(('Summary, PPI''s'!$N21+'Summary, PPI''s'!$N20)/('Predicted PPIs'!R21+'Predicted PPIs'!R20)))*IF(O$26=".", 1, (O21/O20)^(('Summary, PPI''s'!$O21+'Summary, PPI''s'!$O20)/('Predicted PPIs'!R21+'Predicted PPIs'!R20)))*IF(P$26=".", 1, (P21/P20)^(('Summary, PPI''s'!$P21+'Summary, PPI''s'!$P20)/('Predicted PPIs'!R21+'Predicted PPIs'!R20)))</f>
        <v>93.067999633987583</v>
      </c>
      <c r="AA21" s="4">
        <f>AA20*IF(E$36=".", 1, (E21/E20)^(('Summary, PPI''s'!$E21+'Summary, PPI''s'!$E20)/('Predicted PPIs'!S21+'Predicted PPIs'!S20)))*IF(F$36=".", 1, (F21/F20)^(('Summary, PPI''s'!$F21+'Summary, PPI''s'!$F20)/('Predicted PPIs'!S21+'Predicted PPIs'!S20)))*IF(G$36=".", 1, (G21/G20)^(('Summary, PPI''s'!$G21+'Summary, PPI''s'!$G20)/('Predicted PPIs'!S21+'Predicted PPIs'!S20)))*IF(H$36=".", 1, (H21/H20)^(('Summary, PPI''s'!$H21+'Summary, PPI''s'!$H20)/('Predicted PPIs'!S21+'Predicted PPIs'!S20)))*IF(I$36=".", 1, (I21/I20)^(('Summary, PPI''s'!$I21+'Summary, PPI''s'!$I20)/('Predicted PPIs'!S21+'Predicted PPIs'!S20)))*IF(J$36=".", 1, (J21/J20)^(('Summary, PPI''s'!$J21+'Summary, PPI''s'!$J20)/('Predicted PPIs'!S21+'Predicted PPIs'!S20)))*IF(K$36=".", 1, (K21/K20)^(('Summary, PPI''s'!$K21+'Summary, PPI''s'!$K20)/('Predicted PPIs'!S21+'Predicted PPIs'!S20)))*IF(L$36=".", 1, (L21/L20)^(('Summary, PPI''s'!$L21+'Summary, PPI''s'!$L20)/('Predicted PPIs'!S21+'Predicted PPIs'!S20)))*IF(M$36=".", 1, (M21/M20)^(('Summary, PPI''s'!$M21+'Summary, PPI''s'!$M20)/('Predicted PPIs'!S21+'Predicted PPIs'!S20)))*IF(B$36=".", 1, (B21/B20)^(('Summary, PPI''s'!$B21+'Summary, PPI''s'!$B20)/('Predicted PPIs'!S21+'Predicted PPIs'!S20)))*IF(C$36=".", 1, (C21/C20)^(('Summary, PPI''s'!$C21+'Summary, PPI''s'!$C20)/('Predicted PPIs'!S21+'Predicted PPIs'!S20)))*IF(D$36=".", 1, (D21/D20)^(('Summary, PPI''s'!$D21+'Summary, PPI''s'!$D20)/('Predicted PPIs'!S21+'Predicted PPIs'!S20)))*IF(N$36=".", 1, (N21/N20)^(('Summary, PPI''s'!$N21+'Summary, PPI''s'!$N20)/('Predicted PPIs'!S21+'Predicted PPIs'!S20)))*IF(O$36=".", 1, (O21/O20)^(('Summary, PPI''s'!$O21+'Summary, PPI''s'!$O20)/('Predicted PPIs'!S21+'Predicted PPIs'!S20)))*IF(P$36=".", 1, (P21/P20)^(('Summary, PPI''s'!$P21+'Summary, PPI''s'!$P20)/('Predicted PPIs'!S21+'Predicted PPIs'!S20)))</f>
        <v>83.225716481136146</v>
      </c>
      <c r="AB21" s="4">
        <f>AB20*IF(E$46=".", 1, (E21/E20)^(('Summary, PPI''s'!$E21+'Summary, PPI''s'!$E20)/('Predicted PPIs'!T21+'Predicted PPIs'!T20)))*IF(F$46=".", 1, (F21/F20)^(('Summary, PPI''s'!$F21+'Summary, PPI''s'!$F20)/('Predicted PPIs'!T21+'Predicted PPIs'!T20)))*IF(G$46=".", 1, (G21/G20)^(('Summary, PPI''s'!$G21+'Summary, PPI''s'!$G20)/('Predicted PPIs'!T21+'Predicted PPIs'!T20)))*IF(H$46=".", 1, (H21/H20)^(('Summary, PPI''s'!$H21+'Summary, PPI''s'!$H20)/('Predicted PPIs'!T21+'Predicted PPIs'!T20)))*IF(I$46=".", 1, (I21/I20)^(('Summary, PPI''s'!$I21+'Summary, PPI''s'!$I20)/('Predicted PPIs'!T21+'Predicted PPIs'!T20)))*IF(J$46=".", 1, (J21/J20)^(('Summary, PPI''s'!$J21+'Summary, PPI''s'!$J20)/('Predicted PPIs'!T21+'Predicted PPIs'!T20)))*IF(K$46=".", 1, (K21/K20)^(('Summary, PPI''s'!$K21+'Summary, PPI''s'!$K20)/('Predicted PPIs'!T21+'Predicted PPIs'!T20)))*IF(L$46=".", 1, (L21/L20)^(('Summary, PPI''s'!$L21+'Summary, PPI''s'!$L20)/('Predicted PPIs'!T21+'Predicted PPIs'!T20)))*IF(M$46=".", 1, (M21/M20)^(('Summary, PPI''s'!$M21+'Summary, PPI''s'!$M20)/('Predicted PPIs'!T21+'Predicted PPIs'!T20)))*IF(B$46=".", 1, (B21/B20)^(('Summary, PPI''s'!$B21+'Summary, PPI''s'!$B20)/('Predicted PPIs'!T21+'Predicted PPIs'!T20)))*IF(C$46=".", 1, (C21/C20)^(('Summary, PPI''s'!$C21+'Summary, PPI''s'!$C20)/('Predicted PPIs'!T21+'Predicted PPIs'!T20)))*IF(D$46=".", 1, (D21/D20)^(('Summary, PPI''s'!$D21+'Summary, PPI''s'!$D20)/('Predicted PPIs'!T21+'Predicted PPIs'!T20)))*IF(N$46=".", 1, (N21/N20)^(('Summary, PPI''s'!$N21+'Summary, PPI''s'!$N20)/('Predicted PPIs'!T21+'Predicted PPIs'!T20)))*IF(O$46=".", 1, (O21/O20)^(('Summary, PPI''s'!$O21+'Summary, PPI''s'!$O20)/('Predicted PPIs'!T21+'Predicted PPIs'!T20)))*IF(P$46=".", 1, (P21/P20)^(('Summary, PPI''s'!$P21+'Summary, PPI''s'!$P20)/('Predicted PPIs'!T21+'Predicted PPIs'!T20)))</f>
        <v>82.590269594161995</v>
      </c>
      <c r="AC21" s="4">
        <f>AC20*IF(E$60=".",1,(E21/E20)^(('Summary, PPI''s'!$E21+'Summary, PPI''s'!$E20)/('Predicted PPIs'!U21+'Predicted PPIs'!U20)))*IF(F$60=".",1,(F21/F20)^(('Summary, PPI''s'!$F21+'Summary, PPI''s'!$F20)/('Predicted PPIs'!U21+'Predicted PPIs'!U20)))*IF(G$60=".",1,(G21/G20)^(('Summary, PPI''s'!$G21+'Summary, PPI''s'!$G20)/('Predicted PPIs'!U21+'Predicted PPIs'!U20)))*IF(H$60=".",1,(H21/H20)^(('Summary, PPI''s'!$H21+'Summary, PPI''s'!$H20)/('Predicted PPIs'!U21+'Predicted PPIs'!U20)))*IF(I$60=".",1,(I21/I20)^(('Summary, PPI''s'!$I21+'Summary, PPI''s'!$I20)/('Predicted PPIs'!U21+'Predicted PPIs'!U20)))*IF(J$60=".",1,(J21/J20)^(('Summary, PPI''s'!$J21+'Summary, PPI''s'!$J20)/('Predicted PPIs'!U21+'Predicted PPIs'!U20)))*IF(K$60=".",1,(K21/K20)^(('Summary, PPI''s'!$K21+'Summary, PPI''s'!$K20)/('Predicted PPIs'!U21+'Predicted PPIs'!U20)))*IF(L$60=".",1,(L21/L20)^(('Summary, PPI''s'!$L21+'Summary, PPI''s'!$L20)/('Predicted PPIs'!U21+'Predicted PPIs'!U20)))*IF(M$60=".",1,(M21/M20)^(('Summary, PPI''s'!$M21+'Summary, PPI''s'!$M20)/('Predicted PPIs'!U21+'Predicted PPIs'!U20)))*IF(B$60=".",1,(B21/B20)^(('Summary, PPI''s'!$B21+'Summary, PPI''s'!$B20)/('Predicted PPIs'!U21+'Predicted PPIs'!U20)))*IF(C$60=".",1,(C21/C20)^(('Summary, PPI''s'!$C21+'Summary, PPI''s'!$C20)/('Predicted PPIs'!U21+'Predicted PPIs'!U20)))*IF(D$60=".",1,(D21/D20)^(('Summary, PPI''s'!$D21+'Summary, PPI''s'!$D20)/('Predicted PPIs'!U21+'Predicted PPIs'!U20)))*IF(N$60=".",1,(N21/N20)^(('Summary, PPI''s'!$N21+'Summary, PPI''s'!$N20)/('Predicted PPIs'!U21+'Predicted PPIs'!U20)))*IF(O$60=".",1,(O21/O20)^(('Summary, PPI''s'!$O21+'Summary, PPI''s'!$O20)/('Predicted PPIs'!U21+'Predicted PPIs'!U20)))*IF(P$60=".",1,(P21/P20)^(('Summary, PPI''s'!$P21+'Summary, PPI''s'!$P20)/('Predicted PPIs'!U21+'Predicted PPIs'!U20)))</f>
        <v>90.818841477401634</v>
      </c>
      <c r="AD21" s="4">
        <f>AD20*IF(E$73=".", 1, (E21/E20)^(('Summary, PPI''s'!$E21+'Summary, PPI''s'!$E20)/('Predicted PPIs'!V21+'Predicted PPIs'!V20)))*IF(F$73=".", 1, (F21/F20)^(('Summary, PPI''s'!$F21+'Summary, PPI''s'!$F20)/('Predicted PPIs'!V21+'Predicted PPIs'!V20)))*IF(G$73=".", 1, (G21/G20)^(('Summary, PPI''s'!$G21+'Summary, PPI''s'!$G20)/('Predicted PPIs'!V21+'Predicted PPIs'!V20)))*IF(H$73=".", 1, (H21/H20)^(('Summary, PPI''s'!$H21+'Summary, PPI''s'!$H20)/('Predicted PPIs'!V21+'Predicted PPIs'!V20)))*IF(I$73=".", 1, (I21/I20)^(('Summary, PPI''s'!$I21+'Summary, PPI''s'!$I20)/('Predicted PPIs'!V21+'Predicted PPIs'!V20)))*IF(J$73=".", 1, (J21/J20)^(('Summary, PPI''s'!$J21+'Summary, PPI''s'!$J20)/('Predicted PPIs'!V21+'Predicted PPIs'!V20)))*IF(K$73=".", 1, (K21/K20)^(('Summary, PPI''s'!$K21+'Summary, PPI''s'!$K20)/('Predicted PPIs'!V21+'Predicted PPIs'!V20)))*IF(L$73=".", 1, (L21/L20)^(('Summary, PPI''s'!$L21+'Summary, PPI''s'!$L20)/('Predicted PPIs'!V21+'Predicted PPIs'!V20)))*IF(M$73=".", 1, (M21/M20)^(('Summary, PPI''s'!$M21+'Summary, PPI''s'!$M20)/('Predicted PPIs'!V21+'Predicted PPIs'!V20)))*IF(B$73=".", 1, (B21/B20)^(('Summary, PPI''s'!$B21+'Summary, PPI''s'!$B20)/('Predicted PPIs'!V21+'Predicted PPIs'!V20)))*IF(C$73=".", 1, (C21/C20)^(('Summary, PPI''s'!$C21+'Summary, PPI''s'!$C20)/('Predicted PPIs'!V21+'Predicted PPIs'!V20)))*IF(D$73=".", 1, (D21/D20)^(('Summary, PPI''s'!$D21+'Summary, PPI''s'!$D20)/('Predicted PPIs'!V21+'Predicted PPIs'!V20)))*IF(N$73=".", 1, (N21/N20)^(('Summary, PPI''s'!$N21+'Summary, PPI''s'!$N20)/('Predicted PPIs'!V21+'Predicted PPIs'!V20)))*IF(O$73=".", 1, (O21/O20)^(('Summary, PPI''s'!$O21+'Summary, PPI''s'!$O20)/('Predicted PPIs'!V21+'Predicted PPIs'!V20)))*IF(P$73=".", 1, (P21/P20)^(('Summary, PPI''s'!$P21+'Summary, PPI''s'!$P20)/('Predicted PPIs'!V21+'Predicted PPIs'!V20)))</f>
        <v>91.625550301648744</v>
      </c>
      <c r="AE21" s="4">
        <f>AE20*IF(E$94=".", 1, (E21/E20)^(('Summary, PPI''s'!$E21+'Summary, PPI''s'!$E20)/('Predicted PPIs'!W21+'Predicted PPIs'!W20)))*IF(F$94=".", 1, (F21/F20)^(('Summary, PPI''s'!$F21+'Summary, PPI''s'!$F20)/('Predicted PPIs'!W21+'Predicted PPIs'!W20)))*IF(G$94=".", 1, (G21/G20)^(('Summary, PPI''s'!$G21+'Summary, PPI''s'!$G20)/('Predicted PPIs'!W21+'Predicted PPIs'!W20)))*IF(H$94=".", 1, (H21/H20)^(('Summary, PPI''s'!$H21+'Summary, PPI''s'!$H20)/('Predicted PPIs'!W21+'Predicted PPIs'!W20)))*IF(I$94=".", 1, (I21/I20)^(('Summary, PPI''s'!$I21+'Summary, PPI''s'!$I20)/('Predicted PPIs'!W21+'Predicted PPIs'!W20)))*IF(J$94=".", 1, (J21/J20)^(('Summary, PPI''s'!$J21+'Summary, PPI''s'!$J20)/('Predicted PPIs'!W21+'Predicted PPIs'!W20)))*IF(K$94=".", 1, (K21/K20)^(('Summary, PPI''s'!$K21+'Summary, PPI''s'!$K20)/('Predicted PPIs'!W21+'Predicted PPIs'!W20)))*IF(L$94=".", 1, (L21/L20)^(('Summary, PPI''s'!$L21+'Summary, PPI''s'!$L20)/('Predicted PPIs'!W21+'Predicted PPIs'!W20)))*IF(M$94=".", 1, (M21/M20)^(('Summary, PPI''s'!$M21+'Summary, PPI''s'!$M20)/('Predicted PPIs'!W21+'Predicted PPIs'!W20)))*IF(B$94=".", 1, (B21/B20)^(('Summary, PPI''s'!$B21+'Summary, PPI''s'!$B20)/('Predicted PPIs'!W21+'Predicted PPIs'!W20)))*IF(C$94=".", 1, (C21/C20)^(('Summary, PPI''s'!$C21+'Summary, PPI''s'!$C20)/('Predicted PPIs'!W21+'Predicted PPIs'!W20)))*IF(D$94=".", 1, (D21/D20)^(('Summary, PPI''s'!$D21+'Summary, PPI''s'!$D20)/('Predicted PPIs'!W21+'Predicted PPIs'!W20)))*IF(N$94=".", 1, (N21/N20)^(('Summary, PPI''s'!$N21+'Summary, PPI''s'!$N20)/('Predicted PPIs'!W21+'Predicted PPIs'!W20)))*IF(O$94=".", 1, (O21/O20)^(('Summary, PPI''s'!$O21+'Summary, PPI''s'!$O20)/('Predicted PPIs'!W21+'Predicted PPIs'!W20)))*IF(P$94=".", 1, (P21/P20)^(('Summary, PPI''s'!$P21+'Summary, PPI''s'!$P20)/('Predicted PPIs'!W21+'Predicted PPIs'!W20)))</f>
        <v>84.924471620786022</v>
      </c>
      <c r="AF21" s="4">
        <f>AF20*IF(E$123=".", 1, (E21/E20)^(('Summary, PPI''s'!$E21+'Summary, PPI''s'!$E20)/('Predicted PPIs'!X21+'Predicted PPIs'!X20)))*IF(F$123=".", 1, (F21/F20)^(('Summary, PPI''s'!$F21+'Summary, PPI''s'!$F20)/('Predicted PPIs'!X21+'Predicted PPIs'!X20)))*IF(G$123=".", 1, (G21/G20)^(('Summary, PPI''s'!$G21+'Summary, PPI''s'!$G20)/('Predicted PPIs'!X21+'Predicted PPIs'!X20)))*IF(H$123=".", 1, (H21/H20)^(('Summary, PPI''s'!$H21+'Summary, PPI''s'!$H20)/('Predicted PPIs'!X21+'Predicted PPIs'!X20)))*IF(I$123=".", 1, (I21/I20)^(('Summary, PPI''s'!$I21+'Summary, PPI''s'!$I20)/('Predicted PPIs'!X21+'Predicted PPIs'!X20)))*IF(J$123=".", 1, (J21/J20)^(('Summary, PPI''s'!$J21+'Summary, PPI''s'!$J20)/('Predicted PPIs'!X21+'Predicted PPIs'!X20)))*IF(K$123=".", 1, (K21/K20)^(('Summary, PPI''s'!$K21+'Summary, PPI''s'!$K20)/('Predicted PPIs'!X21+'Predicted PPIs'!X20)))*IF(L$123=".", 1, (L21/L20)^(('Summary, PPI''s'!$L21+'Summary, PPI''s'!$L20)/('Predicted PPIs'!X21+'Predicted PPIs'!X20)))*IF(M$123=".", 1, (M21/M20)^(('Summary, PPI''s'!$M21+'Summary, PPI''s'!$M20)/('Predicted PPIs'!X21+'Predicted PPIs'!X20)))*IF(B$123=".", 1, (B21/B20)^(('Summary, PPI''s'!$B21+'Summary, PPI''s'!$B20)/('Predicted PPIs'!X21+'Predicted PPIs'!X20)))*IF(C$123=".", 1, (C21/C20)^(('Summary, PPI''s'!$C21+'Summary, PPI''s'!$C20)/('Predicted PPIs'!X21+'Predicted PPIs'!X20)))*IF(D$123=".", 1, (D21/D20)^(('Summary, PPI''s'!$D21+'Summary, PPI''s'!$D20)/('Predicted PPIs'!X21+'Predicted PPIs'!X20)))*IF(N$123=".", 1, (N21/N20)^(('Summary, PPI''s'!$N21+'Summary, PPI''s'!$N20)/('Predicted PPIs'!X21+'Predicted PPIs'!X20)))*IF(O$123=".", 1, (O21/O20)^(('Summary, PPI''s'!$O21+'Summary, PPI''s'!$O20)/('Predicted PPIs'!X21+'Predicted PPIs'!X20)))*IF(P$123=".", 1, (P21/P20)^(('Summary, PPI''s'!$P21+'Summary, PPI''s'!$P20)/('Predicted PPIs'!X21+'Predicted PPIs'!X20)))</f>
        <v>79.703889750719526</v>
      </c>
      <c r="AH21" s="13">
        <f t="shared" si="32"/>
        <v>93.067999633987611</v>
      </c>
      <c r="AJ21" s="4">
        <v>7348.9</v>
      </c>
      <c r="AK21" s="4">
        <v>-0.28100000000000003</v>
      </c>
      <c r="AL21" s="4">
        <v>-867.06100000000004</v>
      </c>
      <c r="AM21" s="4">
        <v>-13.173</v>
      </c>
      <c r="AN21" s="4">
        <v>7500.5</v>
      </c>
      <c r="AO21" s="4">
        <v>1885.5</v>
      </c>
      <c r="AP21" s="4">
        <f>968.393+0.008+0.252+11.79-1030.692</f>
        <v>-50.249000000000024</v>
      </c>
      <c r="AQ21" s="4">
        <f>698.822+12.877+10.32+33.058-1073.3</f>
        <v>-318.22299999999996</v>
      </c>
      <c r="AR21" s="4">
        <v>-32.487000000000002</v>
      </c>
      <c r="AS21" s="4">
        <v>-57.610999999999997</v>
      </c>
      <c r="AT21" s="4">
        <v>80.701999999999998</v>
      </c>
      <c r="AU21" s="4">
        <v>59.29</v>
      </c>
      <c r="AV21" s="4">
        <v>81.075000000000003</v>
      </c>
      <c r="AW21" s="4">
        <v>66.561000000000007</v>
      </c>
      <c r="AX21" s="4">
        <v>71.908000000000001</v>
      </c>
      <c r="AY21" s="4">
        <v>87.5</v>
      </c>
      <c r="AZ21" s="4">
        <v>60.603000000000002</v>
      </c>
      <c r="BA21" s="4">
        <v>80.337000000000003</v>
      </c>
      <c r="BB21" s="4">
        <v>102.753</v>
      </c>
      <c r="BC21" s="4">
        <v>95.888000000000005</v>
      </c>
      <c r="BG21" s="4">
        <f t="shared" si="50"/>
        <v>85.714693210239915</v>
      </c>
      <c r="BI21" s="4">
        <f>BI$13*'[2]Ordinary Experience'!$D$405/'[2]Ordinary Experience'!$D$413</f>
        <v>286932918.16527587</v>
      </c>
      <c r="BJ21" s="4">
        <f>'[2]Ordinary Experience'!$E$405</f>
        <v>21.109084433914983</v>
      </c>
      <c r="BL21" s="4">
        <f t="shared" si="0"/>
        <v>95.53964690719441</v>
      </c>
      <c r="BM21" s="4">
        <f t="shared" si="34"/>
        <v>-1.0524978347657643E-2</v>
      </c>
      <c r="BO21" s="4">
        <f>IF(OR('Summary, hourly ad costs'!R21=-9999,'Summary, PPI''s'!R21="."),".",(('Summary, hourly ad costs'!B21/'Summary, hourly ad costs'!R21)*100/('Summary, hourly ad costs'!B$11/'Summary, hourly ad costs'!R$11))/('Summary, PPI''s'!R21))</f>
        <v>0.9223118539092735</v>
      </c>
      <c r="BP21" s="4" t="str">
        <f>IF(OR('Summary, hourly ad costs'!S21=-9999,'Summary, PPI''s'!S21="."),".",(('Summary, hourly ad costs'!C21/'Summary, hourly ad costs'!S21)*100/('Summary, hourly ad costs'!C$11/'Summary, hourly ad costs'!S$11))/('Summary, PPI''s'!S21))</f>
        <v>.</v>
      </c>
      <c r="BQ21" s="4" t="str">
        <f>IF(OR('Summary, hourly ad costs'!T21=-9999,'Summary, PPI''s'!T21="."),".",(('Summary, hourly ad costs'!D21/'Summary, hourly ad costs'!T21)*100/('Summary, hourly ad costs'!D$11/'Summary, hourly ad costs'!T$11))/('Summary, PPI''s'!T21))</f>
        <v>.</v>
      </c>
      <c r="BR21" s="4">
        <f>IF(OR('Summary, hourly ad costs'!U21=-9999,'Summary, PPI''s'!U21="."),".",(('Summary, hourly ad costs'!E21/'Summary, hourly ad costs'!U21)*100/('Summary, hourly ad costs'!E$11/'Summary, hourly ad costs'!U$11))/('Summary, PPI''s'!U21))</f>
        <v>1.7502875983976782</v>
      </c>
      <c r="BS21" s="4">
        <f>IF(OR('Summary, hourly ad costs'!V21=-9999,'Summary, PPI''s'!V21="."),".",(('Summary, hourly ad costs'!F21/'Summary, hourly ad costs'!V21)*100/('Summary, hourly ad costs'!F$11/'Summary, hourly ad costs'!V$11))/('Summary, PPI''s'!V21))</f>
        <v>1.7877691920474901</v>
      </c>
      <c r="BT21" s="4" t="str">
        <f>IF(OR('Summary, hourly ad costs'!W21=-9999,'Summary, PPI''s'!W21="."),".",(('Summary, hourly ad costs'!G21/'Summary, hourly ad costs'!W21)*100/('Summary, hourly ad costs'!G$11/'Summary, hourly ad costs'!W$11))/('Summary, PPI''s'!W21))</f>
        <v>.</v>
      </c>
      <c r="BU21" s="4">
        <f>IF(OR('Summary, hourly ad costs'!X21=-9999,'Summary, PPI''s'!X21="."),".",(('Summary, hourly ad costs'!H21/'Summary, hourly ad costs'!X21)*100/('Summary, hourly ad costs'!H$11/'Summary, hourly ad costs'!X$11))/('Summary, PPI''s'!X21))</f>
        <v>1.113190477880327</v>
      </c>
      <c r="BV21" s="4">
        <f>IF(OR('Summary, hourly ad costs'!Y21=-9999,'Summary, PPI''s'!Y21="."),".",(('Summary, hourly ad costs'!I21/'Summary, hourly ad costs'!Y21)*100/('Summary, hourly ad costs'!I$11/'Summary, hourly ad costs'!Y$11))/('Summary, PPI''s'!Y21))</f>
        <v>0.91866004106839405</v>
      </c>
      <c r="BW21" s="4">
        <f>IF(OR('Summary, hourly ad costs'!Z21=-9999,'Summary, PPI''s'!Z21="."),".",(('Summary, hourly ad costs'!J21/'Summary, hourly ad costs'!Z21)*100/('Summary, hourly ad costs'!J$11/'Summary, hourly ad costs'!Z$11))/('Summary, PPI''s'!Z21))</f>
        <v>0.91572965917850391</v>
      </c>
      <c r="BX21" s="4">
        <f>IF(OR('Summary, hourly ad costs'!AA21=-9999,'Summary, PPI''s'!AA21="."),".",(('Summary, hourly ad costs'!K21/'Summary, hourly ad costs'!AA21)*100/('Summary, hourly ad costs'!K$11/'Summary, hourly ad costs'!AA$11))/('Summary, PPI''s'!AA21))</f>
        <v>1.3618234346283657</v>
      </c>
      <c r="BY21" s="4" t="str">
        <f>IF(OR('Summary, hourly ad costs'!AB21=-9999,'Summary, PPI''s'!AB21="."),".",(('Summary, hourly ad costs'!L21/'Summary, hourly ad costs'!AB21)*100/('Summary, hourly ad costs'!L$11/'Summary, hourly ad costs'!AB$11))/('Summary, PPI''s'!AB21))</f>
        <v>.</v>
      </c>
      <c r="BZ21" s="4" t="str">
        <f>IF(OR('Summary, hourly ad costs'!AC21=-9999,'Summary, PPI''s'!AC21="."),".",(('Summary, hourly ad costs'!M21/'Summary, hourly ad costs'!AC21)*100/('Summary, hourly ad costs'!M$11/'Summary, hourly ad costs'!AC$11))/('Summary, PPI''s'!AC21))</f>
        <v>.</v>
      </c>
      <c r="CA21" s="4" t="str">
        <f>IF(OR('Summary, hourly ad costs'!AD21=-9999,'Summary, PPI''s'!AD21="."),".",(('Summary, hourly ad costs'!N21/'Summary, hourly ad costs'!AD21)*100/('Summary, hourly ad costs'!N$11/'Summary, hourly ad costs'!AD$11))/('Summary, PPI''s'!AD21))</f>
        <v>.</v>
      </c>
      <c r="CB21" s="4" t="str">
        <f>IF(OR('Summary, hourly ad costs'!AE21=-9999,'Summary, PPI''s'!AE21="."),".",(('Summary, hourly ad costs'!O21/'Summary, hourly ad costs'!AE21)*100/('Summary, hourly ad costs'!O$11/'Summary, hourly ad costs'!AE$11))/('Summary, PPI''s'!AE21))</f>
        <v>.</v>
      </c>
      <c r="CC21" s="4" t="str">
        <f>IF(OR('Summary, hourly ad costs'!AF21=-9999,'Summary, PPI''s'!AF21="."),".",(('Summary, hourly ad costs'!P21/'Summary, hourly ad costs'!AF21)*100/('Summary, hourly ad costs'!P$11/'Summary, hourly ad costs'!AF$11))/('Summary, PPI''s'!AF21))</f>
        <v>.</v>
      </c>
      <c r="CE21" s="4">
        <f t="shared" si="51"/>
        <v>8.1627018814087737E-3</v>
      </c>
      <c r="CF21" s="4" t="str">
        <f t="shared" si="52"/>
        <v>.</v>
      </c>
      <c r="CG21" s="4" t="str">
        <f t="shared" si="53"/>
        <v>.</v>
      </c>
      <c r="CH21" s="4">
        <f t="shared" si="54"/>
        <v>-3.8372059039699091E-2</v>
      </c>
      <c r="CI21" s="4">
        <f t="shared" si="55"/>
        <v>-7.9591323452675056E-2</v>
      </c>
      <c r="CJ21" s="4" t="str">
        <f t="shared" si="56"/>
        <v>.</v>
      </c>
      <c r="CK21" s="4">
        <f t="shared" si="57"/>
        <v>8.5805902950486512E-5</v>
      </c>
      <c r="CL21" s="4">
        <f t="shared" si="58"/>
        <v>8.2035585482674422E-2</v>
      </c>
      <c r="CM21" s="4">
        <f t="shared" si="59"/>
        <v>9.1870108294850761E-2</v>
      </c>
      <c r="CN21" s="4">
        <f t="shared" si="60"/>
        <v>-9.7628536173723912E-3</v>
      </c>
      <c r="CO21" s="4">
        <f>_xlfn.FORECAST.LINEAR($BM21,CO$4:CO$12,$BM$4:$BM$12)</f>
        <v>-7.5002576270373933E-2</v>
      </c>
      <c r="CP21" s="4">
        <f t="shared" si="61"/>
        <v>0.21876049081479462</v>
      </c>
      <c r="CQ21" s="4" t="str">
        <f t="shared" si="62"/>
        <v>.</v>
      </c>
      <c r="CR21" s="4" t="str">
        <f t="shared" si="63"/>
        <v>.</v>
      </c>
      <c r="CS21" s="4" t="str">
        <f t="shared" si="64"/>
        <v>.</v>
      </c>
      <c r="CU21" s="5">
        <f>IF(CU20=".", ".", IF('Summary, PPI''s'!R21=".",IF(OR('Summary, hourly ad costs'!R21=-9999,'Summary, hourly ad costs'!R21=0), ".", 'Predicted PPIs'!CU20*('Summary, hourly ad costs'!B21/'Summary, hourly ad costs'!R21)/('Summary, hourly ad costs'!B20/'Summary, hourly ad costs'!R20)/(1-CE20)), 'Summary, PPI''s'!R21))</f>
        <v>96.991197652707399</v>
      </c>
      <c r="CV21" s="5">
        <f>IF(CV20=".", ".", IF('Summary, PPI''s'!S21=".",IF(OR('Summary, hourly ad costs'!S21=-9999,'Summary, hourly ad costs'!S21=0), ".", 'Predicted PPIs'!CV20*('Summary, hourly ad costs'!C21/'Summary, hourly ad costs'!S21)/('Summary, hourly ad costs'!C20/'Summary, hourly ad costs'!S20)/(1-CF20)), 'Summary, PPI''s'!S21))</f>
        <v>96.991197652707399</v>
      </c>
      <c r="CW21" s="5">
        <f>IF(CW20=".", ".", IF('Summary, PPI''s'!T21=".",IF(OR('Summary, hourly ad costs'!T21=-9999,'Summary, hourly ad costs'!T21=0), ".", 'Predicted PPIs'!CW20*('Summary, hourly ad costs'!D21/'Summary, hourly ad costs'!T21)/('Summary, hourly ad costs'!D20/'Summary, hourly ad costs'!T20)/(1-CG20)), 'Summary, PPI''s'!T21))</f>
        <v>88.277042331504518</v>
      </c>
      <c r="CX21" s="5">
        <f>IF(CX20=".", ".", IF('Summary, PPI''s'!U21=".",IF(OR('Summary, hourly ad costs'!U21=-9999,'Summary, hourly ad costs'!U21=0), ".", 'Predicted PPIs'!CX20*('Summary, hourly ad costs'!E21/'Summary, hourly ad costs'!U21)/('Summary, hourly ad costs'!E20/'Summary, hourly ad costs'!U20)/(1-CH20)), 'Summary, PPI''s'!U21))</f>
        <v>81.118585268858141</v>
      </c>
      <c r="CY21" s="5">
        <f>IF(CY20=".", ".", IF('Summary, PPI''s'!V21=".",IF(OR('Summary, hourly ad costs'!V21=-9999,'Summary, hourly ad costs'!V21=0), ".", 'Predicted PPIs'!CY20*('Summary, hourly ad costs'!F21/'Summary, hourly ad costs'!V21)/('Summary, hourly ad costs'!F20/'Summary, hourly ad costs'!V20)/(1-CI20)), 'Summary, PPI''s'!V21))</f>
        <v>75.132830841467921</v>
      </c>
      <c r="CZ21" s="5">
        <f>IF(CZ20=".", ".", IF('Summary, PPI''s'!W21=".",IF(OR('Summary, hourly ad costs'!W21=-9999,'Summary, hourly ad costs'!W21=0), ".", 'Predicted PPIs'!CZ20*('Summary, hourly ad costs'!G21/'Summary, hourly ad costs'!W21)/('Summary, hourly ad costs'!G20/'Summary, hourly ad costs'!W20)/(1-CJ20)), 'Summary, PPI''s'!W21))</f>
        <v>79.15139430548632</v>
      </c>
      <c r="DA21" s="5">
        <f>IF(DA20=".", ".", IF('Summary, PPI''s'!X21=".",IF(OR('Summary, hourly ad costs'!X21=-9999,'Summary, hourly ad costs'!X21=0), ".", 'Predicted PPIs'!DA20*('Summary, hourly ad costs'!H21/'Summary, hourly ad costs'!X21)/('Summary, hourly ad costs'!H20/'Summary, hourly ad costs'!X20)/(1-CK20)), 'Summary, PPI''s'!X21))</f>
        <v>76.421000000000006</v>
      </c>
      <c r="DB21" s="5">
        <f>IF(DB20=".", ".", IF('Summary, PPI''s'!Y21=".",IF(OR('Summary, hourly ad costs'!Y21=-9999,'Summary, hourly ad costs'!Y21=0), ".", 'Predicted PPIs'!DB20*('Summary, hourly ad costs'!I21/'Summary, hourly ad costs'!Y21)/('Summary, hourly ad costs'!I20/'Summary, hourly ad costs'!Y20)/(1-CL20)), 'Summary, PPI''s'!Y21))</f>
        <v>97.078641398079697</v>
      </c>
      <c r="DC21" s="5">
        <f>IF(DC20=".", ".", IF('Summary, PPI''s'!Z21=".",IF(OR('Summary, hourly ad costs'!Z21=-9999,'Summary, hourly ad costs'!Z21=0), ".", 'Predicted PPIs'!DC20*('Summary, hourly ad costs'!J21/'Summary, hourly ad costs'!Z21)/('Summary, hourly ad costs'!J20/'Summary, hourly ad costs'!Z20)/(1-CM20)), 'Summary, PPI''s'!Z21))</f>
        <v>98.465750900079627</v>
      </c>
      <c r="DD21" s="5">
        <f>IF(DD20=".", ".", IF('Summary, PPI''s'!AA21=".",IF(OR('Summary, hourly ad costs'!AA21=-9999,'Summary, hourly ad costs'!AA21=0), ".", 'Predicted PPIs'!DD20*('Summary, hourly ad costs'!K21/'Summary, hourly ad costs'!AA21)/('Summary, hourly ad costs'!K20/'Summary, hourly ad costs'!AA20)/(1-CN20)), 'Summary, PPI''s'!AA21))</f>
        <v>69.31393664573838</v>
      </c>
      <c r="DE21" s="5">
        <f>IF(DE20=".", ".", IF('Summary, PPI''s'!AB21=".",IF(OR('Summary, hourly ad costs'!AB21=-9999,'Summary, hourly ad costs'!AB21=0), ".", 'Predicted PPIs'!DE20*('Summary, hourly ad costs'!L21/'Summary, hourly ad costs'!AB21)/('Summary, hourly ad costs'!L20/'Summary, hourly ad costs'!AB20)/(1-CO20)), 'Summary, PPI''s'!AB21))</f>
        <v>90.975275448318513</v>
      </c>
      <c r="DF21" s="5">
        <f>IF(DF20=".", ".", IF('Summary, PPI''s'!AC21=".",IF(OR('Summary, hourly ad costs'!AC21=-9999,'Summary, hourly ad costs'!AC21=0), ".", 'Predicted PPIs'!DF20*('Summary, hourly ad costs'!M21/'Summary, hourly ad costs'!AC21)/('Summary, hourly ad costs'!M20/'Summary, hourly ad costs'!AC20)/(1-CP20)), 'Summary, PPI''s'!AC21))</f>
        <v>365.26608892386605</v>
      </c>
      <c r="DG21" s="5">
        <f>IF(DG20=".", ".", IF('Summary, PPI''s'!AD21=".",IF(OR('Summary, hourly ad costs'!AD21=-9999,'Summary, hourly ad costs'!AD21=0), ".", 'Predicted PPIs'!DG20*('Summary, hourly ad costs'!N21/'Summary, hourly ad costs'!AD21)/('Summary, hourly ad costs'!N20/'Summary, hourly ad costs'!AD20)/(1-CQ20)), 'Summary, PPI''s'!AD21))</f>
        <v>91.297670847197352</v>
      </c>
      <c r="DH21" s="5">
        <f>IF(DH20=".", ".", IF('Summary, PPI''s'!AE21=".",IF(OR('Summary, hourly ad costs'!AE21=-9999,'Summary, hourly ad costs'!AE21=0), ".", 'Predicted PPIs'!DH20*('Summary, hourly ad costs'!O21/'Summary, hourly ad costs'!AE21)/('Summary, hourly ad costs'!O20/'Summary, hourly ad costs'!AE20)/(1-CR20)), 'Summary, PPI''s'!AE21))</f>
        <v>73.131</v>
      </c>
      <c r="DI21" s="5">
        <f>IF(DI20=".", ".", IF('Summary, PPI''s'!AF21=".",IF(OR('Summary, hourly ad costs'!AF21=-9999,'Summary, hourly ad costs'!AF21=0), ".", 'Predicted PPIs'!DI20*('Summary, hourly ad costs'!P21/'Summary, hourly ad costs'!AF21)/('Summary, hourly ad costs'!P20/'Summary, hourly ad costs'!AF20)/(1-CS20)), 'Summary, PPI''s'!AF21))</f>
        <v>78.025000000000006</v>
      </c>
      <c r="DK21" s="4">
        <v>70.015000000000001</v>
      </c>
      <c r="DM21" s="5">
        <f t="shared" si="16"/>
        <v>-5.6213989423278043E-2</v>
      </c>
      <c r="DN21" s="5">
        <f t="shared" si="17"/>
        <v>-5.6213989423278043E-2</v>
      </c>
      <c r="DO21" s="5">
        <f t="shared" si="18"/>
        <v>-3.5740487039148672E-2</v>
      </c>
      <c r="DP21" s="5">
        <f t="shared" si="19"/>
        <v>-1.9855640188807255E-3</v>
      </c>
      <c r="DQ21" s="5">
        <f t="shared" si="20"/>
        <v>1.1046423220206769E-2</v>
      </c>
      <c r="DR21" s="5">
        <f t="shared" si="21"/>
        <v>-3.8002032439926614E-3</v>
      </c>
      <c r="DS21" s="5">
        <f t="shared" si="22"/>
        <v>-1.3269713246400139E-2</v>
      </c>
      <c r="DT21" s="5">
        <f t="shared" si="23"/>
        <v>-4.4502082181282376E-2</v>
      </c>
      <c r="DU21" s="5">
        <f t="shared" si="24"/>
        <v>-2.9718826558256306E-2</v>
      </c>
      <c r="DV21" s="5">
        <f t="shared" si="25"/>
        <v>-5.5412351323837372E-2</v>
      </c>
      <c r="DW21" s="5">
        <f t="shared" si="26"/>
        <v>-0.27412113872601707</v>
      </c>
      <c r="DX21" s="5">
        <f t="shared" si="27"/>
        <v>-0.36810190326526404</v>
      </c>
      <c r="DY21" s="5">
        <f t="shared" si="28"/>
        <v>-2.1183486584678057E-2</v>
      </c>
      <c r="DZ21" s="5">
        <f t="shared" si="29"/>
        <v>-1.4160406190853125E-2</v>
      </c>
      <c r="EA21" s="5">
        <f t="shared" si="30"/>
        <v>-2.4545035848354768E-2</v>
      </c>
      <c r="EC21" s="1">
        <f t="shared" si="35"/>
        <v>96.991197652707399</v>
      </c>
      <c r="ED21" s="1">
        <f t="shared" si="36"/>
        <v>96.991197652707399</v>
      </c>
      <c r="EE21" s="1">
        <f t="shared" si="37"/>
        <v>88.277042331504518</v>
      </c>
      <c r="EF21" s="1">
        <f t="shared" si="38"/>
        <v>81.118585268858141</v>
      </c>
      <c r="EG21" s="1">
        <f t="shared" si="39"/>
        <v>75.132830841467921</v>
      </c>
      <c r="EH21" s="1">
        <f t="shared" si="40"/>
        <v>79.15139430548632</v>
      </c>
      <c r="EI21" s="1">
        <f t="shared" si="41"/>
        <v>76.421000000000006</v>
      </c>
      <c r="EJ21" s="1">
        <f t="shared" si="42"/>
        <v>97.078641398079697</v>
      </c>
      <c r="EK21" s="1">
        <f t="shared" si="43"/>
        <v>98.465750900079627</v>
      </c>
      <c r="EL21" s="1">
        <f t="shared" si="44"/>
        <v>69.31393664573838</v>
      </c>
      <c r="EM21" s="1">
        <f t="shared" si="45"/>
        <v>90.975275448318513</v>
      </c>
      <c r="EN21" s="1">
        <f t="shared" si="46"/>
        <v>365.26608892386605</v>
      </c>
      <c r="EO21" s="1">
        <f t="shared" si="47"/>
        <v>91.297670847197352</v>
      </c>
      <c r="EP21" s="1">
        <f t="shared" si="48"/>
        <v>73.131</v>
      </c>
      <c r="EQ21" s="1">
        <f t="shared" si="49"/>
        <v>78.025000000000006</v>
      </c>
      <c r="ES21" s="1">
        <f>IF(EF$26=".", 0, 'Summary, PPI''s'!E21)+IF(EG$26=".", 0, 'Summary, PPI''s'!F21)+IF(EH$26=".", 0, 'Summary, PPI''s'!G21)+IF(EI$26=".", 0, 'Summary, PPI''s'!H21)+IF(EJ$26=".", 0, 'Summary, PPI''s'!I21)+IF(EK$26=".", 0, 'Summary, PPI''s'!J21)+IF(EL$26=".", 0, 'Summary, PPI''s'!K21)+IF(EM$26=".", 0, 'Summary, PPI''s'!L21)+IF(EN$26=".", 0, 'Summary, PPI''s'!M21)+IF(EC$26=".", 0, 'Summary, PPI''s'!B21)+IF(ED$26=".", 0, 'Summary, PPI''s'!C21)+IF(EE$26=".", 0, 'Summary, PPI''s'!D21)+IF(EO$26=".", 0, 'Summary, PPI''s'!N21)+IF(EP$26=".", 0, 'Summary, PPI''s'!O21)+IF(EQ$26=".", 0, 'Summary, PPI''s'!P21)</f>
        <v>245232360.14622292</v>
      </c>
      <c r="ET21" s="1">
        <f>'Summary, hourly ad costs'!E21+'Summary, hourly ad costs'!F21+'Summary, hourly ad costs'!H21+'Summary, hourly ad costs'!I21+'Summary, hourly ad costs'!J21+'Summary, hourly ad costs'!K21+'Summary, hourly ad costs'!L21+'Summary, hourly ad costs'!M21+'Summary, hourly ad costs'!B21</f>
        <v>128700932.63733588</v>
      </c>
      <c r="EV21" s="13">
        <f>EV20*IF(EF$26=".", 1, (EF21/EF20)^(('Summary, PPI''s'!$E21+'Summary, PPI''s'!$E20)/('Predicted PPIs'!ES21+'Predicted PPIs'!ES20)))*IF(EG$26=".", 1, (EG21/EG20)^(('Summary, PPI''s'!$F21+'Summary, PPI''s'!$F20)/('Predicted PPIs'!ES21+'Predicted PPIs'!ES20)))*IF(EH$26=".", 1, (EH21/EH20)^(('Summary, PPI''s'!$G21+'Summary, PPI''s'!$G20)/('Predicted PPIs'!ES21+'Predicted PPIs'!ES20)))*IF(EI$26=".", 1, (EI21/EI20)^(('Summary, PPI''s'!$H21+'Summary, PPI''s'!$H20)/('Predicted PPIs'!ES21+'Predicted PPIs'!ES20)))*IF(EJ$26=".", 1, (EJ21/EJ20)^(('Summary, PPI''s'!$I21+'Summary, PPI''s'!$I20)/('Predicted PPIs'!ES21+'Predicted PPIs'!ES20)))*IF(EK$26=".", 1, (EK21/EK20)^(('Summary, PPI''s'!$J21+'Summary, PPI''s'!$J20)/('Predicted PPIs'!ES21+'Predicted PPIs'!ES20)))*IF(EL$26=".", 1, (EL21/EL20)^(('Summary, PPI''s'!$K21+'Summary, PPI''s'!$K20)/('Predicted PPIs'!ES21+'Predicted PPIs'!ES20)))*IF(EM$26=".", 1, (EM21/EM20)^(('Summary, PPI''s'!$L21+'Summary, PPI''s'!$L20)/('Predicted PPIs'!ES21+'Predicted PPIs'!ES20)))*IF(EN$26=".", 1, (EN21/EN20)^(('Summary, PPI''s'!$M21+'Summary, PPI''s'!$M20)/('Predicted PPIs'!ES21+'Predicted PPIs'!ES20)))*IF(EC$26=".", 1, (EC21/EC20)^(('Summary, PPI''s'!$B21+'Summary, PPI''s'!$B20)/('Predicted PPIs'!ES21+'Predicted PPIs'!ES20)))*IF(ED$26=".", 1, (ED21/ED20)^(('Summary, PPI''s'!$C21+'Summary, PPI''s'!$C20)/('Predicted PPIs'!ES21+'Predicted PPIs'!ES20)))*IF(EE$26=".", 1, (EE21/EE20)^(('Summary, PPI''s'!$D21+'Summary, PPI''s'!$D20)/('Predicted PPIs'!ES21+'Predicted PPIs'!ES20)))*IF(EO$26=".", 1, (EO21/EO20)^(('Summary, PPI''s'!$N21+'Summary, PPI''s'!$N20)/('Predicted PPIs'!ES21+'Predicted PPIs'!ES20)))*IF(EP$26=".", 1, (EP21/EP20)^(('Summary, PPI''s'!$O21+'Summary, PPI''s'!$O20)/('Predicted PPIs'!ES21+'Predicted PPIs'!ES20)))*IF(EQ$26=".", 1, (EQ21/EQ20)^(('Summary, PPI''s'!$P21+'Summary, PPI''s'!$P20)/('Predicted PPIs'!ES21+'Predicted PPIs'!ES20)))</f>
        <v>97.079565130121225</v>
      </c>
      <c r="EW21" s="13">
        <f>EW20*IF(EF$26=".", 1, (EF21/EF20)^(('Summary, PPI''s'!$E21+'Summary, PPI''s'!$E20)/('Predicted PPIs'!ET21+'Predicted PPIs'!ET20)))*IF(EG$26=".", 1, (EG21/EG20)^(('Summary, PPI''s'!$F21+'Summary, PPI''s'!$F20)/('Predicted PPIs'!ET21+'Predicted PPIs'!ET20)))*IF(EH$26=".", 1, (EH21/EH20)^(('Summary, PPI''s'!$G21+'Summary, PPI''s'!$G20)/('Predicted PPIs'!ET21+'Predicted PPIs'!ET20)))*IF(EK$26=".", 1, (EK21/EK20)^(('Summary, PPI''s'!$J21+'Summary, PPI''s'!$J20)/('Predicted PPIs'!ET21+'Predicted PPIs'!ET20)))*IF(EL$26=".", 1, (EL21/EL20)^(('Summary, PPI''s'!$K21+'Summary, PPI''s'!$K20)/('Predicted PPIs'!ET21+'Predicted PPIs'!ET20)))*IF(EM$26=".", 1, (EM21/EM20)^(('Summary, PPI''s'!$L21+'Summary, PPI''s'!$L20)/('Predicted PPIs'!ET21+'Predicted PPIs'!ET20)))*IF(EN$26=".", 1, (EN21/EN20)^(('Summary, PPI''s'!$M21+'Summary, PPI''s'!$M20)/('Predicted PPIs'!ET21+'Predicted PPIs'!ET20)))*IF(EC$26=".", 1, (EC21/EC20)^(('Summary, PPI''s'!$B21+'Summary, PPI''s'!$B20)/('Predicted PPIs'!ET21+'Predicted PPIs'!ET20)))</f>
        <v>109.14038876860857</v>
      </c>
      <c r="EY21" s="2"/>
    </row>
    <row r="22" spans="1:155" x14ac:dyDescent="0.3">
      <c r="A22" s="4">
        <v>2001</v>
      </c>
      <c r="B22" s="10">
        <f>IF(B21=".", ".", IF('Summary, PPI''s'!R22=".",IF(OR('Summary, hourly ad costs'!R22=-9999,'Summary, hourly ad costs'!R22=0), ".", 'Predicted PPIs'!B21*('Summary, hourly ad costs'!B22/'Summary, hourly ad costs'!R22)/('Summary, hourly ad costs'!B21/'Summary, hourly ad costs'!R21)), 'Summary, PPI''s'!R22))</f>
        <v>98.292878100826883</v>
      </c>
      <c r="C22" s="10">
        <f>IF(C21=".", ".", IF('Summary, PPI''s'!S22=".",IF(OR('Summary, hourly ad costs'!S22=-9999,'Summary, hourly ad costs'!S22=0), ".", 'Predicted PPIs'!C21*('Summary, hourly ad costs'!C22/'Summary, hourly ad costs'!S22)/('Summary, hourly ad costs'!C21/'Summary, hourly ad costs'!S21)), 'Summary, PPI''s'!S22))</f>
        <v>98.292878100826883</v>
      </c>
      <c r="D22" s="10">
        <f>IF(D21=".", ".", IF('Summary, PPI''s'!T22=".",IF(OR('Summary, hourly ad costs'!T22=-9999,'Summary, hourly ad costs'!T22=0), ".", 'Predicted PPIs'!D21*('Summary, hourly ad costs'!D22/'Summary, hourly ad costs'!T22)/('Summary, hourly ad costs'!D21/'Summary, hourly ad costs'!T21)), 'Summary, PPI''s'!T22))</f>
        <v>87.562289223335185</v>
      </c>
      <c r="E22" s="10">
        <f>IF(E21=".", ".", IF('Summary, PPI''s'!U22=".",IF(OR('Summary, hourly ad costs'!U22=-9999,'Summary, hourly ad costs'!U22=0), ".", 'Predicted PPIs'!E21*('Summary, hourly ad costs'!E22/'Summary, hourly ad costs'!U22)/('Summary, hourly ad costs'!E21/'Summary, hourly ad costs'!U21)), 'Summary, PPI''s'!U22))</f>
        <v>77.740406989042611</v>
      </c>
      <c r="F22" s="10">
        <f>IF(F21=".", ".", IF('Summary, PPI''s'!V22=".",IF(OR('Summary, hourly ad costs'!V22=-9999,'Summary, hourly ad costs'!V22=0), ".", 'Predicted PPIs'!F21*('Summary, hourly ad costs'!F22/'Summary, hourly ad costs'!V22)/('Summary, hourly ad costs'!F21/'Summary, hourly ad costs'!V21)), 'Summary, PPI''s'!V22))</f>
        <v>71.075826846245732</v>
      </c>
      <c r="G22" s="10">
        <f>IF(G21=".", ".", IF('Summary, PPI''s'!W22=".",IF(OR('Summary, hourly ad costs'!W22=-9999,'Summary, hourly ad costs'!W22=0), ".", 'Predicted PPIs'!G21*('Summary, hourly ad costs'!G22/'Summary, hourly ad costs'!W22)/('Summary, hourly ad costs'!G21/'Summary, hourly ad costs'!W21)), 'Summary, PPI''s'!W22))</f>
        <v>75.993314371169717</v>
      </c>
      <c r="H22" s="10">
        <f>IF(H21=".", ".", IF('Summary, PPI''s'!X22=".",IF(OR('Summary, hourly ad costs'!X22=-9999,'Summary, hourly ad costs'!X22=0), ".", 'Predicted PPIs'!H21*('Summary, hourly ad costs'!H22/'Summary, hourly ad costs'!X22)/('Summary, hourly ad costs'!H21/'Summary, hourly ad costs'!X21)), 'Summary, PPI''s'!X22))</f>
        <v>74.075999999999993</v>
      </c>
      <c r="I22" s="10">
        <f>IF(I21=".", ".", IF('Summary, PPI''s'!Y22=".",IF(OR('Summary, hourly ad costs'!Y22=-9999,'Summary, hourly ad costs'!Y22=0), ".", 'Predicted PPIs'!I21*('Summary, hourly ad costs'!I22/'Summary, hourly ad costs'!Y22)/('Summary, hourly ad costs'!I21/'Summary, hourly ad costs'!Y21)), 'Summary, PPI''s'!Y22))</f>
        <v>97.175595384352576</v>
      </c>
      <c r="J22" s="10">
        <f>IF(J21=".", ".", IF('Summary, PPI''s'!Z22=".",IF(OR('Summary, hourly ad costs'!Z22=-9999,'Summary, hourly ad costs'!Z22=0), ".", 'Predicted PPIs'!J21*('Summary, hourly ad costs'!J22/'Summary, hourly ad costs'!Z22)/('Summary, hourly ad costs'!J21/'Summary, hourly ad costs'!Z21)), 'Summary, PPI''s'!Z22))</f>
        <v>97.062362487974028</v>
      </c>
      <c r="K22" s="10">
        <f>IF(K21=".", ".", IF('Summary, PPI''s'!AA22=".",IF(OR('Summary, hourly ad costs'!AA22=-9999,'Summary, hourly ad costs'!AA22=0), ".", 'Predicted PPIs'!K21*('Summary, hourly ad costs'!K22/'Summary, hourly ad costs'!AA22)/('Summary, hourly ad costs'!K21/'Summary, hourly ad costs'!AA21)), 'Summary, PPI''s'!AA22))</f>
        <v>70.18455779432459</v>
      </c>
      <c r="L22" s="10">
        <f>IF(L21=".", ".", IF('Summary, PPI''s'!AB22=".",IF(OR('Summary, hourly ad costs'!AB22=-9999,'Summary, hourly ad costs'!AB22=0), ".", 'Predicted PPIs'!L21*('Summary, hourly ad costs'!L22/'Summary, hourly ad costs'!AB22)/('Summary, hourly ad costs'!L21/'Summary, hourly ad costs'!AB21)), 'Summary, PPI''s'!AB22))</f>
        <v>107.21882699270947</v>
      </c>
      <c r="M22" s="10">
        <f>IF(M21=".", ".", IF('Summary, PPI''s'!AC22=".",IF(OR('Summary, hourly ad costs'!AC22=-9999,'Summary, hourly ad costs'!AC22=0), ".", 'Predicted PPIs'!M21*('Summary, hourly ad costs'!M22/'Summary, hourly ad costs'!AC22)/('Summary, hourly ad costs'!M21/'Summary, hourly ad costs'!AC21)), 'Summary, PPI''s'!AC22))</f>
        <v>74.295212957080807</v>
      </c>
      <c r="N22" s="10">
        <f>IF(N21=".", ".", IF('Summary, PPI''s'!AD22=".",IF(OR('Summary, hourly ad costs'!AD22=-9999,'Summary, hourly ad costs'!AD22=0), ".", 'Predicted PPIs'!N21*('Summary, hourly ad costs'!N22/'Summary, hourly ad costs'!AD22)/('Summary, hourly ad costs'!N21/'Summary, hourly ad costs'!AD21)), 'Summary, PPI''s'!AD22))</f>
        <v>89.211671359099071</v>
      </c>
      <c r="O22" s="10">
        <f>IF(O21=".", ".", IF('Summary, PPI''s'!AE22=".",IF(OR('Summary, hourly ad costs'!AE22=-9999,'Summary, hourly ad costs'!AE22=0), ".", 'Predicted PPIs'!O21*('Summary, hourly ad costs'!O22/'Summary, hourly ad costs'!AE22)/('Summary, hourly ad costs'!O21/'Summary, hourly ad costs'!AE21)), 'Summary, PPI''s'!AE22))</f>
        <v>70.950999999999993</v>
      </c>
      <c r="P22" s="10">
        <f>IF(P21=".", ".", IF('Summary, PPI''s'!AF22=".",IF(OR('Summary, hourly ad costs'!AF22=-9999,'Summary, hourly ad costs'!AF22=0), ".", 'Predicted PPIs'!P21*('Summary, hourly ad costs'!P22/'Summary, hourly ad costs'!AF22)/('Summary, hourly ad costs'!P21/'Summary, hourly ad costs'!AF21)), 'Summary, PPI''s'!AF22))</f>
        <v>76.504999999999995</v>
      </c>
      <c r="R22" s="1">
        <f>IF(E$26=".", 0, 'Summary, PPI''s'!E22)+IF(F$26=".", 0, 'Summary, PPI''s'!F22)+IF(G$26=".", 0, 'Summary, PPI''s'!G22)+IF(H$26=".", 0, 'Summary, PPI''s'!H22)+IF(I$26=".", 0, 'Summary, PPI''s'!I22)+IF(J$26=".", 0, 'Summary, PPI''s'!J22)+IF(K$26=".", 0, 'Summary, PPI''s'!K22)+IF(L$26=".", 0, 'Summary, PPI''s'!L22)+IF(M$26=".", 0, 'Summary, PPI''s'!M22)+IF(B$26=".", 0, 'Summary, PPI''s'!B22)+IF(C$26=".", 0, 'Summary, PPI''s'!C22)+IF(D$26=".", 0, 'Summary, PPI''s'!D22)+IF(N$26=".", 0, 'Summary, PPI''s'!N22)+IF(O$26=".", 0, 'Summary, PPI''s'!O22)+IF(P$26=".", 0, 'Summary, PPI''s'!P22)</f>
        <v>246880322.78252468</v>
      </c>
      <c r="S22" s="1">
        <f>IF(E$36=".", 0, 'Summary, PPI''s'!E22)+IF(F$36=".", 0, 'Summary, PPI''s'!F22)+IF(G$36=".", 0, 'Summary, PPI''s'!G22)+IF(H$36=".", 0, 'Summary, PPI''s'!H22)+IF(I$36=".", 0, 'Summary, PPI''s'!I22)+IF(J$36=".", 0, 'Summary, PPI''s'!J22)+IF(K$36=".", 0, 'Summary, PPI''s'!K22)+IF(L$36=".", 0, 'Summary, PPI''s'!L22)+IF(M$36=".", 0, 'Summary, PPI''s'!M22)+IF(B$36=".", 0, 'Summary, PPI''s'!B22)+IF(C$36=".", 0, 'Summary, PPI''s'!C22)+IF(D$36=".", 0, 'Summary, PPI''s'!D22)+IF(N$36=".", 0, 'Summary, PPI''s'!N22)+IF(O$36=".", 0, 'Summary, PPI''s'!O22)+IF(P$36=".", 0, 'Summary, PPI''s'!P22)</f>
        <v>240240080.25580794</v>
      </c>
      <c r="T22" s="1">
        <f>IF(E$46=".", 0, 'Summary, PPI''s'!E22)+IF(F$46=".", 0, 'Summary, PPI''s'!F22)+IF(G$46=".", 0, 'Summary, PPI''s'!G22)+IF(H$46=".", 0, 'Summary, PPI''s'!H22)+IF(I$46=".", 0, 'Summary, PPI''s'!I22)+IF(J$46=".", 0, 'Summary, PPI''s'!J22)+IF(K$46=".", 0, 'Summary, PPI''s'!K22)+IF(L$46=".", 0, 'Summary, PPI''s'!L22)+IF(M$46=".", 0, 'Summary, PPI''s'!M22)+IF(B$46=".", 0, 'Summary, PPI''s'!B22)+IF(C$46=".", 0, 'Summary, PPI''s'!C22)+IF(D$46=".", 0, 'Summary, PPI''s'!D22)+IF(N$46=".", 0, 'Summary, PPI''s'!N22)+IF(O$46=".", 0, 'Summary, PPI''s'!O22)+IF(P$46=".", 0, 'Summary, PPI''s'!P22)</f>
        <v>159747686.79984289</v>
      </c>
      <c r="U22" s="1">
        <f>IF(E$60=".", 0, 'Summary, PPI''s'!E22)+IF(F$60=".", 0, 'Summary, PPI''s'!F22)+IF(G$60=".", 0, 'Summary, PPI''s'!G22)+IF(H$60=".", 0, 'Summary, PPI''s'!H22)+IF(I$60=".", 0, 'Summary, PPI''s'!I22)+IF(J$60=".", 0, 'Summary, PPI''s'!J22)+IF(K$60=".", 0, 'Summary, PPI''s'!K22)+IF(L$60=".", 0, 'Summary, PPI''s'!L22)+IF(M$60=".", 0, 'Summary, PPI''s'!M22)+IF(B$60=".", 0, 'Summary, PPI''s'!B22)+IF(C$60=".", 0, 'Summary, PPI''s'!C22)+IF(D$60=".", 0, 'Summary, PPI''s'!D22)+IF(N$60=".", 0, 'Summary, PPI''s'!N22)+IF(O$60=".", 0, 'Summary, PPI''s'!O22)+IF(P$60=".", 0, 'Summary, PPI''s'!P22)</f>
        <v>126191442.93632258</v>
      </c>
      <c r="V22" s="1">
        <f>IF(E$73=".", 0, 'Summary, PPI''s'!E22)+IF(F$73=".", 0, 'Summary, PPI''s'!F22)+IF(G$73=".", 0, 'Summary, PPI''s'!G22)+IF(H$73=".", 0, 'Summary, PPI''s'!H22)+IF(I$73=".", 0, 'Summary, PPI''s'!I22)+IF(J$73=".", 0, 'Summary, PPI''s'!J22)+IF(K$73=".", 0, 'Summary, PPI''s'!K22)+IF(L$73=".", 0, 'Summary, PPI''s'!L22)+IF(M$73=".", 0, 'Summary, PPI''s'!M22)+IF(B$73=".", 0, 'Summary, PPI''s'!B22)+IF(C$73=".", 0, 'Summary, PPI''s'!C22)+IF(D$73=".", 0, 'Summary, PPI''s'!D22)+IF(N$73=".", 0, 'Summary, PPI''s'!N22)+IF(O$73=".", 0, 'Summary, PPI''s'!O22)+IF(P$73=".", 0, 'Summary, PPI''s'!P22)</f>
        <v>100407412.51043846</v>
      </c>
      <c r="W22" s="1">
        <f>IF(E$94=".",0,'Summary, PPI''s'!E22)+IF(F$94=".",0,'Summary, PPI''s'!F22)+IF(G$94=".",0,'Summary, PPI''s'!G22)+IF(H$94=".",0,'Summary, PPI''s'!H22)+IF(I$94=".",0,'Summary, PPI''s'!I22)+IF(J$94=".",0,'Summary, PPI''s'!J22)+IF(K$94=".",0,'Summary, PPI''s'!K22)+IF(L$94=".",0,'Summary, PPI''s'!L22)+IF(M$94=".",0,'Summary, PPI''s'!M22)+IF(B$94=".",0,'Summary, PPI''s'!B22)+IF(C$94=".",0,'Summary, PPI''s'!C22)+IF(D$94=".",0,'Summary, PPI''s'!D22)+IF(N$94=".",0,'Summary, PPI''s'!N22)+IF(O$94=".",0,'Summary, PPI''s'!O22)+IF(P$94=".",0,'Summary, PPI''s'!P22)</f>
        <v>73302841.465102658</v>
      </c>
      <c r="X22" s="1">
        <f>IF(E$123=".", 0, 'Summary, PPI''s'!E22)+IF(F$123=".", 0, 'Summary, PPI''s'!F22)+IF(G$123=".", 0, 'Summary, PPI''s'!G22)+IF(H$123=".", 0, 'Summary, PPI''s'!H22)+IF(I$123=".", 0, 'Summary, PPI''s'!I22)+IF(J$123=".", 0, 'Summary, PPI''s'!J22)+IF(K$123=".", 0, 'Summary, PPI''s'!K22)+IF(L$123=".", 0, 'Summary, PPI''s'!L22)+IF(M$123=".", 0, 'Summary, PPI''s'!M22)+IF(B$123=".", 0, 'Summary, PPI''s'!B22)+IF(C$123=".", 0, 'Summary, PPI''s'!C22)+IF(D$123=".", 0, 'Summary, PPI''s'!D22)+IF(N$123=".", 0, 'Summary, PPI''s'!N22)+IF(O$123=".", 0, 'Summary, PPI''s'!O22)+IF(P$123=".", 0, 'Summary, PPI''s'!P22)</f>
        <v>60452361.492642008</v>
      </c>
      <c r="Z22" s="4">
        <f>Z21*IF(E$26=".", 1, (E22/E21)^(('Summary, PPI''s'!$E22+'Summary, PPI''s'!$E21)/('Predicted PPIs'!R22+'Predicted PPIs'!R21)))*IF(F$26=".", 1, (F22/F21)^(('Summary, PPI''s'!$F22+'Summary, PPI''s'!$F21)/('Predicted PPIs'!R22+'Predicted PPIs'!R21)))*IF(G$26=".", 1, (G22/G21)^(('Summary, PPI''s'!$G22+'Summary, PPI''s'!$G21)/('Predicted PPIs'!R22+'Predicted PPIs'!R21)))*IF(H$26=".", 1, (H22/H21)^(('Summary, PPI''s'!$H22+'Summary, PPI''s'!$H21)/('Predicted PPIs'!R22+'Predicted PPIs'!R21)))*IF(I$26=".", 1, (I22/I21)^(('Summary, PPI''s'!$I22+'Summary, PPI''s'!$I21)/('Predicted PPIs'!R22+'Predicted PPIs'!R21)))*IF(J$26=".", 1, (J22/J21)^(('Summary, PPI''s'!$J22+'Summary, PPI''s'!$J21)/('Predicted PPIs'!R22+'Predicted PPIs'!R21)))*IF(K$26=".", 1, (K22/K21)^(('Summary, PPI''s'!$K22+'Summary, PPI''s'!$K21)/('Predicted PPIs'!R22+'Predicted PPIs'!R21)))*IF(L$26=".", 1, (L22/L21)^(('Summary, PPI''s'!$L22+'Summary, PPI''s'!$L21)/('Predicted PPIs'!R22+'Predicted PPIs'!R21)))*IF(M$26=".", 1, (M22/M21)^(('Summary, PPI''s'!$M22+'Summary, PPI''s'!$M21)/('Predicted PPIs'!R22+'Predicted PPIs'!R21)))*IF(B$26=".", 1, (B22/B21)^(('Summary, PPI''s'!$B22+'Summary, PPI''s'!$B21)/('Predicted PPIs'!R22+'Predicted PPIs'!R21)))*IF(C$26=".", 1, (C22/C21)^(('Summary, PPI''s'!$C22+'Summary, PPI''s'!$C21)/('Predicted PPIs'!R22+'Predicted PPIs'!R21)))*IF(D$26=".", 1, (D22/D21)^(('Summary, PPI''s'!$D22+'Summary, PPI''s'!$D21)/('Predicted PPIs'!R22+'Predicted PPIs'!R21)))*IF(N$26=".", 1, (N22/N21)^(('Summary, PPI''s'!$N22+'Summary, PPI''s'!$N21)/('Predicted PPIs'!R22+'Predicted PPIs'!R21)))*IF(O$26=".", 1, (O22/O21)^(('Summary, PPI''s'!$O22+'Summary, PPI''s'!$O21)/('Predicted PPIs'!R22+'Predicted PPIs'!R21)))*IF(P$26=".", 1, (P22/P21)^(('Summary, PPI''s'!$P22+'Summary, PPI''s'!$P21)/('Predicted PPIs'!R22+'Predicted PPIs'!R21)))</f>
        <v>91.916783179268975</v>
      </c>
      <c r="AA22" s="4">
        <f>AA21*IF(E$36=".", 1, (E22/E21)^(('Summary, PPI''s'!$E22+'Summary, PPI''s'!$E21)/('Predicted PPIs'!S22+'Predicted PPIs'!S21)))*IF(F$36=".", 1, (F22/F21)^(('Summary, PPI''s'!$F22+'Summary, PPI''s'!$F21)/('Predicted PPIs'!S22+'Predicted PPIs'!S21)))*IF(G$36=".", 1, (G22/G21)^(('Summary, PPI''s'!$G22+'Summary, PPI''s'!$G21)/('Predicted PPIs'!S22+'Predicted PPIs'!S21)))*IF(H$36=".", 1, (H22/H21)^(('Summary, PPI''s'!$H22+'Summary, PPI''s'!$H21)/('Predicted PPIs'!S22+'Predicted PPIs'!S21)))*IF(I$36=".", 1, (I22/I21)^(('Summary, PPI''s'!$I22+'Summary, PPI''s'!$I21)/('Predicted PPIs'!S22+'Predicted PPIs'!S21)))*IF(J$36=".", 1, (J22/J21)^(('Summary, PPI''s'!$J22+'Summary, PPI''s'!$J21)/('Predicted PPIs'!S22+'Predicted PPIs'!S21)))*IF(K$36=".", 1, (K22/K21)^(('Summary, PPI''s'!$K22+'Summary, PPI''s'!$K21)/('Predicted PPIs'!S22+'Predicted PPIs'!S21)))*IF(L$36=".", 1, (L22/L21)^(('Summary, PPI''s'!$L22+'Summary, PPI''s'!$L21)/('Predicted PPIs'!S22+'Predicted PPIs'!S21)))*IF(M$36=".", 1, (M22/M21)^(('Summary, PPI''s'!$M22+'Summary, PPI''s'!$M21)/('Predicted PPIs'!S22+'Predicted PPIs'!S21)))*IF(B$36=".", 1, (B22/B21)^(('Summary, PPI''s'!$B22+'Summary, PPI''s'!$B21)/('Predicted PPIs'!S22+'Predicted PPIs'!S21)))*IF(C$36=".", 1, (C22/C21)^(('Summary, PPI''s'!$C22+'Summary, PPI''s'!$C21)/('Predicted PPIs'!S22+'Predicted PPIs'!S21)))*IF(D$36=".", 1, (D22/D21)^(('Summary, PPI''s'!$D22+'Summary, PPI''s'!$D21)/('Predicted PPIs'!S22+'Predicted PPIs'!S21)))*IF(N$36=".", 1, (N22/N21)^(('Summary, PPI''s'!$N22+'Summary, PPI''s'!$N21)/('Predicted PPIs'!S22+'Predicted PPIs'!S21)))*IF(O$36=".", 1, (O22/O21)^(('Summary, PPI''s'!$O22+'Summary, PPI''s'!$O21)/('Predicted PPIs'!S22+'Predicted PPIs'!S21)))*IF(P$36=".", 1, (P22/P21)^(('Summary, PPI''s'!$P22+'Summary, PPI''s'!$P21)/('Predicted PPIs'!S22+'Predicted PPIs'!S21)))</f>
        <v>81.477689059671093</v>
      </c>
      <c r="AB22" s="4">
        <f>AB21*IF(E$46=".", 1, (E22/E21)^(('Summary, PPI''s'!$E22+'Summary, PPI''s'!$E21)/('Predicted PPIs'!T22+'Predicted PPIs'!T21)))*IF(F$46=".", 1, (F22/F21)^(('Summary, PPI''s'!$F22+'Summary, PPI''s'!$F21)/('Predicted PPIs'!T22+'Predicted PPIs'!T21)))*IF(G$46=".", 1, (G22/G21)^(('Summary, PPI''s'!$G22+'Summary, PPI''s'!$G21)/('Predicted PPIs'!T22+'Predicted PPIs'!T21)))*IF(H$46=".", 1, (H22/H21)^(('Summary, PPI''s'!$H22+'Summary, PPI''s'!$H21)/('Predicted PPIs'!T22+'Predicted PPIs'!T21)))*IF(I$46=".", 1, (I22/I21)^(('Summary, PPI''s'!$I22+'Summary, PPI''s'!$I21)/('Predicted PPIs'!T22+'Predicted PPIs'!T21)))*IF(J$46=".", 1, (J22/J21)^(('Summary, PPI''s'!$J22+'Summary, PPI''s'!$J21)/('Predicted PPIs'!T22+'Predicted PPIs'!T21)))*IF(K$46=".", 1, (K22/K21)^(('Summary, PPI''s'!$K22+'Summary, PPI''s'!$K21)/('Predicted PPIs'!T22+'Predicted PPIs'!T21)))*IF(L$46=".", 1, (L22/L21)^(('Summary, PPI''s'!$L22+'Summary, PPI''s'!$L21)/('Predicted PPIs'!T22+'Predicted PPIs'!T21)))*IF(M$46=".", 1, (M22/M21)^(('Summary, PPI''s'!$M22+'Summary, PPI''s'!$M21)/('Predicted PPIs'!T22+'Predicted PPIs'!T21)))*IF(B$46=".", 1, (B22/B21)^(('Summary, PPI''s'!$B22+'Summary, PPI''s'!$B21)/('Predicted PPIs'!T22+'Predicted PPIs'!T21)))*IF(C$46=".", 1, (C22/C21)^(('Summary, PPI''s'!$C22+'Summary, PPI''s'!$C21)/('Predicted PPIs'!T22+'Predicted PPIs'!T21)))*IF(D$46=".", 1, (D22/D21)^(('Summary, PPI''s'!$D22+'Summary, PPI''s'!$D21)/('Predicted PPIs'!T22+'Predicted PPIs'!T21)))*IF(N$46=".", 1, (N22/N21)^(('Summary, PPI''s'!$N22+'Summary, PPI''s'!$N21)/('Predicted PPIs'!T22+'Predicted PPIs'!T21)))*IF(O$46=".", 1, (O22/O21)^(('Summary, PPI''s'!$O22+'Summary, PPI''s'!$O21)/('Predicted PPIs'!T22+'Predicted PPIs'!T21)))*IF(P$46=".", 1, (P22/P21)^(('Summary, PPI''s'!$P22+'Summary, PPI''s'!$P21)/('Predicted PPIs'!T22+'Predicted PPIs'!T21)))</f>
        <v>80.927528091997104</v>
      </c>
      <c r="AC22" s="4">
        <f>AC21*IF(E$60=".",1,(E22/E21)^(('Summary, PPI''s'!$E22+'Summary, PPI''s'!$E21)/('Predicted PPIs'!U22+'Predicted PPIs'!U21)))*IF(F$60=".",1,(F22/F21)^(('Summary, PPI''s'!$F22+'Summary, PPI''s'!$F21)/('Predicted PPIs'!U22+'Predicted PPIs'!U21)))*IF(G$60=".",1,(G22/G21)^(('Summary, PPI''s'!$G22+'Summary, PPI''s'!$G21)/('Predicted PPIs'!U22+'Predicted PPIs'!U21)))*IF(H$60=".",1,(H22/H21)^(('Summary, PPI''s'!$H22+'Summary, PPI''s'!$H21)/('Predicted PPIs'!U22+'Predicted PPIs'!U21)))*IF(I$60=".",1,(I22/I21)^(('Summary, PPI''s'!$I22+'Summary, PPI''s'!$I21)/('Predicted PPIs'!U22+'Predicted PPIs'!U21)))*IF(J$60=".",1,(J22/J21)^(('Summary, PPI''s'!$J22+'Summary, PPI''s'!$J21)/('Predicted PPIs'!U22+'Predicted PPIs'!U21)))*IF(K$60=".",1,(K22/K21)^(('Summary, PPI''s'!$K22+'Summary, PPI''s'!$K21)/('Predicted PPIs'!U22+'Predicted PPIs'!U21)))*IF(L$60=".",1,(L22/L21)^(('Summary, PPI''s'!$L22+'Summary, PPI''s'!$L21)/('Predicted PPIs'!U22+'Predicted PPIs'!U21)))*IF(M$60=".",1,(M22/M21)^(('Summary, PPI''s'!$M22+'Summary, PPI''s'!$M21)/('Predicted PPIs'!U22+'Predicted PPIs'!U21)))*IF(B$60=".",1,(B22/B21)^(('Summary, PPI''s'!$B22+'Summary, PPI''s'!$B21)/('Predicted PPIs'!U22+'Predicted PPIs'!U21)))*IF(C$60=".",1,(C22/C21)^(('Summary, PPI''s'!$C22+'Summary, PPI''s'!$C21)/('Predicted PPIs'!U22+'Predicted PPIs'!U21)))*IF(D$60=".",1,(D22/D21)^(('Summary, PPI''s'!$D22+'Summary, PPI''s'!$D21)/('Predicted PPIs'!U22+'Predicted PPIs'!U21)))*IF(N$60=".",1,(N22/N21)^(('Summary, PPI''s'!$N22+'Summary, PPI''s'!$N21)/('Predicted PPIs'!U22+'Predicted PPIs'!U21)))*IF(O$60=".",1,(O22/O21)^(('Summary, PPI''s'!$O22+'Summary, PPI''s'!$O21)/('Predicted PPIs'!U22+'Predicted PPIs'!U21)))*IF(P$60=".",1,(P22/P21)^(('Summary, PPI''s'!$P22+'Summary, PPI''s'!$P21)/('Predicted PPIs'!U22+'Predicted PPIs'!U21)))</f>
        <v>88.550771232963967</v>
      </c>
      <c r="AD22" s="4">
        <f>AD21*IF(E$73=".", 1, (E22/E21)^(('Summary, PPI''s'!$E22+'Summary, PPI''s'!$E21)/('Predicted PPIs'!V22+'Predicted PPIs'!V21)))*IF(F$73=".", 1, (F22/F21)^(('Summary, PPI''s'!$F22+'Summary, PPI''s'!$F21)/('Predicted PPIs'!V22+'Predicted PPIs'!V21)))*IF(G$73=".", 1, (G22/G21)^(('Summary, PPI''s'!$G22+'Summary, PPI''s'!$G21)/('Predicted PPIs'!V22+'Predicted PPIs'!V21)))*IF(H$73=".", 1, (H22/H21)^(('Summary, PPI''s'!$H22+'Summary, PPI''s'!$H21)/('Predicted PPIs'!V22+'Predicted PPIs'!V21)))*IF(I$73=".", 1, (I22/I21)^(('Summary, PPI''s'!$I22+'Summary, PPI''s'!$I21)/('Predicted PPIs'!V22+'Predicted PPIs'!V21)))*IF(J$73=".", 1, (J22/J21)^(('Summary, PPI''s'!$J22+'Summary, PPI''s'!$J21)/('Predicted PPIs'!V22+'Predicted PPIs'!V21)))*IF(K$73=".", 1, (K22/K21)^(('Summary, PPI''s'!$K22+'Summary, PPI''s'!$K21)/('Predicted PPIs'!V22+'Predicted PPIs'!V21)))*IF(L$73=".", 1, (L22/L21)^(('Summary, PPI''s'!$L22+'Summary, PPI''s'!$L21)/('Predicted PPIs'!V22+'Predicted PPIs'!V21)))*IF(M$73=".", 1, (M22/M21)^(('Summary, PPI''s'!$M22+'Summary, PPI''s'!$M21)/('Predicted PPIs'!V22+'Predicted PPIs'!V21)))*IF(B$73=".", 1, (B22/B21)^(('Summary, PPI''s'!$B22+'Summary, PPI''s'!$B21)/('Predicted PPIs'!V22+'Predicted PPIs'!V21)))*IF(C$73=".", 1, (C22/C21)^(('Summary, PPI''s'!$C22+'Summary, PPI''s'!$C21)/('Predicted PPIs'!V22+'Predicted PPIs'!V21)))*IF(D$73=".", 1, (D22/D21)^(('Summary, PPI''s'!$D22+'Summary, PPI''s'!$D21)/('Predicted PPIs'!V22+'Predicted PPIs'!V21)))*IF(N$73=".", 1, (N22/N21)^(('Summary, PPI''s'!$N22+'Summary, PPI''s'!$N21)/('Predicted PPIs'!V22+'Predicted PPIs'!V21)))*IF(O$73=".", 1, (O22/O21)^(('Summary, PPI''s'!$O22+'Summary, PPI''s'!$O21)/('Predicted PPIs'!V22+'Predicted PPIs'!V21)))*IF(P$73=".", 1, (P22/P21)^(('Summary, PPI''s'!$P22+'Summary, PPI''s'!$P21)/('Predicted PPIs'!V22+'Predicted PPIs'!V21)))</f>
        <v>89.157255236351276</v>
      </c>
      <c r="AE22" s="4">
        <f>AE21*IF(E$94=".", 1, (E22/E21)^(('Summary, PPI''s'!$E22+'Summary, PPI''s'!$E21)/('Predicted PPIs'!W22+'Predicted PPIs'!W21)))*IF(F$94=".", 1, (F22/F21)^(('Summary, PPI''s'!$F22+'Summary, PPI''s'!$F21)/('Predicted PPIs'!W22+'Predicted PPIs'!W21)))*IF(G$94=".", 1, (G22/G21)^(('Summary, PPI''s'!$G22+'Summary, PPI''s'!$G21)/('Predicted PPIs'!W22+'Predicted PPIs'!W21)))*IF(H$94=".", 1, (H22/H21)^(('Summary, PPI''s'!$H22+'Summary, PPI''s'!$H21)/('Predicted PPIs'!W22+'Predicted PPIs'!W21)))*IF(I$94=".", 1, (I22/I21)^(('Summary, PPI''s'!$I22+'Summary, PPI''s'!$I21)/('Predicted PPIs'!W22+'Predicted PPIs'!W21)))*IF(J$94=".", 1, (J22/J21)^(('Summary, PPI''s'!$J22+'Summary, PPI''s'!$J21)/('Predicted PPIs'!W22+'Predicted PPIs'!W21)))*IF(K$94=".", 1, (K22/K21)^(('Summary, PPI''s'!$K22+'Summary, PPI''s'!$K21)/('Predicted PPIs'!W22+'Predicted PPIs'!W21)))*IF(L$94=".", 1, (L22/L21)^(('Summary, PPI''s'!$L22+'Summary, PPI''s'!$L21)/('Predicted PPIs'!W22+'Predicted PPIs'!W21)))*IF(M$94=".", 1, (M22/M21)^(('Summary, PPI''s'!$M22+'Summary, PPI''s'!$M21)/('Predicted PPIs'!W22+'Predicted PPIs'!W21)))*IF(B$94=".", 1, (B22/B21)^(('Summary, PPI''s'!$B22+'Summary, PPI''s'!$B21)/('Predicted PPIs'!W22+'Predicted PPIs'!W21)))*IF(C$94=".", 1, (C22/C21)^(('Summary, PPI''s'!$C22+'Summary, PPI''s'!$C21)/('Predicted PPIs'!W22+'Predicted PPIs'!W21)))*IF(D$94=".", 1, (D22/D21)^(('Summary, PPI''s'!$D22+'Summary, PPI''s'!$D21)/('Predicted PPIs'!W22+'Predicted PPIs'!W21)))*IF(N$94=".", 1, (N22/N21)^(('Summary, PPI''s'!$N22+'Summary, PPI''s'!$N21)/('Predicted PPIs'!W22+'Predicted PPIs'!W21)))*IF(O$94=".", 1, (O22/O21)^(('Summary, PPI''s'!$O22+'Summary, PPI''s'!$O21)/('Predicted PPIs'!W22+'Predicted PPIs'!W21)))*IF(P$94=".", 1, (P22/P21)^(('Summary, PPI''s'!$P22+'Summary, PPI''s'!$P21)/('Predicted PPIs'!W22+'Predicted PPIs'!W21)))</f>
        <v>82.220647689563563</v>
      </c>
      <c r="AF22" s="4">
        <f>AF21*IF(E$123=".", 1, (E22/E21)^(('Summary, PPI''s'!$E22+'Summary, PPI''s'!$E21)/('Predicted PPIs'!X22+'Predicted PPIs'!X21)))*IF(F$123=".", 1, (F22/F21)^(('Summary, PPI''s'!$F22+'Summary, PPI''s'!$F21)/('Predicted PPIs'!X22+'Predicted PPIs'!X21)))*IF(G$123=".", 1, (G22/G21)^(('Summary, PPI''s'!$G22+'Summary, PPI''s'!$G21)/('Predicted PPIs'!X22+'Predicted PPIs'!X21)))*IF(H$123=".", 1, (H22/H21)^(('Summary, PPI''s'!$H22+'Summary, PPI''s'!$H21)/('Predicted PPIs'!X22+'Predicted PPIs'!X21)))*IF(I$123=".", 1, (I22/I21)^(('Summary, PPI''s'!$I22+'Summary, PPI''s'!$I21)/('Predicted PPIs'!X22+'Predicted PPIs'!X21)))*IF(J$123=".", 1, (J22/J21)^(('Summary, PPI''s'!$J22+'Summary, PPI''s'!$J21)/('Predicted PPIs'!X22+'Predicted PPIs'!X21)))*IF(K$123=".", 1, (K22/K21)^(('Summary, PPI''s'!$K22+'Summary, PPI''s'!$K21)/('Predicted PPIs'!X22+'Predicted PPIs'!X21)))*IF(L$123=".", 1, (L22/L21)^(('Summary, PPI''s'!$L22+'Summary, PPI''s'!$L21)/('Predicted PPIs'!X22+'Predicted PPIs'!X21)))*IF(M$123=".", 1, (M22/M21)^(('Summary, PPI''s'!$M22+'Summary, PPI''s'!$M21)/('Predicted PPIs'!X22+'Predicted PPIs'!X21)))*IF(B$123=".", 1, (B22/B21)^(('Summary, PPI''s'!$B22+'Summary, PPI''s'!$B21)/('Predicted PPIs'!X22+'Predicted PPIs'!X21)))*IF(C$123=".", 1, (C22/C21)^(('Summary, PPI''s'!$C22+'Summary, PPI''s'!$C21)/('Predicted PPIs'!X22+'Predicted PPIs'!X21)))*IF(D$123=".", 1, (D22/D21)^(('Summary, PPI''s'!$D22+'Summary, PPI''s'!$D21)/('Predicted PPIs'!X22+'Predicted PPIs'!X21)))*IF(N$123=".", 1, (N22/N21)^(('Summary, PPI''s'!$N22+'Summary, PPI''s'!$N21)/('Predicted PPIs'!X22+'Predicted PPIs'!X21)))*IF(O$123=".", 1, (O22/O21)^(('Summary, PPI''s'!$O22+'Summary, PPI''s'!$O21)/('Predicted PPIs'!X22+'Predicted PPIs'!X21)))*IF(P$123=".", 1, (P22/P21)^(('Summary, PPI''s'!$P22+'Summary, PPI''s'!$P21)/('Predicted PPIs'!X22+'Predicted PPIs'!X21)))</f>
        <v>76.595560385125125</v>
      </c>
      <c r="AH22" s="13">
        <f t="shared" si="32"/>
        <v>91.91678317926899</v>
      </c>
      <c r="AJ22" s="4">
        <v>7073.8</v>
      </c>
      <c r="AK22" s="4">
        <v>-0.28599999999999998</v>
      </c>
      <c r="AL22" s="4">
        <v>-829.18399999999997</v>
      </c>
      <c r="AM22" s="4">
        <v>-13.141999999999999</v>
      </c>
      <c r="AN22" s="4">
        <v>7612.2</v>
      </c>
      <c r="AO22" s="4">
        <v>1950.5</v>
      </c>
      <c r="AP22" s="4">
        <f>955.617+0.008+0.226+11.505-1020.645</f>
        <v>-53.288999999999987</v>
      </c>
      <c r="AQ22" s="4">
        <f>686.19+11.786+9.699+30.008-1062.369</f>
        <v>-324.68599999999992</v>
      </c>
      <c r="AR22" s="4">
        <v>-35.9</v>
      </c>
      <c r="AS22" s="4">
        <f>-54.688</f>
        <v>-54.688000000000002</v>
      </c>
      <c r="AT22" s="4">
        <v>79.656000000000006</v>
      </c>
      <c r="AU22" s="4">
        <v>68.363</v>
      </c>
      <c r="AV22" s="4">
        <v>77.906999999999996</v>
      </c>
      <c r="AW22" s="4">
        <v>67.093000000000004</v>
      </c>
      <c r="AX22" s="4">
        <v>71.947999999999993</v>
      </c>
      <c r="AY22" s="4">
        <v>87.241</v>
      </c>
      <c r="AZ22" s="4">
        <v>58.177999999999997</v>
      </c>
      <c r="BA22" s="4">
        <v>80.888999999999996</v>
      </c>
      <c r="BB22" s="4">
        <v>104.748</v>
      </c>
      <c r="BC22" s="4">
        <v>95.557000000000002</v>
      </c>
      <c r="BG22" s="4">
        <f>BG21*((AJ22/AT22)/(AJ21/AT21))^((AJ22+AJ21)/SUM(AJ21:AS22))*((AK22/AU22)/(AK21/AU21))^((AK22+AK21)/SUM(AJ21:AS22))*((AL22/AV22)/(AL21/AV21))^((AL22+AL21)/SUM(AJ21:AS22))*((AM22/AW22)/(AM21/AW21))^((AM22+AM21)/SUM(AJ21:AS22))*((AN22/AX22)/(AN21/AX21))^((AN22+AN21)/SUM(AJ21:AS22))*((AO22/AY22)/(AO21/AY21))^((AO22+AO21)/SUM(AJ21:AS22))*((AP22/AZ22)/(AP21/AZ21))^((AP22+AP21)/SUM(AJ21:AS22))*((AQ22/BA22)/(AQ21/BA21))^((AQ22+AQ21)/SUM(AJ21:AS22))*((AR22/BB22)/(AR21/BB21))^((AR22+AR21)/SUM(AJ21:AS22))*((AS22/BC22)/(AS21/BC21))^((AS22+AS21)/SUM(AJ21:AS22))</f>
        <v>85.669734628605866</v>
      </c>
      <c r="BI22" s="4">
        <f>BI$13*'[2]Ordinary Experience'!$D$404/'[2]Ordinary Experience'!$D$413</f>
        <v>284286408.0494805</v>
      </c>
      <c r="BJ22" s="4">
        <f>'[2]Ordinary Experience'!$E$404</f>
        <v>21.254044483010301</v>
      </c>
      <c r="BL22" s="4">
        <f t="shared" si="0"/>
        <v>96.555895617911617</v>
      </c>
      <c r="BM22" s="4">
        <f t="shared" si="34"/>
        <v>-1.4492968319855137E-2</v>
      </c>
      <c r="BO22" s="4">
        <f>IF(OR('Summary, hourly ad costs'!R22=-9999,'Summary, PPI''s'!R22="."),".",(('Summary, hourly ad costs'!B22/'Summary, hourly ad costs'!R22)*100/('Summary, hourly ad costs'!B$11/'Summary, hourly ad costs'!R$11))/('Summary, PPI''s'!R22))</f>
        <v>0.91484425300408101</v>
      </c>
      <c r="BP22" s="4" t="str">
        <f>IF(OR('Summary, hourly ad costs'!S22=-9999,'Summary, PPI''s'!S22="."),".",(('Summary, hourly ad costs'!C22/'Summary, hourly ad costs'!S22)*100/('Summary, hourly ad costs'!C$11/'Summary, hourly ad costs'!S$11))/('Summary, PPI''s'!S22))</f>
        <v>.</v>
      </c>
      <c r="BQ22" s="4" t="str">
        <f>IF(OR('Summary, hourly ad costs'!T22=-9999,'Summary, PPI''s'!T22="."),".",(('Summary, hourly ad costs'!D22/'Summary, hourly ad costs'!T22)*100/('Summary, hourly ad costs'!D$11/'Summary, hourly ad costs'!T$11))/('Summary, PPI''s'!T22))</f>
        <v>.</v>
      </c>
      <c r="BR22" s="4">
        <f>IF(OR('Summary, hourly ad costs'!U22=-9999,'Summary, PPI''s'!U22="."),".",(('Summary, hourly ad costs'!E22/'Summary, hourly ad costs'!U22)*100/('Summary, hourly ad costs'!E$11/'Summary, hourly ad costs'!U$11))/('Summary, PPI''s'!U22))</f>
        <v>1.8201297236120302</v>
      </c>
      <c r="BS22" s="4">
        <f>IF(OR('Summary, hourly ad costs'!V22=-9999,'Summary, PPI''s'!V22="."),".",(('Summary, hourly ad costs'!F22/'Summary, hourly ad costs'!V22)*100/('Summary, hourly ad costs'!F$11/'Summary, hourly ad costs'!V$11))/('Summary, PPI''s'!V22))</f>
        <v>1.9423645578329876</v>
      </c>
      <c r="BT22" s="4" t="str">
        <f>IF(OR('Summary, hourly ad costs'!W22=-9999,'Summary, PPI''s'!W22="."),".",(('Summary, hourly ad costs'!G22/'Summary, hourly ad costs'!W22)*100/('Summary, hourly ad costs'!G$11/'Summary, hourly ad costs'!W$11))/('Summary, PPI''s'!W22))</f>
        <v>.</v>
      </c>
      <c r="BU22" s="4">
        <f>IF(OR('Summary, hourly ad costs'!X22=-9999,'Summary, PPI''s'!X22="."),".",(('Summary, hourly ad costs'!H22/'Summary, hourly ad costs'!X22)*100/('Summary, hourly ad costs'!H$11/'Summary, hourly ad costs'!X$11))/('Summary, PPI''s'!X22))</f>
        <v>1.1130949677615485</v>
      </c>
      <c r="BV22" s="4">
        <f>IF(OR('Summary, hourly ad costs'!Y22=-9999,'Summary, PPI''s'!Y22="."),".",(('Summary, hourly ad costs'!I22/'Summary, hourly ad costs'!Y22)*100/('Summary, hourly ad costs'!I$11/'Summary, hourly ad costs'!Y$11))/('Summary, PPI''s'!Y22))</f>
        <v>0.84901093216689183</v>
      </c>
      <c r="BW22" s="4">
        <f>IF(OR('Summary, hourly ad costs'!Z22=-9999,'Summary, PPI''s'!Z22="."),".",(('Summary, hourly ad costs'!J22/'Summary, hourly ad costs'!Z22)*100/('Summary, hourly ad costs'!J$11/'Summary, hourly ad costs'!Z$11))/('Summary, PPI''s'!Z22))</f>
        <v>0.83868003366131028</v>
      </c>
      <c r="BX22" s="4">
        <f>IF(OR('Summary, hourly ad costs'!AA22=-9999,'Summary, PPI''s'!AA22="."),".",(('Summary, hourly ad costs'!K22/'Summary, hourly ad costs'!AA22)*100/('Summary, hourly ad costs'!K$11/'Summary, hourly ad costs'!AA$11))/('Summary, PPI''s'!AA22))</f>
        <v>1.375249797084624</v>
      </c>
      <c r="BY22" s="4" t="str">
        <f>IF(OR('Summary, hourly ad costs'!AB22=-9999,'Summary, PPI''s'!AB22="."),".",(('Summary, hourly ad costs'!L22/'Summary, hourly ad costs'!AB22)*100/('Summary, hourly ad costs'!L$11/'Summary, hourly ad costs'!AB$11))/('Summary, PPI''s'!AB22))</f>
        <v>.</v>
      </c>
      <c r="BZ22" s="4" t="str">
        <f>IF(OR('Summary, hourly ad costs'!AC22=-9999,'Summary, PPI''s'!AC22="."),".",(('Summary, hourly ad costs'!M22/'Summary, hourly ad costs'!AC22)*100/('Summary, hourly ad costs'!M$11/'Summary, hourly ad costs'!AC$11))/('Summary, PPI''s'!AC22))</f>
        <v>.</v>
      </c>
      <c r="CA22" s="4" t="str">
        <f>IF(OR('Summary, hourly ad costs'!AD22=-9999,'Summary, PPI''s'!AD22="."),".",(('Summary, hourly ad costs'!N22/'Summary, hourly ad costs'!AD22)*100/('Summary, hourly ad costs'!N$11/'Summary, hourly ad costs'!AD$11))/('Summary, PPI''s'!AD22))</f>
        <v>.</v>
      </c>
      <c r="CB22" s="4" t="str">
        <f>IF(OR('Summary, hourly ad costs'!AE22=-9999,'Summary, PPI''s'!AE22="."),".",(('Summary, hourly ad costs'!O22/'Summary, hourly ad costs'!AE22)*100/('Summary, hourly ad costs'!O$11/'Summary, hourly ad costs'!AE$11))/('Summary, PPI''s'!AE22))</f>
        <v>.</v>
      </c>
      <c r="CC22" s="4" t="str">
        <f>IF(OR('Summary, hourly ad costs'!AF22=-9999,'Summary, PPI''s'!AF22="."),".",(('Summary, hourly ad costs'!P22/'Summary, hourly ad costs'!AF22)*100/('Summary, hourly ad costs'!P$11/'Summary, hourly ad costs'!AF$11))/('Summary, PPI''s'!AF22))</f>
        <v>.</v>
      </c>
      <c r="CE22" s="4">
        <f t="shared" si="51"/>
        <v>0.11871357084992273</v>
      </c>
      <c r="CF22" s="4" t="str">
        <f t="shared" si="52"/>
        <v>.</v>
      </c>
      <c r="CG22" s="4" t="str">
        <f t="shared" si="53"/>
        <v>.</v>
      </c>
      <c r="CH22" s="4">
        <f t="shared" si="54"/>
        <v>-0.11968161447026116</v>
      </c>
      <c r="CI22" s="4">
        <f t="shared" si="55"/>
        <v>-0.14644985547453293</v>
      </c>
      <c r="CJ22" s="4" t="str">
        <f t="shared" si="56"/>
        <v>.</v>
      </c>
      <c r="CK22" s="4">
        <f t="shared" si="57"/>
        <v>-4.865671354770118E-5</v>
      </c>
      <c r="CL22" s="4">
        <f t="shared" si="58"/>
        <v>-7.6969710584792406E-2</v>
      </c>
      <c r="CM22" s="4">
        <f t="shared" si="59"/>
        <v>-7.6504955409832931E-2</v>
      </c>
      <c r="CN22" s="4">
        <f t="shared" si="60"/>
        <v>-0.10957135656392314</v>
      </c>
      <c r="CO22" s="4">
        <f t="shared" si="61"/>
        <v>-0.10107290484008821</v>
      </c>
      <c r="CP22" s="4">
        <f t="shared" si="61"/>
        <v>0.22926766449619879</v>
      </c>
      <c r="CQ22" s="4" t="str">
        <f t="shared" si="62"/>
        <v>.</v>
      </c>
      <c r="CR22" s="4" t="str">
        <f t="shared" si="63"/>
        <v>.</v>
      </c>
      <c r="CS22" s="4" t="str">
        <f t="shared" si="64"/>
        <v>.</v>
      </c>
      <c r="CU22" s="5">
        <f>IF(CU21=".", ".", IF('Summary, PPI''s'!R22=".",IF(OR('Summary, hourly ad costs'!R22=-9999,'Summary, hourly ad costs'!R22=0), ".", 'Predicted PPIs'!CU21*('Summary, hourly ad costs'!B22/'Summary, hourly ad costs'!R22)/('Summary, hourly ad costs'!B21/'Summary, hourly ad costs'!R21)/(1-CE21)), 'Summary, PPI''s'!R22))</f>
        <v>98.292878100826883</v>
      </c>
      <c r="CV22" s="5">
        <f>IF(CV21=".", ".", IF('Summary, PPI''s'!S22=".",IF(OR('Summary, hourly ad costs'!S22=-9999,'Summary, hourly ad costs'!S22=0), ".", 'Predicted PPIs'!CV21*('Summary, hourly ad costs'!C22/'Summary, hourly ad costs'!S22)/('Summary, hourly ad costs'!C21/'Summary, hourly ad costs'!S21)/(1-CF21)), 'Summary, PPI''s'!S22))</f>
        <v>98.292878100826883</v>
      </c>
      <c r="CW22" s="5">
        <f>IF(CW21=".", ".", IF('Summary, PPI''s'!T22=".",IF(OR('Summary, hourly ad costs'!T22=-9999,'Summary, hourly ad costs'!T22=0), ".", 'Predicted PPIs'!CW21*('Summary, hourly ad costs'!D22/'Summary, hourly ad costs'!T22)/('Summary, hourly ad costs'!D21/'Summary, hourly ad costs'!T21)/(1-CG21)), 'Summary, PPI''s'!T22))</f>
        <v>87.562289223335185</v>
      </c>
      <c r="CX22" s="5">
        <f>IF(CX21=".", ".", IF('Summary, PPI''s'!U22=".",IF(OR('Summary, hourly ad costs'!U22=-9999,'Summary, hourly ad costs'!U22=0), ".", 'Predicted PPIs'!CX21*('Summary, hourly ad costs'!E22/'Summary, hourly ad costs'!U22)/('Summary, hourly ad costs'!E21/'Summary, hourly ad costs'!U21)/(1-CH21)), 'Summary, PPI''s'!U22))</f>
        <v>77.740406989042611</v>
      </c>
      <c r="CY22" s="5">
        <f>IF(CY21=".", ".", IF('Summary, PPI''s'!V22=".",IF(OR('Summary, hourly ad costs'!V22=-9999,'Summary, hourly ad costs'!V22=0), ".", 'Predicted PPIs'!CY21*('Summary, hourly ad costs'!F22/'Summary, hourly ad costs'!V22)/('Summary, hourly ad costs'!F21/'Summary, hourly ad costs'!V21)/(1-CI21)), 'Summary, PPI''s'!V22))</f>
        <v>71.075826846245732</v>
      </c>
      <c r="CZ22" s="5">
        <f>IF(CZ21=".", ".", IF('Summary, PPI''s'!W22=".",IF(OR('Summary, hourly ad costs'!W22=-9999,'Summary, hourly ad costs'!W22=0), ".", 'Predicted PPIs'!CZ21*('Summary, hourly ad costs'!G22/'Summary, hourly ad costs'!W22)/('Summary, hourly ad costs'!G21/'Summary, hourly ad costs'!W21)/(1-CJ21)), 'Summary, PPI''s'!W22))</f>
        <v>75.993314371169717</v>
      </c>
      <c r="DA22" s="5">
        <f>IF(DA21=".", ".", IF('Summary, PPI''s'!X22=".",IF(OR('Summary, hourly ad costs'!X22=-9999,'Summary, hourly ad costs'!X22=0), ".", 'Predicted PPIs'!DA21*('Summary, hourly ad costs'!H22/'Summary, hourly ad costs'!X22)/('Summary, hourly ad costs'!H21/'Summary, hourly ad costs'!X21)/(1-CK21)), 'Summary, PPI''s'!X22))</f>
        <v>74.075999999999993</v>
      </c>
      <c r="DB22" s="5">
        <f>IF(DB21=".", ".", IF('Summary, PPI''s'!Y22=".",IF(OR('Summary, hourly ad costs'!Y22=-9999,'Summary, hourly ad costs'!Y22=0), ".", 'Predicted PPIs'!DB21*('Summary, hourly ad costs'!I22/'Summary, hourly ad costs'!Y22)/('Summary, hourly ad costs'!I21/'Summary, hourly ad costs'!Y21)/(1-CL21)), 'Summary, PPI''s'!Y22))</f>
        <v>97.175595384352576</v>
      </c>
      <c r="DC22" s="5">
        <f>IF(DC21=".", ".", IF('Summary, PPI''s'!Z22=".",IF(OR('Summary, hourly ad costs'!Z22=-9999,'Summary, hourly ad costs'!Z22=0), ".", 'Predicted PPIs'!DC21*('Summary, hourly ad costs'!J22/'Summary, hourly ad costs'!Z22)/('Summary, hourly ad costs'!J21/'Summary, hourly ad costs'!Z21)/(1-CM21)), 'Summary, PPI''s'!Z22))</f>
        <v>97.062362487974028</v>
      </c>
      <c r="DD22" s="5">
        <f>IF(DD21=".", ".", IF('Summary, PPI''s'!AA22=".",IF(OR('Summary, hourly ad costs'!AA22=-9999,'Summary, hourly ad costs'!AA22=0), ".", 'Predicted PPIs'!DD21*('Summary, hourly ad costs'!K22/'Summary, hourly ad costs'!AA22)/('Summary, hourly ad costs'!K21/'Summary, hourly ad costs'!AA21)/(1-CN21)), 'Summary, PPI''s'!AA22))</f>
        <v>70.18455779432459</v>
      </c>
      <c r="DE22" s="5">
        <f>IF(DE21=".", ".", IF('Summary, PPI''s'!AB22=".",IF(OR('Summary, hourly ad costs'!AB22=-9999,'Summary, hourly ad costs'!AB22=0), ".", 'Predicted PPIs'!DE21*('Summary, hourly ad costs'!L22/'Summary, hourly ad costs'!AB22)/('Summary, hourly ad costs'!L21/'Summary, hourly ad costs'!AB21)/(1-CO21)), 'Summary, PPI''s'!AB22))</f>
        <v>119.87330940871905</v>
      </c>
      <c r="DF22" s="5">
        <f>IF(DF21=".", ".", IF('Summary, PPI''s'!AC22=".",IF(OR('Summary, hourly ad costs'!AC22=-9999,'Summary, hourly ad costs'!AC22=0), ".", 'Predicted PPIs'!DF21*('Summary, hourly ad costs'!M22/'Summary, hourly ad costs'!AC22)/('Summary, hourly ad costs'!M21/'Summary, hourly ad costs'!AC21)/(1-CP21)), 'Summary, PPI''s'!AC22))</f>
        <v>552.8732434185473</v>
      </c>
      <c r="DG22" s="5">
        <f>IF(DG21=".", ".", IF('Summary, PPI''s'!AD22=".",IF(OR('Summary, hourly ad costs'!AD22=-9999,'Summary, hourly ad costs'!AD22=0), ".", 'Predicted PPIs'!DG21*('Summary, hourly ad costs'!N22/'Summary, hourly ad costs'!AD22)/('Summary, hourly ad costs'!N21/'Summary, hourly ad costs'!AD21)/(1-CQ21)), 'Summary, PPI''s'!AD22))</f>
        <v>89.211671359099071</v>
      </c>
      <c r="DH22" s="5">
        <f>IF(DH21=".", ".", IF('Summary, PPI''s'!AE22=".",IF(OR('Summary, hourly ad costs'!AE22=-9999,'Summary, hourly ad costs'!AE22=0), ".", 'Predicted PPIs'!DH21*('Summary, hourly ad costs'!O22/'Summary, hourly ad costs'!AE22)/('Summary, hourly ad costs'!O21/'Summary, hourly ad costs'!AE21)/(1-CR21)), 'Summary, PPI''s'!AE22))</f>
        <v>70.950999999999993</v>
      </c>
      <c r="DI22" s="5">
        <f>IF(DI21=".", ".", IF('Summary, PPI''s'!AF22=".",IF(OR('Summary, hourly ad costs'!AF22=-9999,'Summary, hourly ad costs'!AF22=0), ".", 'Predicted PPIs'!DI21*('Summary, hourly ad costs'!P22/'Summary, hourly ad costs'!AF22)/('Summary, hourly ad costs'!P21/'Summary, hourly ad costs'!AF21)/(1-CS21)), 'Summary, PPI''s'!AF22))</f>
        <v>76.504999999999995</v>
      </c>
      <c r="DK22" s="4">
        <v>66.965999999999994</v>
      </c>
      <c r="DM22" s="5">
        <f t="shared" si="16"/>
        <v>-3.2215279593885149E-2</v>
      </c>
      <c r="DN22" s="5">
        <f t="shared" si="17"/>
        <v>-3.2215279593885149E-2</v>
      </c>
      <c r="DO22" s="5">
        <f t="shared" si="18"/>
        <v>-1.766227787509389E-2</v>
      </c>
      <c r="DP22" s="5">
        <f t="shared" si="19"/>
        <v>2.1363047749773934E-3</v>
      </c>
      <c r="DQ22" s="5">
        <f t="shared" si="20"/>
        <v>3.5724326220831548E-2</v>
      </c>
      <c r="DR22" s="5">
        <f t="shared" si="21"/>
        <v>-1.0833926208004607E-2</v>
      </c>
      <c r="DS22" s="5">
        <f t="shared" si="22"/>
        <v>-1.1171351026500576E-2</v>
      </c>
      <c r="DT22" s="5">
        <f t="shared" si="23"/>
        <v>-3.8019702710370584E-2</v>
      </c>
      <c r="DU22" s="5">
        <f t="shared" si="24"/>
        <v>-2.6577943257875214E-2</v>
      </c>
      <c r="DV22" s="5">
        <f t="shared" si="25"/>
        <v>6.0325109043399827E-3</v>
      </c>
      <c r="DW22" s="5">
        <f t="shared" si="26"/>
        <v>-0.27764225631753459</v>
      </c>
      <c r="DX22" s="5">
        <f t="shared" si="27"/>
        <v>8.3236629304643817E-2</v>
      </c>
      <c r="DY22" s="5">
        <f t="shared" si="28"/>
        <v>5.2615762484329309E-3</v>
      </c>
      <c r="DZ22" s="5">
        <f t="shared" si="29"/>
        <v>6.2385799992039637E-3</v>
      </c>
      <c r="EA22" s="5">
        <f t="shared" si="30"/>
        <v>-9.4432561153168226E-3</v>
      </c>
      <c r="EC22" s="1">
        <f t="shared" si="35"/>
        <v>98.292878100826883</v>
      </c>
      <c r="ED22" s="1">
        <f t="shared" si="36"/>
        <v>98.292878100826883</v>
      </c>
      <c r="EE22" s="1">
        <f t="shared" si="37"/>
        <v>87.562289223335185</v>
      </c>
      <c r="EF22" s="1">
        <f t="shared" si="38"/>
        <v>77.740406989042611</v>
      </c>
      <c r="EG22" s="1">
        <f t="shared" si="39"/>
        <v>71.075826846245732</v>
      </c>
      <c r="EH22" s="1">
        <f t="shared" si="40"/>
        <v>75.993314371169717</v>
      </c>
      <c r="EI22" s="1">
        <f t="shared" si="41"/>
        <v>74.075999999999993</v>
      </c>
      <c r="EJ22" s="1">
        <f t="shared" si="42"/>
        <v>97.175595384352576</v>
      </c>
      <c r="EK22" s="1">
        <f t="shared" si="43"/>
        <v>97.062362487974028</v>
      </c>
      <c r="EL22" s="1">
        <f t="shared" si="44"/>
        <v>70.18455779432459</v>
      </c>
      <c r="EM22" s="1">
        <f t="shared" si="45"/>
        <v>119.87330940871905</v>
      </c>
      <c r="EN22" s="1">
        <f t="shared" si="46"/>
        <v>552.8732434185473</v>
      </c>
      <c r="EO22" s="1">
        <f t="shared" si="47"/>
        <v>89.211671359099071</v>
      </c>
      <c r="EP22" s="1">
        <f t="shared" si="48"/>
        <v>70.950999999999993</v>
      </c>
      <c r="EQ22" s="1">
        <f t="shared" si="49"/>
        <v>76.504999999999995</v>
      </c>
      <c r="ES22" s="1">
        <f>IF(EF$26=".", 0, 'Summary, PPI''s'!E22)+IF(EG$26=".", 0, 'Summary, PPI''s'!F22)+IF(EH$26=".", 0, 'Summary, PPI''s'!G22)+IF(EI$26=".", 0, 'Summary, PPI''s'!H22)+IF(EJ$26=".", 0, 'Summary, PPI''s'!I22)+IF(EK$26=".", 0, 'Summary, PPI''s'!J22)+IF(EL$26=".", 0, 'Summary, PPI''s'!K22)+IF(EM$26=".", 0, 'Summary, PPI''s'!L22)+IF(EN$26=".", 0, 'Summary, PPI''s'!M22)+IF(EC$26=".", 0, 'Summary, PPI''s'!B22)+IF(ED$26=".", 0, 'Summary, PPI''s'!C22)+IF(EE$26=".", 0, 'Summary, PPI''s'!D22)+IF(EO$26=".", 0, 'Summary, PPI''s'!N22)+IF(EP$26=".", 0, 'Summary, PPI''s'!O22)+IF(EQ$26=".", 0, 'Summary, PPI''s'!P22)</f>
        <v>246880322.78252468</v>
      </c>
      <c r="ET22" s="1">
        <f>'Summary, hourly ad costs'!E22+'Summary, hourly ad costs'!F22+'Summary, hourly ad costs'!H22+'Summary, hourly ad costs'!I22+'Summary, hourly ad costs'!J22+'Summary, hourly ad costs'!K22+'Summary, hourly ad costs'!L22+'Summary, hourly ad costs'!M22+'Summary, hourly ad costs'!B22</f>
        <v>125601636.69417259</v>
      </c>
      <c r="EV22" s="13">
        <f>EV21*IF(EF$26=".", 1, (EF22/EF21)^(('Summary, PPI''s'!$E22+'Summary, PPI''s'!$E21)/('Predicted PPIs'!ES22+'Predicted PPIs'!ES21)))*IF(EG$26=".", 1, (EG22/EG21)^(('Summary, PPI''s'!$F22+'Summary, PPI''s'!$F21)/('Predicted PPIs'!ES22+'Predicted PPIs'!ES21)))*IF(EH$26=".", 1, (EH22/EH21)^(('Summary, PPI''s'!$G22+'Summary, PPI''s'!$G21)/('Predicted PPIs'!ES22+'Predicted PPIs'!ES21)))*IF(EI$26=".", 1, (EI22/EI21)^(('Summary, PPI''s'!$H22+'Summary, PPI''s'!$H21)/('Predicted PPIs'!ES22+'Predicted PPIs'!ES21)))*IF(EJ$26=".", 1, (EJ22/EJ21)^(('Summary, PPI''s'!$I22+'Summary, PPI''s'!$I21)/('Predicted PPIs'!ES22+'Predicted PPIs'!ES21)))*IF(EK$26=".", 1, (EK22/EK21)^(('Summary, PPI''s'!$J22+'Summary, PPI''s'!$J21)/('Predicted PPIs'!ES22+'Predicted PPIs'!ES21)))*IF(EL$26=".", 1, (EL22/EL21)^(('Summary, PPI''s'!$K22+'Summary, PPI''s'!$K21)/('Predicted PPIs'!ES22+'Predicted PPIs'!ES21)))*IF(EM$26=".", 1, (EM22/EM21)^(('Summary, PPI''s'!$L22+'Summary, PPI''s'!$L21)/('Predicted PPIs'!ES22+'Predicted PPIs'!ES21)))*IF(EN$26=".", 1, (EN22/EN21)^(('Summary, PPI''s'!$M22+'Summary, PPI''s'!$M21)/('Predicted PPIs'!ES22+'Predicted PPIs'!ES21)))*IF(EC$26=".", 1, (EC22/EC21)^(('Summary, PPI''s'!$B22+'Summary, PPI''s'!$B21)/('Predicted PPIs'!ES22+'Predicted PPIs'!ES21)))*IF(ED$26=".", 1, (ED22/ED21)^(('Summary, PPI''s'!$C22+'Summary, PPI''s'!$C21)/('Predicted PPIs'!ES22+'Predicted PPIs'!ES21)))*IF(EE$26=".", 1, (EE22/EE21)^(('Summary, PPI''s'!$D22+'Summary, PPI''s'!$D21)/('Predicted PPIs'!ES22+'Predicted PPIs'!ES21)))*IF(EO$26=".", 1, (EO22/EO21)^(('Summary, PPI''s'!$N22+'Summary, PPI''s'!$N21)/('Predicted PPIs'!ES22+'Predicted PPIs'!ES21)))*IF(EP$26=".", 1, (EP22/EP21)^(('Summary, PPI''s'!$O22+'Summary, PPI''s'!$O21)/('Predicted PPIs'!ES22+'Predicted PPIs'!ES21)))*IF(EQ$26=".", 1, (EQ22/EQ21)^(('Summary, PPI''s'!$P22+'Summary, PPI''s'!$P21)/('Predicted PPIs'!ES22+'Predicted PPIs'!ES21)))</f>
        <v>95.775079409090665</v>
      </c>
      <c r="EW22" s="13">
        <f>EW21*IF(EF$26=".", 1, (EF22/EF21)^(('Summary, PPI''s'!$E22+'Summary, PPI''s'!$E21)/('Predicted PPIs'!ET22+'Predicted PPIs'!ET21)))*IF(EG$26=".", 1, (EG22/EG21)^(('Summary, PPI''s'!$F22+'Summary, PPI''s'!$F21)/('Predicted PPIs'!ET22+'Predicted PPIs'!ET21)))*IF(EH$26=".", 1, (EH22/EH21)^(('Summary, PPI''s'!$G22+'Summary, PPI''s'!$G21)/('Predicted PPIs'!ET22+'Predicted PPIs'!ET21)))*IF(EK$26=".", 1, (EK22/EK21)^(('Summary, PPI''s'!$J22+'Summary, PPI''s'!$J21)/('Predicted PPIs'!ET22+'Predicted PPIs'!ET21)))*IF(EL$26=".", 1, (EL22/EL21)^(('Summary, PPI''s'!$K22+'Summary, PPI''s'!$K21)/('Predicted PPIs'!ET22+'Predicted PPIs'!ET21)))*IF(EM$26=".", 1, (EM22/EM21)^(('Summary, PPI''s'!$L22+'Summary, PPI''s'!$L21)/('Predicted PPIs'!ET22+'Predicted PPIs'!ET21)))*IF(EN$26=".", 1, (EN22/EN21)^(('Summary, PPI''s'!$M22+'Summary, PPI''s'!$M21)/('Predicted PPIs'!ET22+'Predicted PPIs'!ET21)))*IF(EC$26=".", 1, (EC22/EC21)^(('Summary, PPI''s'!$B22+'Summary, PPI''s'!$B21)/('Predicted PPIs'!ET22+'Predicted PPIs'!ET21)))</f>
        <v>107.95769613769237</v>
      </c>
      <c r="EY22" s="2"/>
    </row>
    <row r="23" spans="1:155" x14ac:dyDescent="0.3">
      <c r="A23" s="4">
        <v>2000</v>
      </c>
      <c r="B23" s="10">
        <f>IF(B22=".", ".", IF('Summary, PPI''s'!R23=".",IF(OR('Summary, hourly ad costs'!R23=-9999,'Summary, hourly ad costs'!R23=0), ".", 'Predicted PPIs'!B22*('Summary, hourly ad costs'!B23/'Summary, hourly ad costs'!R23)/('Summary, hourly ad costs'!B22/'Summary, hourly ad costs'!R22)), 'Summary, PPI''s'!R23))</f>
        <v>96.863163510269374</v>
      </c>
      <c r="C23" s="10">
        <f>IF(C22=".", ".", IF('Summary, PPI''s'!S23=".",IF(OR('Summary, hourly ad costs'!S23=-9999,'Summary, hourly ad costs'!S23=0), ".", 'Predicted PPIs'!C22*('Summary, hourly ad costs'!C23/'Summary, hourly ad costs'!S23)/('Summary, hourly ad costs'!C22/'Summary, hourly ad costs'!S22)), 'Summary, PPI''s'!S23))</f>
        <v>96.863163510269374</v>
      </c>
      <c r="D23" s="10">
        <f>IF(D22=".", ".", IF('Summary, PPI''s'!T23=".",IF(OR('Summary, hourly ad costs'!T23=-9999,'Summary, hourly ad costs'!T23=0), ".", 'Predicted PPIs'!D22*('Summary, hourly ad costs'!D23/'Summary, hourly ad costs'!T23)/('Summary, hourly ad costs'!D22/'Summary, hourly ad costs'!T22)), 'Summary, PPI''s'!T23))</f>
        <v>85.01031861881512</v>
      </c>
      <c r="E23" s="10">
        <f>IF(E22=".", ".", IF('Summary, PPI''s'!U23=".",IF(OR('Summary, hourly ad costs'!U23=-9999,'Summary, hourly ad costs'!U23=0), ".", 'Predicted PPIs'!E22*('Summary, hourly ad costs'!E23/'Summary, hourly ad costs'!U23)/('Summary, hourly ad costs'!E22/'Summary, hourly ad costs'!U22)), 'Summary, PPI''s'!U23))</f>
        <v>73.983585057325371</v>
      </c>
      <c r="F23" s="10">
        <f>IF(F22=".", ".", IF('Summary, PPI''s'!V23=".",IF(OR('Summary, hourly ad costs'!V23=-9999,'Summary, hourly ad costs'!V23=0), ".", 'Predicted PPIs'!F22*('Summary, hourly ad costs'!F23/'Summary, hourly ad costs'!V23)/('Summary, hourly ad costs'!F22/'Summary, hourly ad costs'!V22)), 'Summary, PPI''s'!V23))</f>
        <v>65.447506075209049</v>
      </c>
      <c r="G23" s="10">
        <f>IF(G22=".", ".", IF('Summary, PPI''s'!W23=".",IF(OR('Summary, hourly ad costs'!W23=-9999,'Summary, hourly ad costs'!W23=0), ".", 'Predicted PPIs'!G22*('Summary, hourly ad costs'!G23/'Summary, hourly ad costs'!W23)/('Summary, hourly ad costs'!G22/'Summary, hourly ad costs'!W22)), 'Summary, PPI''s'!W23))</f>
        <v>73.269213852153769</v>
      </c>
      <c r="H23" s="10">
        <f>IF(H22=".", ".", IF('Summary, PPI''s'!X23=".",IF(OR('Summary, hourly ad costs'!X23=-9999,'Summary, hourly ad costs'!X23=0), ".", 'Predicted PPIs'!H22*('Summary, hourly ad costs'!H23/'Summary, hourly ad costs'!X23)/('Summary, hourly ad costs'!H22/'Summary, hourly ad costs'!X22)), 'Summary, PPI''s'!X23))</f>
        <v>71.444999999999993</v>
      </c>
      <c r="I23" s="10">
        <f>IF(I22=".", ".", IF('Summary, PPI''s'!Y23=".",IF(OR('Summary, hourly ad costs'!Y23=-9999,'Summary, hourly ad costs'!Y23=0), ".", 'Predicted PPIs'!I22*('Summary, hourly ad costs'!I23/'Summary, hourly ad costs'!Y23)/('Summary, hourly ad costs'!I22/'Summary, hourly ad costs'!Y22)), 'Summary, PPI''s'!Y23))</f>
        <v>96.339944359810204</v>
      </c>
      <c r="J23" s="10">
        <f>IF(J22=".", ".", IF('Summary, PPI''s'!Z23=".",IF(OR('Summary, hourly ad costs'!Z23=-9999,'Summary, hourly ad costs'!Z23=0), ".", 'Predicted PPIs'!J22*('Summary, hourly ad costs'!J23/'Summary, hourly ad costs'!Z23)/('Summary, hourly ad costs'!J22/'Summary, hourly ad costs'!Z22)), 'Summary, PPI''s'!Z23))</f>
        <v>95.096609505210253</v>
      </c>
      <c r="K23" s="10">
        <f>IF(K22=".", ".", IF('Summary, PPI''s'!AA23=".",IF(OR('Summary, hourly ad costs'!AA23=-9999,'Summary, hourly ad costs'!AA23=0), ".", 'Predicted PPIs'!K22*('Summary, hourly ad costs'!K23/'Summary, hourly ad costs'!AA23)/('Summary, hourly ad costs'!K22/'Summary, hourly ad costs'!AA22)), 'Summary, PPI''s'!AA23))</f>
        <v>66.534195579400347</v>
      </c>
      <c r="L23" s="10">
        <f>IF(L22=".", ".", IF('Summary, PPI''s'!AB23=".",IF(OR('Summary, hourly ad costs'!AB23=-9999,'Summary, hourly ad costs'!AB23=0), ".", 'Predicted PPIs'!L22*('Summary, hourly ad costs'!L23/'Summary, hourly ad costs'!AB23)/('Summary, hourly ad costs'!L22/'Summary, hourly ad costs'!AB22)), 'Summary, PPI''s'!AB23))</f>
        <v>155.86555582996863</v>
      </c>
      <c r="M23" s="10">
        <f>IF(M22=".", ".", IF('Summary, PPI''s'!AC23=".",IF(OR('Summary, hourly ad costs'!AC23=-9999,'Summary, hourly ad costs'!AC23=0), ".", 'Predicted PPIs'!M22*('Summary, hourly ad costs'!M23/'Summary, hourly ad costs'!AC23)/('Summary, hourly ad costs'!M22/'Summary, hourly ad costs'!AC22)), 'Summary, PPI''s'!AC23))</f>
        <v>50.414612422996804</v>
      </c>
      <c r="N23" s="10">
        <f>IF(N22=".", ".", IF('Summary, PPI''s'!AD23=".",IF(OR('Summary, hourly ad costs'!AD23=-9999,'Summary, hourly ad costs'!AD23=0), ".", 'Predicted PPIs'!N22*('Summary, hourly ad costs'!N23/'Summary, hourly ad costs'!AD23)/('Summary, hourly ad costs'!N22/'Summary, hourly ad costs'!AD22)), 'Summary, PPI''s'!AD23))</f>
        <v>84.636549782441776</v>
      </c>
      <c r="O23" s="10">
        <f>IF(O22=".", ".", IF('Summary, PPI''s'!AE23=".",IF(OR('Summary, hourly ad costs'!AE23=-9999,'Summary, hourly ad costs'!AE23=0), ".", 'Predicted PPIs'!O22*('Summary, hourly ad costs'!O23/'Summary, hourly ad costs'!AE23)/('Summary, hourly ad costs'!O22/'Summary, hourly ad costs'!AE22)), 'Summary, PPI''s'!AE23))</f>
        <v>67.247</v>
      </c>
      <c r="P23" s="10">
        <f>IF(P22=".", ".", IF('Summary, PPI''s'!AF23=".",IF(OR('Summary, hourly ad costs'!AF23=-9999,'Summary, hourly ad costs'!AF23=0), ".", 'Predicted PPIs'!P22*('Summary, hourly ad costs'!P23/'Summary, hourly ad costs'!AF23)/('Summary, hourly ad costs'!P22/'Summary, hourly ad costs'!AF22)), 'Summary, PPI''s'!AF23))</f>
        <v>73.659000000000006</v>
      </c>
      <c r="R23" s="1">
        <f>IF(E$26=".", 0, 'Summary, PPI''s'!E23)+IF(F$26=".", 0, 'Summary, PPI''s'!F23)+IF(G$26=".", 0, 'Summary, PPI''s'!G23)+IF(H$26=".", 0, 'Summary, PPI''s'!H23)+IF(I$26=".", 0, 'Summary, PPI''s'!I23)+IF(J$26=".", 0, 'Summary, PPI''s'!J23)+IF(K$26=".", 0, 'Summary, PPI''s'!K23)+IF(L$26=".", 0, 'Summary, PPI''s'!L23)+IF(M$26=".", 0, 'Summary, PPI''s'!M23)+IF(B$26=".", 0, 'Summary, PPI''s'!B23)+IF(C$26=".", 0, 'Summary, PPI''s'!C23)+IF(D$26=".", 0, 'Summary, PPI''s'!D23)+IF(N$26=".", 0, 'Summary, PPI''s'!N23)+IF(O$26=".", 0, 'Summary, PPI''s'!O23)+IF(P$26=".", 0, 'Summary, PPI''s'!P23)</f>
        <v>258948557.41961044</v>
      </c>
      <c r="S23" s="1">
        <f>IF(E$36=".", 0, 'Summary, PPI''s'!E23)+IF(F$36=".", 0, 'Summary, PPI''s'!F23)+IF(G$36=".", 0, 'Summary, PPI''s'!G23)+IF(H$36=".", 0, 'Summary, PPI''s'!H23)+IF(I$36=".", 0, 'Summary, PPI''s'!I23)+IF(J$36=".", 0, 'Summary, PPI''s'!J23)+IF(K$36=".", 0, 'Summary, PPI''s'!K23)+IF(L$36=".", 0, 'Summary, PPI''s'!L23)+IF(M$36=".", 0, 'Summary, PPI''s'!M23)+IF(B$36=".", 0, 'Summary, PPI''s'!B23)+IF(C$36=".", 0, 'Summary, PPI''s'!C23)+IF(D$36=".", 0, 'Summary, PPI''s'!D23)+IF(N$36=".", 0, 'Summary, PPI''s'!N23)+IF(O$36=".", 0, 'Summary, PPI''s'!O23)+IF(P$36=".", 0, 'Summary, PPI''s'!P23)</f>
        <v>251414256.9930833</v>
      </c>
      <c r="T23" s="1">
        <f>IF(E$46=".", 0, 'Summary, PPI''s'!E23)+IF(F$46=".", 0, 'Summary, PPI''s'!F23)+IF(G$46=".", 0, 'Summary, PPI''s'!G23)+IF(H$46=".", 0, 'Summary, PPI''s'!H23)+IF(I$46=".", 0, 'Summary, PPI''s'!I23)+IF(J$46=".", 0, 'Summary, PPI''s'!J23)+IF(K$46=".", 0, 'Summary, PPI''s'!K23)+IF(L$46=".", 0, 'Summary, PPI''s'!L23)+IF(M$46=".", 0, 'Summary, PPI''s'!M23)+IF(B$46=".", 0, 'Summary, PPI''s'!B23)+IF(C$46=".", 0, 'Summary, PPI''s'!C23)+IF(D$46=".", 0, 'Summary, PPI''s'!D23)+IF(N$46=".", 0, 'Summary, PPI''s'!N23)+IF(O$46=".", 0, 'Summary, PPI''s'!O23)+IF(P$46=".", 0, 'Summary, PPI''s'!P23)</f>
        <v>167507877.1806238</v>
      </c>
      <c r="U23" s="1">
        <f>IF(E$60=".", 0, 'Summary, PPI''s'!E23)+IF(F$60=".", 0, 'Summary, PPI''s'!F23)+IF(G$60=".", 0, 'Summary, PPI''s'!G23)+IF(H$60=".", 0, 'Summary, PPI''s'!H23)+IF(I$60=".", 0, 'Summary, PPI''s'!I23)+IF(J$60=".", 0, 'Summary, PPI''s'!J23)+IF(K$60=".", 0, 'Summary, PPI''s'!K23)+IF(L$60=".", 0, 'Summary, PPI''s'!L23)+IF(M$60=".", 0, 'Summary, PPI''s'!M23)+IF(B$60=".", 0, 'Summary, PPI''s'!B23)+IF(C$60=".", 0, 'Summary, PPI''s'!C23)+IF(D$60=".", 0, 'Summary, PPI''s'!D23)+IF(N$60=".", 0, 'Summary, PPI''s'!N23)+IF(O$60=".", 0, 'Summary, PPI''s'!O23)+IF(P$60=".", 0, 'Summary, PPI''s'!P23)</f>
        <v>135045382.97195309</v>
      </c>
      <c r="V23" s="1">
        <f>IF(E$73=".", 0, 'Summary, PPI''s'!E23)+IF(F$73=".", 0, 'Summary, PPI''s'!F23)+IF(G$73=".", 0, 'Summary, PPI''s'!G23)+IF(H$73=".", 0, 'Summary, PPI''s'!H23)+IF(I$73=".", 0, 'Summary, PPI''s'!I23)+IF(J$73=".", 0, 'Summary, PPI''s'!J23)+IF(K$73=".", 0, 'Summary, PPI''s'!K23)+IF(L$73=".", 0, 'Summary, PPI''s'!L23)+IF(M$73=".", 0, 'Summary, PPI''s'!M23)+IF(B$73=".", 0, 'Summary, PPI''s'!B23)+IF(C$73=".", 0, 'Summary, PPI''s'!C23)+IF(D$73=".", 0, 'Summary, PPI''s'!D23)+IF(N$73=".", 0, 'Summary, PPI''s'!N23)+IF(O$73=".", 0, 'Summary, PPI''s'!O23)+IF(P$73=".", 0, 'Summary, PPI''s'!P23)</f>
        <v>109273883.33177145</v>
      </c>
      <c r="W23" s="1">
        <f>IF(E$94=".",0,'Summary, PPI''s'!E23)+IF(F$94=".",0,'Summary, PPI''s'!F23)+IF(G$94=".",0,'Summary, PPI''s'!G23)+IF(H$94=".",0,'Summary, PPI''s'!H23)+IF(I$94=".",0,'Summary, PPI''s'!I23)+IF(J$94=".",0,'Summary, PPI''s'!J23)+IF(K$94=".",0,'Summary, PPI''s'!K23)+IF(L$94=".",0,'Summary, PPI''s'!L23)+IF(M$94=".",0,'Summary, PPI''s'!M23)+IF(B$94=".",0,'Summary, PPI''s'!B23)+IF(C$94=".",0,'Summary, PPI''s'!C23)+IF(D$94=".",0,'Summary, PPI''s'!D23)+IF(N$94=".",0,'Summary, PPI''s'!N23)+IF(O$94=".",0,'Summary, PPI''s'!O23)+IF(P$94=".",0,'Summary, PPI''s'!P23)</f>
        <v>79468480.951797128</v>
      </c>
      <c r="X23" s="1">
        <f>IF(E$123=".", 0, 'Summary, PPI''s'!E23)+IF(F$123=".", 0, 'Summary, PPI''s'!F23)+IF(G$123=".", 0, 'Summary, PPI''s'!G23)+IF(H$123=".", 0, 'Summary, PPI''s'!H23)+IF(I$123=".", 0, 'Summary, PPI''s'!I23)+IF(J$123=".", 0, 'Summary, PPI''s'!J23)+IF(K$123=".", 0, 'Summary, PPI''s'!K23)+IF(L$123=".", 0, 'Summary, PPI''s'!L23)+IF(M$123=".", 0, 'Summary, PPI''s'!M23)+IF(B$123=".", 0, 'Summary, PPI''s'!B23)+IF(C$123=".", 0, 'Summary, PPI''s'!C23)+IF(D$123=".", 0, 'Summary, PPI''s'!D23)+IF(N$123=".", 0, 'Summary, PPI''s'!N23)+IF(O$123=".", 0, 'Summary, PPI''s'!O23)+IF(P$123=".", 0, 'Summary, PPI''s'!P23)</f>
        <v>65620499.429000579</v>
      </c>
      <c r="Z23" s="4">
        <f>Z22*IF(E$26=".", 1, (E23/E22)^(('Summary, PPI''s'!$E23+'Summary, PPI''s'!$E22)/('Predicted PPIs'!R23+'Predicted PPIs'!R22)))*IF(F$26=".", 1, (F23/F22)^(('Summary, PPI''s'!$F23+'Summary, PPI''s'!$F22)/('Predicted PPIs'!R23+'Predicted PPIs'!R22)))*IF(G$26=".", 1, (G23/G22)^(('Summary, PPI''s'!$G23+'Summary, PPI''s'!$G22)/('Predicted PPIs'!R23+'Predicted PPIs'!R22)))*IF(H$26=".", 1, (H23/H22)^(('Summary, PPI''s'!$H23+'Summary, PPI''s'!$H22)/('Predicted PPIs'!R23+'Predicted PPIs'!R22)))*IF(I$26=".", 1, (I23/I22)^(('Summary, PPI''s'!$I23+'Summary, PPI''s'!$I22)/('Predicted PPIs'!R23+'Predicted PPIs'!R22)))*IF(J$26=".", 1, (J23/J22)^(('Summary, PPI''s'!$J23+'Summary, PPI''s'!$J22)/('Predicted PPIs'!R23+'Predicted PPIs'!R22)))*IF(K$26=".", 1, (K23/K22)^(('Summary, PPI''s'!$K23+'Summary, PPI''s'!$K22)/('Predicted PPIs'!R23+'Predicted PPIs'!R22)))*IF(L$26=".", 1, (L23/L22)^(('Summary, PPI''s'!$L23+'Summary, PPI''s'!$L22)/('Predicted PPIs'!R23+'Predicted PPIs'!R22)))*IF(M$26=".", 1, (M23/M22)^(('Summary, PPI''s'!$M23+'Summary, PPI''s'!$M22)/('Predicted PPIs'!R23+'Predicted PPIs'!R22)))*IF(B$26=".", 1, (B23/B22)^(('Summary, PPI''s'!$B23+'Summary, PPI''s'!$B22)/('Predicted PPIs'!R23+'Predicted PPIs'!R22)))*IF(C$26=".", 1, (C23/C22)^(('Summary, PPI''s'!$C23+'Summary, PPI''s'!$C22)/('Predicted PPIs'!R23+'Predicted PPIs'!R22)))*IF(D$26=".", 1, (D23/D22)^(('Summary, PPI''s'!$D23+'Summary, PPI''s'!$D22)/('Predicted PPIs'!R23+'Predicted PPIs'!R22)))*IF(N$26=".", 1, (N23/N22)^(('Summary, PPI''s'!$N23+'Summary, PPI''s'!$N22)/('Predicted PPIs'!R23+'Predicted PPIs'!R22)))*IF(O$26=".", 1, (O23/O22)^(('Summary, PPI''s'!$O23+'Summary, PPI''s'!$O22)/('Predicted PPIs'!R23+'Predicted PPIs'!R22)))*IF(P$26=".", 1, (P23/P22)^(('Summary, PPI''s'!$P23+'Summary, PPI''s'!$P22)/('Predicted PPIs'!R23+'Predicted PPIs'!R22)))</f>
        <v>88.960583257991374</v>
      </c>
      <c r="AA23" s="4">
        <f>AA22*IF(E$36=".", 1, (E23/E22)^(('Summary, PPI''s'!$E23+'Summary, PPI''s'!$E22)/('Predicted PPIs'!S23+'Predicted PPIs'!S22)))*IF(F$36=".", 1, (F23/F22)^(('Summary, PPI''s'!$F23+'Summary, PPI''s'!$F22)/('Predicted PPIs'!S23+'Predicted PPIs'!S22)))*IF(G$36=".", 1, (G23/G22)^(('Summary, PPI''s'!$G23+'Summary, PPI''s'!$G22)/('Predicted PPIs'!S23+'Predicted PPIs'!S22)))*IF(H$36=".", 1, (H23/H22)^(('Summary, PPI''s'!$H23+'Summary, PPI''s'!$H22)/('Predicted PPIs'!S23+'Predicted PPIs'!S22)))*IF(I$36=".", 1, (I23/I22)^(('Summary, PPI''s'!$I23+'Summary, PPI''s'!$I22)/('Predicted PPIs'!S23+'Predicted PPIs'!S22)))*IF(J$36=".", 1, (J23/J22)^(('Summary, PPI''s'!$J23+'Summary, PPI''s'!$J22)/('Predicted PPIs'!S23+'Predicted PPIs'!S22)))*IF(K$36=".", 1, (K23/K22)^(('Summary, PPI''s'!$K23+'Summary, PPI''s'!$K22)/('Predicted PPIs'!S23+'Predicted PPIs'!S22)))*IF(L$36=".", 1, (L23/L22)^(('Summary, PPI''s'!$L23+'Summary, PPI''s'!$L22)/('Predicted PPIs'!S23+'Predicted PPIs'!S22)))*IF(M$36=".", 1, (M23/M22)^(('Summary, PPI''s'!$M23+'Summary, PPI''s'!$M22)/('Predicted PPIs'!S23+'Predicted PPIs'!S22)))*IF(B$36=".", 1, (B23/B22)^(('Summary, PPI''s'!$B23+'Summary, PPI''s'!$B22)/('Predicted PPIs'!S23+'Predicted PPIs'!S22)))*IF(C$36=".", 1, (C23/C22)^(('Summary, PPI''s'!$C23+'Summary, PPI''s'!$C22)/('Predicted PPIs'!S23+'Predicted PPIs'!S22)))*IF(D$36=".", 1, (D23/D22)^(('Summary, PPI''s'!$D23+'Summary, PPI''s'!$D22)/('Predicted PPIs'!S23+'Predicted PPIs'!S22)))*IF(N$36=".", 1, (N23/N22)^(('Summary, PPI''s'!$N23+'Summary, PPI''s'!$N22)/('Predicted PPIs'!S23+'Predicted PPIs'!S22)))*IF(O$36=".", 1, (O23/O22)^(('Summary, PPI''s'!$O23+'Summary, PPI''s'!$O22)/('Predicted PPIs'!S23+'Predicted PPIs'!S22)))*IF(P$36=".", 1, (P23/P22)^(('Summary, PPI''s'!$P23+'Summary, PPI''s'!$P22)/('Predicted PPIs'!S23+'Predicted PPIs'!S22)))</f>
        <v>77.97894186215845</v>
      </c>
      <c r="AB23" s="4">
        <f>AB22*IF(E$46=".", 1, (E23/E22)^(('Summary, PPI''s'!$E23+'Summary, PPI''s'!$E22)/('Predicted PPIs'!T23+'Predicted PPIs'!T22)))*IF(F$46=".", 1, (F23/F22)^(('Summary, PPI''s'!$F23+'Summary, PPI''s'!$F22)/('Predicted PPIs'!T23+'Predicted PPIs'!T22)))*IF(G$46=".", 1, (G23/G22)^(('Summary, PPI''s'!$G23+'Summary, PPI''s'!$G22)/('Predicted PPIs'!T23+'Predicted PPIs'!T22)))*IF(H$46=".", 1, (H23/H22)^(('Summary, PPI''s'!$H23+'Summary, PPI''s'!$H22)/('Predicted PPIs'!T23+'Predicted PPIs'!T22)))*IF(I$46=".", 1, (I23/I22)^(('Summary, PPI''s'!$I23+'Summary, PPI''s'!$I22)/('Predicted PPIs'!T23+'Predicted PPIs'!T22)))*IF(J$46=".", 1, (J23/J22)^(('Summary, PPI''s'!$J23+'Summary, PPI''s'!$J22)/('Predicted PPIs'!T23+'Predicted PPIs'!T22)))*IF(K$46=".", 1, (K23/K22)^(('Summary, PPI''s'!$K23+'Summary, PPI''s'!$K22)/('Predicted PPIs'!T23+'Predicted PPIs'!T22)))*IF(L$46=".", 1, (L23/L22)^(('Summary, PPI''s'!$L23+'Summary, PPI''s'!$L22)/('Predicted PPIs'!T23+'Predicted PPIs'!T22)))*IF(M$46=".", 1, (M23/M22)^(('Summary, PPI''s'!$M23+'Summary, PPI''s'!$M22)/('Predicted PPIs'!T23+'Predicted PPIs'!T22)))*IF(B$46=".", 1, (B23/B22)^(('Summary, PPI''s'!$B23+'Summary, PPI''s'!$B22)/('Predicted PPIs'!T23+'Predicted PPIs'!T22)))*IF(C$46=".", 1, (C23/C22)^(('Summary, PPI''s'!$C23+'Summary, PPI''s'!$C22)/('Predicted PPIs'!T23+'Predicted PPIs'!T22)))*IF(D$46=".", 1, (D23/D22)^(('Summary, PPI''s'!$D23+'Summary, PPI''s'!$D22)/('Predicted PPIs'!T23+'Predicted PPIs'!T22)))*IF(N$46=".", 1, (N23/N22)^(('Summary, PPI''s'!$N23+'Summary, PPI''s'!$N22)/('Predicted PPIs'!T23+'Predicted PPIs'!T22)))*IF(O$46=".", 1, (O23/O22)^(('Summary, PPI''s'!$O23+'Summary, PPI''s'!$O22)/('Predicted PPIs'!T23+'Predicted PPIs'!T22)))*IF(P$46=".", 1, (P23/P22)^(('Summary, PPI''s'!$P23+'Summary, PPI''s'!$P22)/('Predicted PPIs'!T23+'Predicted PPIs'!T22)))</f>
        <v>77.786481335842453</v>
      </c>
      <c r="AC23" s="4">
        <f>AC22*IF(E$60=".",1,(E23/E22)^(('Summary, PPI''s'!$E23+'Summary, PPI''s'!$E22)/('Predicted PPIs'!U23+'Predicted PPIs'!U22)))*IF(F$60=".",1,(F23/F22)^(('Summary, PPI''s'!$F23+'Summary, PPI''s'!$F22)/('Predicted PPIs'!U23+'Predicted PPIs'!U22)))*IF(G$60=".",1,(G23/G22)^(('Summary, PPI''s'!$G23+'Summary, PPI''s'!$G22)/('Predicted PPIs'!U23+'Predicted PPIs'!U22)))*IF(H$60=".",1,(H23/H22)^(('Summary, PPI''s'!$H23+'Summary, PPI''s'!$H22)/('Predicted PPIs'!U23+'Predicted PPIs'!U22)))*IF(I$60=".",1,(I23/I22)^(('Summary, PPI''s'!$I23+'Summary, PPI''s'!$I22)/('Predicted PPIs'!U23+'Predicted PPIs'!U22)))*IF(J$60=".",1,(J23/J22)^(('Summary, PPI''s'!$J23+'Summary, PPI''s'!$J22)/('Predicted PPIs'!U23+'Predicted PPIs'!U22)))*IF(K$60=".",1,(K23/K22)^(('Summary, PPI''s'!$K23+'Summary, PPI''s'!$K22)/('Predicted PPIs'!U23+'Predicted PPIs'!U22)))*IF(L$60=".",1,(L23/L22)^(('Summary, PPI''s'!$L23+'Summary, PPI''s'!$L22)/('Predicted PPIs'!U23+'Predicted PPIs'!U22)))*IF(M$60=".",1,(M23/M22)^(('Summary, PPI''s'!$M23+'Summary, PPI''s'!$M22)/('Predicted PPIs'!U23+'Predicted PPIs'!U22)))*IF(B$60=".",1,(B23/B22)^(('Summary, PPI''s'!$B23+'Summary, PPI''s'!$B22)/('Predicted PPIs'!U23+'Predicted PPIs'!U22)))*IF(C$60=".",1,(C23/C22)^(('Summary, PPI''s'!$C23+'Summary, PPI''s'!$C22)/('Predicted PPIs'!U23+'Predicted PPIs'!U22)))*IF(D$60=".",1,(D23/D22)^(('Summary, PPI''s'!$D23+'Summary, PPI''s'!$D22)/('Predicted PPIs'!U23+'Predicted PPIs'!U22)))*IF(N$60=".",1,(N23/N22)^(('Summary, PPI''s'!$N23+'Summary, PPI''s'!$N22)/('Predicted PPIs'!U23+'Predicted PPIs'!U22)))*IF(O$60=".",1,(O23/O22)^(('Summary, PPI''s'!$O23+'Summary, PPI''s'!$O22)/('Predicted PPIs'!U23+'Predicted PPIs'!U22)))*IF(P$60=".",1,(P23/P22)^(('Summary, PPI''s'!$P23+'Summary, PPI''s'!$P22)/('Predicted PPIs'!U23+'Predicted PPIs'!U22)))</f>
        <v>85.273260822767782</v>
      </c>
      <c r="AD23" s="4">
        <f>AD22*IF(E$73=".", 1, (E23/E22)^(('Summary, PPI''s'!$E23+'Summary, PPI''s'!$E22)/('Predicted PPIs'!V23+'Predicted PPIs'!V22)))*IF(F$73=".", 1, (F23/F22)^(('Summary, PPI''s'!$F23+'Summary, PPI''s'!$F22)/('Predicted PPIs'!V23+'Predicted PPIs'!V22)))*IF(G$73=".", 1, (G23/G22)^(('Summary, PPI''s'!$G23+'Summary, PPI''s'!$G22)/('Predicted PPIs'!V23+'Predicted PPIs'!V22)))*IF(H$73=".", 1, (H23/H22)^(('Summary, PPI''s'!$H23+'Summary, PPI''s'!$H22)/('Predicted PPIs'!V23+'Predicted PPIs'!V22)))*IF(I$73=".", 1, (I23/I22)^(('Summary, PPI''s'!$I23+'Summary, PPI''s'!$I22)/('Predicted PPIs'!V23+'Predicted PPIs'!V22)))*IF(J$73=".", 1, (J23/J22)^(('Summary, PPI''s'!$J23+'Summary, PPI''s'!$J22)/('Predicted PPIs'!V23+'Predicted PPIs'!V22)))*IF(K$73=".", 1, (K23/K22)^(('Summary, PPI''s'!$K23+'Summary, PPI''s'!$K22)/('Predicted PPIs'!V23+'Predicted PPIs'!V22)))*IF(L$73=".", 1, (L23/L22)^(('Summary, PPI''s'!$L23+'Summary, PPI''s'!$L22)/('Predicted PPIs'!V23+'Predicted PPIs'!V22)))*IF(M$73=".", 1, (M23/M22)^(('Summary, PPI''s'!$M23+'Summary, PPI''s'!$M22)/('Predicted PPIs'!V23+'Predicted PPIs'!V22)))*IF(B$73=".", 1, (B23/B22)^(('Summary, PPI''s'!$B23+'Summary, PPI''s'!$B22)/('Predicted PPIs'!V23+'Predicted PPIs'!V22)))*IF(C$73=".", 1, (C23/C22)^(('Summary, PPI''s'!$C23+'Summary, PPI''s'!$C22)/('Predicted PPIs'!V23+'Predicted PPIs'!V22)))*IF(D$73=".", 1, (D23/D22)^(('Summary, PPI''s'!$D23+'Summary, PPI''s'!$D22)/('Predicted PPIs'!V23+'Predicted PPIs'!V22)))*IF(N$73=".", 1, (N23/N22)^(('Summary, PPI''s'!$N23+'Summary, PPI''s'!$N22)/('Predicted PPIs'!V23+'Predicted PPIs'!V22)))*IF(O$73=".", 1, (O23/O22)^(('Summary, PPI''s'!$O23+'Summary, PPI''s'!$O22)/('Predicted PPIs'!V23+'Predicted PPIs'!V22)))*IF(P$73=".", 1, (P23/P22)^(('Summary, PPI''s'!$P23+'Summary, PPI''s'!$P22)/('Predicted PPIs'!V23+'Predicted PPIs'!V22)))</f>
        <v>85.62263999541922</v>
      </c>
      <c r="AE23" s="4">
        <f>AE22*IF(E$94=".", 1, (E23/E22)^(('Summary, PPI''s'!$E23+'Summary, PPI''s'!$E22)/('Predicted PPIs'!W23+'Predicted PPIs'!W22)))*IF(F$94=".", 1, (F23/F22)^(('Summary, PPI''s'!$F23+'Summary, PPI''s'!$F22)/('Predicted PPIs'!W23+'Predicted PPIs'!W22)))*IF(G$94=".", 1, (G23/G22)^(('Summary, PPI''s'!$G23+'Summary, PPI''s'!$G22)/('Predicted PPIs'!W23+'Predicted PPIs'!W22)))*IF(H$94=".", 1, (H23/H22)^(('Summary, PPI''s'!$H23+'Summary, PPI''s'!$H22)/('Predicted PPIs'!W23+'Predicted PPIs'!W22)))*IF(I$94=".", 1, (I23/I22)^(('Summary, PPI''s'!$I23+'Summary, PPI''s'!$I22)/('Predicted PPIs'!W23+'Predicted PPIs'!W22)))*IF(J$94=".", 1, (J23/J22)^(('Summary, PPI''s'!$J23+'Summary, PPI''s'!$J22)/('Predicted PPIs'!W23+'Predicted PPIs'!W22)))*IF(K$94=".", 1, (K23/K22)^(('Summary, PPI''s'!$K23+'Summary, PPI''s'!$K22)/('Predicted PPIs'!W23+'Predicted PPIs'!W22)))*IF(L$94=".", 1, (L23/L22)^(('Summary, PPI''s'!$L23+'Summary, PPI''s'!$L22)/('Predicted PPIs'!W23+'Predicted PPIs'!W22)))*IF(M$94=".", 1, (M23/M22)^(('Summary, PPI''s'!$M23+'Summary, PPI''s'!$M22)/('Predicted PPIs'!W23+'Predicted PPIs'!W22)))*IF(B$94=".", 1, (B23/B22)^(('Summary, PPI''s'!$B23+'Summary, PPI''s'!$B22)/('Predicted PPIs'!W23+'Predicted PPIs'!W22)))*IF(C$94=".", 1, (C23/C22)^(('Summary, PPI''s'!$C23+'Summary, PPI''s'!$C22)/('Predicted PPIs'!W23+'Predicted PPIs'!W22)))*IF(D$94=".", 1, (D23/D22)^(('Summary, PPI''s'!$D23+'Summary, PPI''s'!$D22)/('Predicted PPIs'!W23+'Predicted PPIs'!W22)))*IF(N$94=".", 1, (N23/N22)^(('Summary, PPI''s'!$N23+'Summary, PPI''s'!$N22)/('Predicted PPIs'!W23+'Predicted PPIs'!W22)))*IF(O$94=".", 1, (O23/O22)^(('Summary, PPI''s'!$O23+'Summary, PPI''s'!$O22)/('Predicted PPIs'!W23+'Predicted PPIs'!W22)))*IF(P$94=".", 1, (P23/P22)^(('Summary, PPI''s'!$P23+'Summary, PPI''s'!$P22)/('Predicted PPIs'!W23+'Predicted PPIs'!W22)))</f>
        <v>78.375175873076671</v>
      </c>
      <c r="AF23" s="4">
        <f>AF22*IF(E$123=".", 1, (E23/E22)^(('Summary, PPI''s'!$E23+'Summary, PPI''s'!$E22)/('Predicted PPIs'!X23+'Predicted PPIs'!X22)))*IF(F$123=".", 1, (F23/F22)^(('Summary, PPI''s'!$F23+'Summary, PPI''s'!$F22)/('Predicted PPIs'!X23+'Predicted PPIs'!X22)))*IF(G$123=".", 1, (G23/G22)^(('Summary, PPI''s'!$G23+'Summary, PPI''s'!$G22)/('Predicted PPIs'!X23+'Predicted PPIs'!X22)))*IF(H$123=".", 1, (H23/H22)^(('Summary, PPI''s'!$H23+'Summary, PPI''s'!$H22)/('Predicted PPIs'!X23+'Predicted PPIs'!X22)))*IF(I$123=".", 1, (I23/I22)^(('Summary, PPI''s'!$I23+'Summary, PPI''s'!$I22)/('Predicted PPIs'!X23+'Predicted PPIs'!X22)))*IF(J$123=".", 1, (J23/J22)^(('Summary, PPI''s'!$J23+'Summary, PPI''s'!$J22)/('Predicted PPIs'!X23+'Predicted PPIs'!X22)))*IF(K$123=".", 1, (K23/K22)^(('Summary, PPI''s'!$K23+'Summary, PPI''s'!$K22)/('Predicted PPIs'!X23+'Predicted PPIs'!X22)))*IF(L$123=".", 1, (L23/L22)^(('Summary, PPI''s'!$L23+'Summary, PPI''s'!$L22)/('Predicted PPIs'!X23+'Predicted PPIs'!X22)))*IF(M$123=".", 1, (M23/M22)^(('Summary, PPI''s'!$M23+'Summary, PPI''s'!$M22)/('Predicted PPIs'!X23+'Predicted PPIs'!X22)))*IF(B$123=".", 1, (B23/B22)^(('Summary, PPI''s'!$B23+'Summary, PPI''s'!$B22)/('Predicted PPIs'!X23+'Predicted PPIs'!X22)))*IF(C$123=".", 1, (C23/C22)^(('Summary, PPI''s'!$C23+'Summary, PPI''s'!$C22)/('Predicted PPIs'!X23+'Predicted PPIs'!X22)))*IF(D$123=".", 1, (D23/D22)^(('Summary, PPI''s'!$D23+'Summary, PPI''s'!$D22)/('Predicted PPIs'!X23+'Predicted PPIs'!X22)))*IF(N$123=".", 1, (N23/N22)^(('Summary, PPI''s'!$N23+'Summary, PPI''s'!$N22)/('Predicted PPIs'!X23+'Predicted PPIs'!X22)))*IF(O$123=".", 1, (O23/O22)^(('Summary, PPI''s'!$O23+'Summary, PPI''s'!$O22)/('Predicted PPIs'!X23+'Predicted PPIs'!X22)))*IF(P$123=".", 1, (P23/P22)^(('Summary, PPI''s'!$P23+'Summary, PPI''s'!$P22)/('Predicted PPIs'!X23+'Predicted PPIs'!X22)))</f>
        <v>72.408612431248116</v>
      </c>
      <c r="AH23" s="13">
        <f t="shared" si="32"/>
        <v>88.960583257991388</v>
      </c>
      <c r="AJ23" s="4">
        <v>6767.2</v>
      </c>
      <c r="AK23" s="4">
        <v>-0.318</v>
      </c>
      <c r="AL23" s="4">
        <v>-768.88699999999994</v>
      </c>
      <c r="AM23" s="4">
        <v>-12.746</v>
      </c>
      <c r="AN23" s="4">
        <v>7746.6</v>
      </c>
      <c r="AO23" s="4">
        <v>1964.2</v>
      </c>
      <c r="AP23" s="4">
        <f>912.262+0.008+0.2+10.386-975.579</f>
        <v>-52.722999999999956</v>
      </c>
      <c r="AQ23" s="4">
        <f>664.793+10.314+9.115+27.455-1035.019</f>
        <v>-323.34199999999998</v>
      </c>
      <c r="AR23" s="4">
        <v>-36.411999999999999</v>
      </c>
      <c r="AS23" s="4">
        <v>-55.554000000000002</v>
      </c>
      <c r="AT23" s="4">
        <v>78.09</v>
      </c>
      <c r="AU23" s="4">
        <v>64.119</v>
      </c>
      <c r="AV23" s="4">
        <v>75.03</v>
      </c>
      <c r="AW23" s="4">
        <v>65.905000000000001</v>
      </c>
      <c r="AX23" s="4">
        <v>71.674999999999997</v>
      </c>
      <c r="AY23" s="4">
        <v>86.486000000000004</v>
      </c>
      <c r="AZ23" s="4">
        <v>55.283000000000001</v>
      </c>
      <c r="BA23" s="4">
        <v>81.111000000000004</v>
      </c>
      <c r="BB23" s="4">
        <v>104.172</v>
      </c>
      <c r="BC23" s="4">
        <v>94.125</v>
      </c>
      <c r="BG23" s="4">
        <f t="shared" si="50"/>
        <v>85.968174380606357</v>
      </c>
      <c r="BI23" s="4">
        <f>BI$13*'[2]Ordinary Experience'!$D$403/'[2]Ordinary Experience'!$D$413</f>
        <v>281664307.875346</v>
      </c>
      <c r="BJ23" s="4">
        <f>'[2]Ordinary Experience'!$E$403</f>
        <v>21.4</v>
      </c>
      <c r="BL23" s="4">
        <f t="shared" si="0"/>
        <v>97.975856603780883</v>
      </c>
      <c r="BM23" s="4">
        <f t="shared" si="34"/>
        <v>4.0420148082311869E-2</v>
      </c>
      <c r="BO23" s="4">
        <f>IF(OR('Summary, hourly ad costs'!R23=-9999,'Summary, PPI''s'!R23="."),".",(('Summary, hourly ad costs'!B23/'Summary, hourly ad costs'!R23)*100/('Summary, hourly ad costs'!B$11/'Summary, hourly ad costs'!R$11))/('Summary, PPI''s'!R23))</f>
        <v>0.81776450812967638</v>
      </c>
      <c r="BP23" s="4" t="str">
        <f>IF(OR('Summary, hourly ad costs'!S23=-9999,'Summary, PPI''s'!S23="."),".",(('Summary, hourly ad costs'!C23/'Summary, hourly ad costs'!S23)*100/('Summary, hourly ad costs'!C$11/'Summary, hourly ad costs'!S$11))/('Summary, PPI''s'!S23))</f>
        <v>.</v>
      </c>
      <c r="BQ23" s="4" t="str">
        <f>IF(OR('Summary, hourly ad costs'!T23=-9999,'Summary, PPI''s'!T23="."),".",(('Summary, hourly ad costs'!D23/'Summary, hourly ad costs'!T23)*100/('Summary, hourly ad costs'!D$11/'Summary, hourly ad costs'!T$11))/('Summary, PPI''s'!T23))</f>
        <v>.</v>
      </c>
      <c r="BR23" s="4">
        <f>IF(OR('Summary, hourly ad costs'!U23=-9999,'Summary, PPI''s'!U23="."),".",(('Summary, hourly ad costs'!E23/'Summary, hourly ad costs'!U23)*100/('Summary, hourly ad costs'!E$11/'Summary, hourly ad costs'!U$11))/('Summary, PPI''s'!U23))</f>
        <v>2.0675811769133414</v>
      </c>
      <c r="BS23" s="4">
        <f>IF(OR('Summary, hourly ad costs'!V23=-9999,'Summary, PPI''s'!V23="."),".",(('Summary, hourly ad costs'!F23/'Summary, hourly ad costs'!V23)*100/('Summary, hourly ad costs'!F$11/'Summary, hourly ad costs'!V$11))/('Summary, PPI''s'!V23))</f>
        <v>2.2756302840448219</v>
      </c>
      <c r="BT23" s="4" t="str">
        <f>IF(OR('Summary, hourly ad costs'!W23=-9999,'Summary, PPI''s'!W23="."),".",(('Summary, hourly ad costs'!G23/'Summary, hourly ad costs'!W23)*100/('Summary, hourly ad costs'!G$11/'Summary, hourly ad costs'!W$11))/('Summary, PPI''s'!W23))</f>
        <v>.</v>
      </c>
      <c r="BU23" s="4">
        <f>IF(OR('Summary, hourly ad costs'!X23=-9999,'Summary, PPI''s'!X23="."),".",(('Summary, hourly ad costs'!H23/'Summary, hourly ad costs'!X23)*100/('Summary, hourly ad costs'!H$11/'Summary, hourly ad costs'!X$11))/('Summary, PPI''s'!X23))</f>
        <v>1.1131491299398999</v>
      </c>
      <c r="BV23" s="4">
        <f>IF(OR('Summary, hourly ad costs'!Y23=-9999,'Summary, PPI''s'!Y23="."),".",(('Summary, hourly ad costs'!I23/'Summary, hourly ad costs'!Y23)*100/('Summary, hourly ad costs'!I$11/'Summary, hourly ad costs'!Y$11))/('Summary, PPI''s'!Y23))</f>
        <v>0.91980831171292199</v>
      </c>
      <c r="BW23" s="4">
        <f>IF(OR('Summary, hourly ad costs'!Z23=-9999,'Summary, PPI''s'!Z23="."),".",(('Summary, hourly ad costs'!J23/'Summary, hourly ad costs'!Z23)*100/('Summary, hourly ad costs'!J$11/'Summary, hourly ad costs'!Z$11))/('Summary, PPI''s'!Z23))</f>
        <v>0.90815867239818659</v>
      </c>
      <c r="BX23" s="4">
        <f>IF(OR('Summary, hourly ad costs'!AA23=-9999,'Summary, PPI''s'!AA23="."),".",(('Summary, hourly ad costs'!K23/'Summary, hourly ad costs'!AA23)*100/('Summary, hourly ad costs'!K$11/'Summary, hourly ad costs'!AA$11))/('Summary, PPI''s'!AA23))</f>
        <v>1.5444806355034468</v>
      </c>
      <c r="BY23" s="4" t="str">
        <f>IF(OR('Summary, hourly ad costs'!AB23=-9999,'Summary, PPI''s'!AB23="."),".",(('Summary, hourly ad costs'!L23/'Summary, hourly ad costs'!AB23)*100/('Summary, hourly ad costs'!L$11/'Summary, hourly ad costs'!AB$11))/('Summary, PPI''s'!AB23))</f>
        <v>.</v>
      </c>
      <c r="BZ23" s="4" t="str">
        <f>IF(OR('Summary, hourly ad costs'!AC23=-9999,'Summary, PPI''s'!AC23="."),".",(('Summary, hourly ad costs'!M23/'Summary, hourly ad costs'!AC23)*100/('Summary, hourly ad costs'!M$11/'Summary, hourly ad costs'!AC$11))/('Summary, PPI''s'!AC23))</f>
        <v>.</v>
      </c>
      <c r="CA23" s="4" t="str">
        <f>IF(OR('Summary, hourly ad costs'!AD23=-9999,'Summary, PPI''s'!AD23="."),".",(('Summary, hourly ad costs'!N23/'Summary, hourly ad costs'!AD23)*100/('Summary, hourly ad costs'!N$11/'Summary, hourly ad costs'!AD$11))/('Summary, PPI''s'!AD23))</f>
        <v>.</v>
      </c>
      <c r="CB23" s="4" t="str">
        <f>IF(OR('Summary, hourly ad costs'!AE23=-9999,'Summary, PPI''s'!AE23="."),".",(('Summary, hourly ad costs'!O23/'Summary, hourly ad costs'!AE23)*100/('Summary, hourly ad costs'!O$11/'Summary, hourly ad costs'!AE$11))/('Summary, PPI''s'!AE23))</f>
        <v>.</v>
      </c>
      <c r="CC23" s="4" t="str">
        <f>IF(OR('Summary, hourly ad costs'!AF23=-9999,'Summary, PPI''s'!AF23="."),".",(('Summary, hourly ad costs'!P23/'Summary, hourly ad costs'!AF23)*100/('Summary, hourly ad costs'!P$11/'Summary, hourly ad costs'!AF$11))/('Summary, PPI''s'!AF23))</f>
        <v>.</v>
      </c>
      <c r="CE23" s="4">
        <f t="shared" si="51"/>
        <v>-2.5135106592037659E-2</v>
      </c>
      <c r="CF23" s="4" t="str">
        <f t="shared" si="52"/>
        <v>.</v>
      </c>
      <c r="CG23" s="4" t="str">
        <f t="shared" si="53"/>
        <v>.</v>
      </c>
      <c r="CH23" s="4">
        <f t="shared" si="54"/>
        <v>3.0907323411018206E-2</v>
      </c>
      <c r="CI23" s="4">
        <f t="shared" si="55"/>
        <v>0.10814188442400363</v>
      </c>
      <c r="CJ23" s="4" t="str">
        <f t="shared" si="56"/>
        <v>.</v>
      </c>
      <c r="CK23" s="4">
        <f t="shared" si="57"/>
        <v>0.44659225963700355</v>
      </c>
      <c r="CL23" s="4">
        <f t="shared" si="58"/>
        <v>0.10704196416508749</v>
      </c>
      <c r="CM23" s="4">
        <f t="shared" si="59"/>
        <v>4.2813734859682429E-2</v>
      </c>
      <c r="CN23" s="4">
        <f t="shared" si="60"/>
        <v>-7.1097000070284633E-2</v>
      </c>
      <c r="CO23" s="4">
        <f t="shared" si="61"/>
        <v>0.25971505012508789</v>
      </c>
      <c r="CP23" s="4">
        <f t="shared" si="61"/>
        <v>8.3858614708405069E-2</v>
      </c>
      <c r="CQ23" s="4" t="str">
        <f t="shared" si="62"/>
        <v>.</v>
      </c>
      <c r="CR23" s="4" t="str">
        <f t="shared" si="63"/>
        <v>.</v>
      </c>
      <c r="CS23" s="4" t="str">
        <f t="shared" si="64"/>
        <v>.</v>
      </c>
      <c r="CU23" s="5">
        <f>IF(CU22=".", ".", IF('Summary, PPI''s'!R23=".",IF(OR('Summary, hourly ad costs'!R23=-9999,'Summary, hourly ad costs'!R23=0), ".", 'Predicted PPIs'!CU22*('Summary, hourly ad costs'!B23/'Summary, hourly ad costs'!R23)/('Summary, hourly ad costs'!B22/'Summary, hourly ad costs'!R22)/(1-CE22)), 'Summary, PPI''s'!R23))</f>
        <v>96.863163510269374</v>
      </c>
      <c r="CV23" s="5">
        <f>IF(CV22=".", ".", IF('Summary, PPI''s'!S23=".",IF(OR('Summary, hourly ad costs'!S23=-9999,'Summary, hourly ad costs'!S23=0), ".", 'Predicted PPIs'!CV22*('Summary, hourly ad costs'!C23/'Summary, hourly ad costs'!S23)/('Summary, hourly ad costs'!C22/'Summary, hourly ad costs'!S22)/(1-CF22)), 'Summary, PPI''s'!S23))</f>
        <v>96.863163510269374</v>
      </c>
      <c r="CW23" s="5">
        <f>IF(CW22=".", ".", IF('Summary, PPI''s'!T23=".",IF(OR('Summary, hourly ad costs'!T23=-9999,'Summary, hourly ad costs'!T23=0), ".", 'Predicted PPIs'!CW22*('Summary, hourly ad costs'!D23/'Summary, hourly ad costs'!T23)/('Summary, hourly ad costs'!D22/'Summary, hourly ad costs'!T22)/(1-CG22)), 'Summary, PPI''s'!T23))</f>
        <v>85.01031861881512</v>
      </c>
      <c r="CX23" s="5">
        <f>IF(CX22=".", ".", IF('Summary, PPI''s'!U23=".",IF(OR('Summary, hourly ad costs'!U23=-9999,'Summary, hourly ad costs'!U23=0), ".", 'Predicted PPIs'!CX22*('Summary, hourly ad costs'!E23/'Summary, hourly ad costs'!U23)/('Summary, hourly ad costs'!E22/'Summary, hourly ad costs'!U22)/(1-CH22)), 'Summary, PPI''s'!U23))</f>
        <v>73.983585057325371</v>
      </c>
      <c r="CY23" s="5">
        <f>IF(CY22=".", ".", IF('Summary, PPI''s'!V23=".",IF(OR('Summary, hourly ad costs'!V23=-9999,'Summary, hourly ad costs'!V23=0), ".", 'Predicted PPIs'!CY22*('Summary, hourly ad costs'!F23/'Summary, hourly ad costs'!V23)/('Summary, hourly ad costs'!F22/'Summary, hourly ad costs'!V22)/(1-CI22)), 'Summary, PPI''s'!V23))</f>
        <v>65.447506075209049</v>
      </c>
      <c r="CZ23" s="5">
        <f>IF(CZ22=".", ".", IF('Summary, PPI''s'!W23=".",IF(OR('Summary, hourly ad costs'!W23=-9999,'Summary, hourly ad costs'!W23=0), ".", 'Predicted PPIs'!CZ22*('Summary, hourly ad costs'!G23/'Summary, hourly ad costs'!W23)/('Summary, hourly ad costs'!G22/'Summary, hourly ad costs'!W22)/(1-CJ22)), 'Summary, PPI''s'!W23))</f>
        <v>73.269213852153769</v>
      </c>
      <c r="DA23" s="5">
        <f>IF(DA22=".", ".", IF('Summary, PPI''s'!X23=".",IF(OR('Summary, hourly ad costs'!X23=-9999,'Summary, hourly ad costs'!X23=0), ".", 'Predicted PPIs'!DA22*('Summary, hourly ad costs'!H23/'Summary, hourly ad costs'!X23)/('Summary, hourly ad costs'!H22/'Summary, hourly ad costs'!X22)/(1-CK22)), 'Summary, PPI''s'!X23))</f>
        <v>71.444999999999993</v>
      </c>
      <c r="DB23" s="5">
        <f>IF(DB22=".", ".", IF('Summary, PPI''s'!Y23=".",IF(OR('Summary, hourly ad costs'!Y23=-9999,'Summary, hourly ad costs'!Y23=0), ".", 'Predicted PPIs'!DB22*('Summary, hourly ad costs'!I23/'Summary, hourly ad costs'!Y23)/('Summary, hourly ad costs'!I22/'Summary, hourly ad costs'!Y22)/(1-CL22)), 'Summary, PPI''s'!Y23))</f>
        <v>96.339944359810204</v>
      </c>
      <c r="DC23" s="5">
        <f>IF(DC22=".", ".", IF('Summary, PPI''s'!Z23=".",IF(OR('Summary, hourly ad costs'!Z23=-9999,'Summary, hourly ad costs'!Z23=0), ".", 'Predicted PPIs'!DC22*('Summary, hourly ad costs'!J23/'Summary, hourly ad costs'!Z23)/('Summary, hourly ad costs'!J22/'Summary, hourly ad costs'!Z22)/(1-CM22)), 'Summary, PPI''s'!Z23))</f>
        <v>95.096609505210253</v>
      </c>
      <c r="DD23" s="5">
        <f>IF(DD22=".", ".", IF('Summary, PPI''s'!AA23=".",IF(OR('Summary, hourly ad costs'!AA23=-9999,'Summary, hourly ad costs'!AA23=0), ".", 'Predicted PPIs'!DD22*('Summary, hourly ad costs'!K23/'Summary, hourly ad costs'!AA23)/('Summary, hourly ad costs'!K22/'Summary, hourly ad costs'!AA22)/(1-CN22)), 'Summary, PPI''s'!AA23))</f>
        <v>66.534195579400347</v>
      </c>
      <c r="DE23" s="5">
        <f>IF(DE22=".", ".", IF('Summary, PPI''s'!AB23=".",IF(OR('Summary, hourly ad costs'!AB23=-9999,'Summary, hourly ad costs'!AB23=0), ".", 'Predicted PPIs'!DE22*('Summary, hourly ad costs'!L23/'Summary, hourly ad costs'!AB23)/('Summary, hourly ad costs'!L22/'Summary, hourly ad costs'!AB22)/(1-CO22)), 'Summary, PPI''s'!AB23))</f>
        <v>158.26523270177219</v>
      </c>
      <c r="DF23" s="5">
        <f>IF(DF22=".", ".", IF('Summary, PPI''s'!AC23=".",IF(OR('Summary, hourly ad costs'!AC23=-9999,'Summary, hourly ad costs'!AC23=0), ".", 'Predicted PPIs'!DF22*('Summary, hourly ad costs'!M23/'Summary, hourly ad costs'!AC23)/('Summary, hourly ad costs'!M22/'Summary, hourly ad costs'!AC22)/(1-CP22)), 'Summary, PPI''s'!AC23))</f>
        <v>486.76303866019839</v>
      </c>
      <c r="DG23" s="5">
        <f>IF(DG22=".", ".", IF('Summary, PPI''s'!AD23=".",IF(OR('Summary, hourly ad costs'!AD23=-9999,'Summary, hourly ad costs'!AD23=0), ".", 'Predicted PPIs'!DG22*('Summary, hourly ad costs'!N23/'Summary, hourly ad costs'!AD23)/('Summary, hourly ad costs'!N22/'Summary, hourly ad costs'!AD22)/(1-CQ22)), 'Summary, PPI''s'!AD23))</f>
        <v>84.636549782441776</v>
      </c>
      <c r="DH23" s="5">
        <f>IF(DH22=".", ".", IF('Summary, PPI''s'!AE23=".",IF(OR('Summary, hourly ad costs'!AE23=-9999,'Summary, hourly ad costs'!AE23=0), ".", 'Predicted PPIs'!DH22*('Summary, hourly ad costs'!O23/'Summary, hourly ad costs'!AE23)/('Summary, hourly ad costs'!O22/'Summary, hourly ad costs'!AE22)/(1-CR22)), 'Summary, PPI''s'!AE23))</f>
        <v>67.247</v>
      </c>
      <c r="DI23" s="5">
        <f>IF(DI22=".", ".", IF('Summary, PPI''s'!AF23=".",IF(OR('Summary, hourly ad costs'!AF23=-9999,'Summary, hourly ad costs'!AF23=0), ".", 'Predicted PPIs'!DI22*('Summary, hourly ad costs'!P23/'Summary, hourly ad costs'!AF23)/('Summary, hourly ad costs'!P22/'Summary, hourly ad costs'!AF22)/(1-CS22)), 'Summary, PPI''s'!AF23))</f>
        <v>73.659000000000006</v>
      </c>
      <c r="DK23" s="4">
        <v>63.866</v>
      </c>
      <c r="DM23" s="5">
        <f t="shared" si="16"/>
        <v>-2.7990524804166306E-2</v>
      </c>
      <c r="DN23" s="5">
        <f t="shared" si="17"/>
        <v>-2.7990524804166306E-2</v>
      </c>
      <c r="DO23" s="5">
        <f t="shared" si="18"/>
        <v>-3.4606383520444761E-2</v>
      </c>
      <c r="DP23" s="5">
        <f t="shared" si="19"/>
        <v>-4.6295685656094765E-3</v>
      </c>
      <c r="DQ23" s="5">
        <f t="shared" si="20"/>
        <v>-8.2580572831991716E-3</v>
      </c>
      <c r="DR23" s="5">
        <f t="shared" si="21"/>
        <v>-1.1465830085847561E-2</v>
      </c>
      <c r="DS23" s="5">
        <f t="shared" si="22"/>
        <v>-0.29855170114257434</v>
      </c>
      <c r="DT23" s="5">
        <f t="shared" si="23"/>
        <v>-6.4528360634257265E-3</v>
      </c>
      <c r="DU23" s="5">
        <f t="shared" si="24"/>
        <v>3.1310106535771709E-2</v>
      </c>
      <c r="DV23" s="5">
        <f t="shared" si="25"/>
        <v>5.6557179672462432E-2</v>
      </c>
      <c r="DW23" s="5">
        <f t="shared" si="26"/>
        <v>-6.1044564690290404E-2</v>
      </c>
      <c r="DX23" s="5">
        <f t="shared" si="27"/>
        <v>0.12936223746389519</v>
      </c>
      <c r="DY23" s="5">
        <f t="shared" si="28"/>
        <v>-2.1208441618833951E-2</v>
      </c>
      <c r="DZ23" s="5">
        <f t="shared" si="29"/>
        <v>8.9317924950815808E-5</v>
      </c>
      <c r="EA23" s="5">
        <f t="shared" si="30"/>
        <v>-1.4413447546367308E-2</v>
      </c>
      <c r="EC23" s="1">
        <f t="shared" si="35"/>
        <v>96.863163510269374</v>
      </c>
      <c r="ED23" s="1">
        <f t="shared" si="36"/>
        <v>96.863163510269374</v>
      </c>
      <c r="EE23" s="1">
        <f t="shared" si="37"/>
        <v>85.01031861881512</v>
      </c>
      <c r="EF23" s="1">
        <f t="shared" si="38"/>
        <v>73.983585057325371</v>
      </c>
      <c r="EG23" s="1">
        <f t="shared" si="39"/>
        <v>65.447506075209049</v>
      </c>
      <c r="EH23" s="1">
        <f t="shared" si="40"/>
        <v>73.269213852153769</v>
      </c>
      <c r="EI23" s="1">
        <f t="shared" si="41"/>
        <v>71.444999999999993</v>
      </c>
      <c r="EJ23" s="1">
        <f t="shared" si="42"/>
        <v>96.339944359810204</v>
      </c>
      <c r="EK23" s="1">
        <f t="shared" si="43"/>
        <v>95.096609505210253</v>
      </c>
      <c r="EL23" s="1">
        <f t="shared" si="44"/>
        <v>66.534195579400347</v>
      </c>
      <c r="EM23" s="1">
        <f t="shared" si="45"/>
        <v>158.26523270177219</v>
      </c>
      <c r="EN23" s="1">
        <f t="shared" si="46"/>
        <v>486.76303866019839</v>
      </c>
      <c r="EO23" s="1">
        <f t="shared" si="47"/>
        <v>84.636549782441776</v>
      </c>
      <c r="EP23" s="1">
        <f t="shared" si="48"/>
        <v>67.247</v>
      </c>
      <c r="EQ23" s="1">
        <f t="shared" si="49"/>
        <v>73.659000000000006</v>
      </c>
      <c r="ES23" s="1">
        <f>IF(EF$26=".", 0, 'Summary, PPI''s'!E23)+IF(EG$26=".", 0, 'Summary, PPI''s'!F23)+IF(EH$26=".", 0, 'Summary, PPI''s'!G23)+IF(EI$26=".", 0, 'Summary, PPI''s'!H23)+IF(EJ$26=".", 0, 'Summary, PPI''s'!I23)+IF(EK$26=".", 0, 'Summary, PPI''s'!J23)+IF(EL$26=".", 0, 'Summary, PPI''s'!K23)+IF(EM$26=".", 0, 'Summary, PPI''s'!L23)+IF(EN$26=".", 0, 'Summary, PPI''s'!M23)+IF(EC$26=".", 0, 'Summary, PPI''s'!B23)+IF(ED$26=".", 0, 'Summary, PPI''s'!C23)+IF(EE$26=".", 0, 'Summary, PPI''s'!D23)+IF(EO$26=".", 0, 'Summary, PPI''s'!N23)+IF(EP$26=".", 0, 'Summary, PPI''s'!O23)+IF(EQ$26=".", 0, 'Summary, PPI''s'!P23)</f>
        <v>258948557.41961044</v>
      </c>
      <c r="ET23" s="1">
        <f>'Summary, hourly ad costs'!E23+'Summary, hourly ad costs'!F23+'Summary, hourly ad costs'!H23+'Summary, hourly ad costs'!I23+'Summary, hourly ad costs'!J23+'Summary, hourly ad costs'!K23+'Summary, hourly ad costs'!L23+'Summary, hourly ad costs'!M23+'Summary, hourly ad costs'!B23</f>
        <v>134202755.78542235</v>
      </c>
      <c r="EV23" s="13">
        <f>EV22*IF(EF$26=".", 1, (EF23/EF22)^(('Summary, PPI''s'!$E23+'Summary, PPI''s'!$E22)/('Predicted PPIs'!ES23+'Predicted PPIs'!ES22)))*IF(EG$26=".", 1, (EG23/EG22)^(('Summary, PPI''s'!$F23+'Summary, PPI''s'!$F22)/('Predicted PPIs'!ES23+'Predicted PPIs'!ES22)))*IF(EH$26=".", 1, (EH23/EH22)^(('Summary, PPI''s'!$G23+'Summary, PPI''s'!$G22)/('Predicted PPIs'!ES23+'Predicted PPIs'!ES22)))*IF(EI$26=".", 1, (EI23/EI22)^(('Summary, PPI''s'!$H23+'Summary, PPI''s'!$H22)/('Predicted PPIs'!ES23+'Predicted PPIs'!ES22)))*IF(EJ$26=".", 1, (EJ23/EJ22)^(('Summary, PPI''s'!$I23+'Summary, PPI''s'!$I22)/('Predicted PPIs'!ES23+'Predicted PPIs'!ES22)))*IF(EK$26=".", 1, (EK23/EK22)^(('Summary, PPI''s'!$J23+'Summary, PPI''s'!$J22)/('Predicted PPIs'!ES23+'Predicted PPIs'!ES22)))*IF(EL$26=".", 1, (EL23/EL22)^(('Summary, PPI''s'!$K23+'Summary, PPI''s'!$K22)/('Predicted PPIs'!ES23+'Predicted PPIs'!ES22)))*IF(EM$26=".", 1, (EM23/EM22)^(('Summary, PPI''s'!$L23+'Summary, PPI''s'!$L22)/('Predicted PPIs'!ES23+'Predicted PPIs'!ES22)))*IF(EN$26=".", 1, (EN23/EN22)^(('Summary, PPI''s'!$M23+'Summary, PPI''s'!$M22)/('Predicted PPIs'!ES23+'Predicted PPIs'!ES22)))*IF(EC$26=".", 1, (EC23/EC22)^(('Summary, PPI''s'!$B23+'Summary, PPI''s'!$B22)/('Predicted PPIs'!ES23+'Predicted PPIs'!ES22)))*IF(ED$26=".", 1, (ED23/ED22)^(('Summary, PPI''s'!$C23+'Summary, PPI''s'!$C22)/('Predicted PPIs'!ES23+'Predicted PPIs'!ES22)))*IF(EE$26=".", 1, (EE23/EE22)^(('Summary, PPI''s'!$D23+'Summary, PPI''s'!$D22)/('Predicted PPIs'!ES23+'Predicted PPIs'!ES22)))*IF(EO$26=".", 1, (EO23/EO22)^(('Summary, PPI''s'!$N23+'Summary, PPI''s'!$N22)/('Predicted PPIs'!ES23+'Predicted PPIs'!ES22)))*IF(EP$26=".", 1, (EP23/EP22)^(('Summary, PPI''s'!$O23+'Summary, PPI''s'!$O22)/('Predicted PPIs'!ES23+'Predicted PPIs'!ES22)))*IF(EQ$26=".", 1, (EQ23/EQ22)^(('Summary, PPI''s'!$P23+'Summary, PPI''s'!$P22)/('Predicted PPIs'!ES23+'Predicted PPIs'!ES22)))</f>
        <v>92.467253186214108</v>
      </c>
      <c r="EW23" s="13">
        <f>EW22*IF(EF$26=".", 1, (EF23/EF22)^(('Summary, PPI''s'!$E23+'Summary, PPI''s'!$E22)/('Predicted PPIs'!ET23+'Predicted PPIs'!ET22)))*IF(EG$26=".", 1, (EG23/EG22)^(('Summary, PPI''s'!$F23+'Summary, PPI''s'!$F22)/('Predicted PPIs'!ET23+'Predicted PPIs'!ET22)))*IF(EH$26=".", 1, (EH23/EH22)^(('Summary, PPI''s'!$G23+'Summary, PPI''s'!$G22)/('Predicted PPIs'!ET23+'Predicted PPIs'!ET22)))*IF(EK$26=".", 1, (EK23/EK22)^(('Summary, PPI''s'!$J23+'Summary, PPI''s'!$J22)/('Predicted PPIs'!ET23+'Predicted PPIs'!ET22)))*IF(EL$26=".", 1, (EL23/EL22)^(('Summary, PPI''s'!$K23+'Summary, PPI''s'!$K22)/('Predicted PPIs'!ET23+'Predicted PPIs'!ET22)))*IF(EM$26=".", 1, (EM23/EM22)^(('Summary, PPI''s'!$L23+'Summary, PPI''s'!$L22)/('Predicted PPIs'!ET23+'Predicted PPIs'!ET22)))*IF(EN$26=".", 1, (EN23/EN22)^(('Summary, PPI''s'!$M23+'Summary, PPI''s'!$M22)/('Predicted PPIs'!ET23+'Predicted PPIs'!ET22)))*IF(EC$26=".", 1, (EC23/EC22)^(('Summary, PPI''s'!$B23+'Summary, PPI''s'!$B22)/('Predicted PPIs'!ET23+'Predicted PPIs'!ET22)))</f>
        <v>104.97040630334364</v>
      </c>
      <c r="EY23" s="2"/>
    </row>
    <row r="24" spans="1:155" x14ac:dyDescent="0.3">
      <c r="A24" s="4">
        <v>1999</v>
      </c>
      <c r="B24" s="10">
        <f>IF(B23=".", ".", IF('Summary, PPI''s'!R24=".",IF(OR('Summary, hourly ad costs'!R24=-9999,'Summary, hourly ad costs'!R24=0), ".", 'Predicted PPIs'!B23*('Summary, hourly ad costs'!B24/'Summary, hourly ad costs'!R24)/('Summary, hourly ad costs'!B23/'Summary, hourly ad costs'!R23)), 'Summary, PPI''s'!R24))</f>
        <v>95.076020272072554</v>
      </c>
      <c r="C24" s="10">
        <f>IF(C23=".", ".", IF('Summary, PPI''s'!S24=".",IF(OR('Summary, hourly ad costs'!S24=-9999,'Summary, hourly ad costs'!S24=0), ".", 'Predicted PPIs'!C23*('Summary, hourly ad costs'!C24/'Summary, hourly ad costs'!S24)/('Summary, hourly ad costs'!C23/'Summary, hourly ad costs'!S23)), 'Summary, PPI''s'!S24))</f>
        <v>95.076020272072554</v>
      </c>
      <c r="D24" s="10">
        <f>IF(D23=".", ".", IF('Summary, PPI''s'!T24=".",IF(OR('Summary, hourly ad costs'!T24=-9999,'Summary, hourly ad costs'!T24=0), ".", 'Predicted PPIs'!D23*('Summary, hourly ad costs'!D24/'Summary, hourly ad costs'!T24)/('Summary, hourly ad costs'!D23/'Summary, hourly ad costs'!T23)), 'Summary, PPI''s'!T24))</f>
        <v>84.013691045452262</v>
      </c>
      <c r="E24" s="10">
        <f>IF(E23=".", ".", IF('Summary, PPI''s'!U24=".",IF(OR('Summary, hourly ad costs'!U24=-9999,'Summary, hourly ad costs'!U24=0), ".", 'Predicted PPIs'!E23*('Summary, hourly ad costs'!E24/'Summary, hourly ad costs'!U24)/('Summary, hourly ad costs'!E23/'Summary, hourly ad costs'!U23)), 'Summary, PPI''s'!U24))</f>
        <v>70.914244616491089</v>
      </c>
      <c r="F24" s="10">
        <f>IF(F23=".", ".", IF('Summary, PPI''s'!V24=".",IF(OR('Summary, hourly ad costs'!V24=-9999,'Summary, hourly ad costs'!V24=0), ".", 'Predicted PPIs'!F23*('Summary, hourly ad costs'!F24/'Summary, hourly ad costs'!V24)/('Summary, hourly ad costs'!F23/'Summary, hourly ad costs'!V23)), 'Summary, PPI''s'!V24))</f>
        <v>62.961818855801297</v>
      </c>
      <c r="G24" s="10">
        <f>IF(G23=".", ".", IF('Summary, PPI''s'!W24=".",IF(OR('Summary, hourly ad costs'!W24=-9999,'Summary, hourly ad costs'!W24=0), ".", 'Predicted PPIs'!G23*('Summary, hourly ad costs'!G24/'Summary, hourly ad costs'!W24)/('Summary, hourly ad costs'!G23/'Summary, hourly ad costs'!W23)), 'Summary, PPI''s'!W24))</f>
        <v>70.715186347242195</v>
      </c>
      <c r="H24" s="10">
        <f>IF(H23=".", ".", IF('Summary, PPI''s'!X24=".",IF(OR('Summary, hourly ad costs'!X24=-9999,'Summary, hourly ad costs'!X24=0), ".", 'Predicted PPIs'!H23*('Summary, hourly ad costs'!H24/'Summary, hourly ad costs'!X24)/('Summary, hourly ad costs'!H23/'Summary, hourly ad costs'!X23)), 'Summary, PPI''s'!X24))</f>
        <v>97.176000000000002</v>
      </c>
      <c r="I24" s="10">
        <f>IF(I23=".", ".", IF('Summary, PPI''s'!Y24=".",IF(OR('Summary, hourly ad costs'!Y24=-9999,'Summary, hourly ad costs'!Y24=0), ".", 'Predicted PPIs'!I23*('Summary, hourly ad costs'!I24/'Summary, hourly ad costs'!Y24)/('Summary, hourly ad costs'!I23/'Summary, hourly ad costs'!Y23)), 'Summary, PPI''s'!Y24))</f>
        <v>92.512570330276361</v>
      </c>
      <c r="J24" s="10">
        <f>IF(J23=".", ".", IF('Summary, PPI''s'!Z24=".",IF(OR('Summary, hourly ad costs'!Z24=-9999,'Summary, hourly ad costs'!Z24=0), ".", 'Predicted PPIs'!J23*('Summary, hourly ad costs'!J24/'Summary, hourly ad costs'!Z24)/('Summary, hourly ad costs'!J23/'Summary, hourly ad costs'!Z23)), 'Summary, PPI''s'!Z24))</f>
        <v>87.974863920413014</v>
      </c>
      <c r="K24" s="10">
        <f>IF(K23=".", ".", IF('Summary, PPI''s'!AA24=".",IF(OR('Summary, hourly ad costs'!AA24=-9999,'Summary, hourly ad costs'!AA24=0), ".", 'Predicted PPIs'!K23*('Summary, hourly ad costs'!K24/'Summary, hourly ad costs'!AA24)/('Summary, hourly ad costs'!K23/'Summary, hourly ad costs'!AA23)), 'Summary, PPI''s'!AA24))</f>
        <v>60.080667513871127</v>
      </c>
      <c r="L24" s="10">
        <f>IF(L23=".", ".", IF('Summary, PPI''s'!AB24=".",IF(OR('Summary, hourly ad costs'!AB24=-9999,'Summary, hourly ad costs'!AB24=0), ".", 'Predicted PPIs'!L23*('Summary, hourly ad costs'!L24/'Summary, hourly ad costs'!AB24)/('Summary, hourly ad costs'!L23/'Summary, hourly ad costs'!AB23)), 'Summary, PPI''s'!AB24))</f>
        <v>117.24300382439715</v>
      </c>
      <c r="M24" s="10">
        <f>IF(M23=".", ".", IF('Summary, PPI''s'!AC24=".",IF(OR('Summary, hourly ad costs'!AC24=-9999,'Summary, hourly ad costs'!AC24=0), ".", 'Predicted PPIs'!M23*('Summary, hourly ad costs'!M24/'Summary, hourly ad costs'!AC24)/('Summary, hourly ad costs'!M23/'Summary, hourly ad costs'!AC23)), 'Summary, PPI''s'!AC24))</f>
        <v>39.018315587093198</v>
      </c>
      <c r="N24" s="10">
        <f>IF(N23=".", ".", IF('Summary, PPI''s'!AD24=".",IF(OR('Summary, hourly ad costs'!AD24=-9999,'Summary, hourly ad costs'!AD24=0), ".", 'Predicted PPIs'!N23*('Summary, hourly ad costs'!N24/'Summary, hourly ad costs'!AD24)/('Summary, hourly ad costs'!N23/'Summary, hourly ad costs'!AD23)), 'Summary, PPI''s'!AD24))</f>
        <v>82.499360122856416</v>
      </c>
      <c r="O24" s="10">
        <f>IF(O23=".", ".", IF('Summary, PPI''s'!AE24=".",IF(OR('Summary, hourly ad costs'!AE24=-9999,'Summary, hourly ad costs'!AE24=0), ".", 'Predicted PPIs'!O23*('Summary, hourly ad costs'!O24/'Summary, hourly ad costs'!AE24)/('Summary, hourly ad costs'!O23/'Summary, hourly ad costs'!AE23)), 'Summary, PPI''s'!AE24))</f>
        <v>64.153000000000006</v>
      </c>
      <c r="P24" s="10">
        <f>IF(P23=".", ".", IF('Summary, PPI''s'!AF24=".",IF(OR('Summary, hourly ad costs'!AF24=-9999,'Summary, hourly ad costs'!AF24=0), ".", 'Predicted PPIs'!P23*('Summary, hourly ad costs'!P24/'Summary, hourly ad costs'!AF24)/('Summary, hourly ad costs'!P23/'Summary, hourly ad costs'!AF23)), 'Summary, PPI''s'!AF24))</f>
        <v>71.304000000000002</v>
      </c>
      <c r="R24" s="1">
        <f>IF(E$26=".", 0, 'Summary, PPI''s'!E24)+IF(F$26=".", 0, 'Summary, PPI''s'!F24)+IF(G$26=".", 0, 'Summary, PPI''s'!G24)+IF(H$26=".", 0, 'Summary, PPI''s'!H24)+IF(I$26=".", 0, 'Summary, PPI''s'!I24)+IF(J$26=".", 0, 'Summary, PPI''s'!J24)+IF(K$26=".", 0, 'Summary, PPI''s'!K24)+IF(L$26=".", 0, 'Summary, PPI''s'!L24)+IF(M$26=".", 0, 'Summary, PPI''s'!M24)+IF(B$26=".", 0, 'Summary, PPI''s'!B24)+IF(C$26=".", 0, 'Summary, PPI''s'!C24)+IF(D$26=".", 0, 'Summary, PPI''s'!D24)+IF(N$26=".", 0, 'Summary, PPI''s'!N24)+IF(O$26=".", 0, 'Summary, PPI''s'!O24)+IF(P$26=".", 0, 'Summary, PPI''s'!P24)</f>
        <v>235640097.11526537</v>
      </c>
      <c r="S24" s="1">
        <f>IF(E$36=".", 0, 'Summary, PPI''s'!E24)+IF(F$36=".", 0, 'Summary, PPI''s'!F24)+IF(G$36=".", 0, 'Summary, PPI''s'!G24)+IF(H$36=".", 0, 'Summary, PPI''s'!H24)+IF(I$36=".", 0, 'Summary, PPI''s'!I24)+IF(J$36=".", 0, 'Summary, PPI''s'!J24)+IF(K$36=".", 0, 'Summary, PPI''s'!K24)+IF(L$36=".", 0, 'Summary, PPI''s'!L24)+IF(M$36=".", 0, 'Summary, PPI''s'!M24)+IF(B$36=".", 0, 'Summary, PPI''s'!B24)+IF(C$36=".", 0, 'Summary, PPI''s'!C24)+IF(D$36=".", 0, 'Summary, PPI''s'!D24)+IF(N$36=".", 0, 'Summary, PPI''s'!N24)+IF(O$36=".", 0, 'Summary, PPI''s'!O24)+IF(P$36=".", 0, 'Summary, PPI''s'!P24)</f>
        <v>231336512.16211557</v>
      </c>
      <c r="T24" s="1">
        <f>IF(E$46=".", 0, 'Summary, PPI''s'!E24)+IF(F$46=".", 0, 'Summary, PPI''s'!F24)+IF(G$46=".", 0, 'Summary, PPI''s'!G24)+IF(H$46=".", 0, 'Summary, PPI''s'!H24)+IF(I$46=".", 0, 'Summary, PPI''s'!I24)+IF(J$46=".", 0, 'Summary, PPI''s'!J24)+IF(K$46=".", 0, 'Summary, PPI''s'!K24)+IF(L$46=".", 0, 'Summary, PPI''s'!L24)+IF(M$46=".", 0, 'Summary, PPI''s'!M24)+IF(B$46=".", 0, 'Summary, PPI''s'!B24)+IF(C$46=".", 0, 'Summary, PPI''s'!C24)+IF(D$46=".", 0, 'Summary, PPI''s'!D24)+IF(N$46=".", 0, 'Summary, PPI''s'!N24)+IF(O$46=".", 0, 'Summary, PPI''s'!O24)+IF(P$46=".", 0, 'Summary, PPI''s'!P24)</f>
        <v>154940654.60548306</v>
      </c>
      <c r="U24" s="1">
        <f>IF(E$60=".", 0, 'Summary, PPI''s'!E24)+IF(F$60=".", 0, 'Summary, PPI''s'!F24)+IF(G$60=".", 0, 'Summary, PPI''s'!G24)+IF(H$60=".", 0, 'Summary, PPI''s'!H24)+IF(I$60=".", 0, 'Summary, PPI''s'!I24)+IF(J$60=".", 0, 'Summary, PPI''s'!J24)+IF(K$60=".", 0, 'Summary, PPI''s'!K24)+IF(L$60=".", 0, 'Summary, PPI''s'!L24)+IF(M$60=".", 0, 'Summary, PPI''s'!M24)+IF(B$60=".", 0, 'Summary, PPI''s'!B24)+IF(C$60=".", 0, 'Summary, PPI''s'!C24)+IF(D$60=".", 0, 'Summary, PPI''s'!D24)+IF(N$60=".", 0, 'Summary, PPI''s'!N24)+IF(O$60=".", 0, 'Summary, PPI''s'!O24)+IF(P$60=".", 0, 'Summary, PPI''s'!P24)</f>
        <v>126154135.16856743</v>
      </c>
      <c r="V24" s="1">
        <f>IF(E$73=".", 0, 'Summary, PPI''s'!E24)+IF(F$73=".", 0, 'Summary, PPI''s'!F24)+IF(G$73=".", 0, 'Summary, PPI''s'!G24)+IF(H$73=".", 0, 'Summary, PPI''s'!H24)+IF(I$73=".", 0, 'Summary, PPI''s'!I24)+IF(J$73=".", 0, 'Summary, PPI''s'!J24)+IF(K$73=".", 0, 'Summary, PPI''s'!K24)+IF(L$73=".", 0, 'Summary, PPI''s'!L24)+IF(M$73=".", 0, 'Summary, PPI''s'!M24)+IF(B$73=".", 0, 'Summary, PPI''s'!B24)+IF(C$73=".", 0, 'Summary, PPI''s'!C24)+IF(D$73=".", 0, 'Summary, PPI''s'!D24)+IF(N$73=".", 0, 'Summary, PPI''s'!N24)+IF(O$73=".", 0, 'Summary, PPI''s'!O24)+IF(P$73=".", 0, 'Summary, PPI''s'!P24)</f>
        <v>100739986.85252383</v>
      </c>
      <c r="W24" s="1">
        <f>IF(E$94=".",0,'Summary, PPI''s'!E24)+IF(F$94=".",0,'Summary, PPI''s'!F24)+IF(G$94=".",0,'Summary, PPI''s'!G24)+IF(H$94=".",0,'Summary, PPI''s'!H24)+IF(I$94=".",0,'Summary, PPI''s'!I24)+IF(J$94=".",0,'Summary, PPI''s'!J24)+IF(K$94=".",0,'Summary, PPI''s'!K24)+IF(L$94=".",0,'Summary, PPI''s'!L24)+IF(M$94=".",0,'Summary, PPI''s'!M24)+IF(B$94=".",0,'Summary, PPI''s'!B24)+IF(C$94=".",0,'Summary, PPI''s'!C24)+IF(D$94=".",0,'Summary, PPI''s'!D24)+IF(N$94=".",0,'Summary, PPI''s'!N24)+IF(O$94=".",0,'Summary, PPI''s'!O24)+IF(P$94=".",0,'Summary, PPI''s'!P24)</f>
        <v>73681055.155997232</v>
      </c>
      <c r="X24" s="1">
        <f>IF(E$123=".", 0, 'Summary, PPI''s'!E24)+IF(F$123=".", 0, 'Summary, PPI''s'!F24)+IF(G$123=".", 0, 'Summary, PPI''s'!G24)+IF(H$123=".", 0, 'Summary, PPI''s'!H24)+IF(I$123=".", 0, 'Summary, PPI''s'!I24)+IF(J$123=".", 0, 'Summary, PPI''s'!J24)+IF(K$123=".", 0, 'Summary, PPI''s'!K24)+IF(L$123=".", 0, 'Summary, PPI''s'!L24)+IF(M$123=".", 0, 'Summary, PPI''s'!M24)+IF(B$123=".", 0, 'Summary, PPI''s'!B24)+IF(C$123=".", 0, 'Summary, PPI''s'!C24)+IF(D$123=".", 0, 'Summary, PPI''s'!D24)+IF(N$123=".", 0, 'Summary, PPI''s'!N24)+IF(O$123=".", 0, 'Summary, PPI''s'!O24)+IF(P$123=".", 0, 'Summary, PPI''s'!P24)</f>
        <v>61498236.221228078</v>
      </c>
      <c r="Z24" s="4">
        <f>Z23*IF(E$26=".", 1, (E24/E23)^(('Summary, PPI''s'!$E24+'Summary, PPI''s'!$E23)/('Predicted PPIs'!R24+'Predicted PPIs'!R23)))*IF(F$26=".", 1, (F24/F23)^(('Summary, PPI''s'!$F24+'Summary, PPI''s'!$F23)/('Predicted PPIs'!R24+'Predicted PPIs'!R23)))*IF(G$26=".", 1, (G24/G23)^(('Summary, PPI''s'!$G24+'Summary, PPI''s'!$G23)/('Predicted PPIs'!R24+'Predicted PPIs'!R23)))*IF(H$26=".", 1, (H24/H23)^(('Summary, PPI''s'!$H24+'Summary, PPI''s'!$H23)/('Predicted PPIs'!R24+'Predicted PPIs'!R23)))*IF(I$26=".", 1, (I24/I23)^(('Summary, PPI''s'!$I24+'Summary, PPI''s'!$I23)/('Predicted PPIs'!R24+'Predicted PPIs'!R23)))*IF(J$26=".", 1, (J24/J23)^(('Summary, PPI''s'!$J24+'Summary, PPI''s'!$J23)/('Predicted PPIs'!R24+'Predicted PPIs'!R23)))*IF(K$26=".", 1, (K24/K23)^(('Summary, PPI''s'!$K24+'Summary, PPI''s'!$K23)/('Predicted PPIs'!R24+'Predicted PPIs'!R23)))*IF(L$26=".", 1, (L24/L23)^(('Summary, PPI''s'!$L24+'Summary, PPI''s'!$L23)/('Predicted PPIs'!R24+'Predicted PPIs'!R23)))*IF(M$26=".", 1, (M24/M23)^(('Summary, PPI''s'!$M24+'Summary, PPI''s'!$M23)/('Predicted PPIs'!R24+'Predicted PPIs'!R23)))*IF(B$26=".", 1, (B24/B23)^(('Summary, PPI''s'!$B24+'Summary, PPI''s'!$B23)/('Predicted PPIs'!R24+'Predicted PPIs'!R23)))*IF(C$26=".", 1, (C24/C23)^(('Summary, PPI''s'!$C24+'Summary, PPI''s'!$C23)/('Predicted PPIs'!R24+'Predicted PPIs'!R23)))*IF(D$26=".", 1, (D24/D23)^(('Summary, PPI''s'!$D24+'Summary, PPI''s'!$D23)/('Predicted PPIs'!R24+'Predicted PPIs'!R23)))*IF(N$26=".", 1, (N24/N23)^(('Summary, PPI''s'!$N24+'Summary, PPI''s'!$N23)/('Predicted PPIs'!R24+'Predicted PPIs'!R23)))*IF(O$26=".", 1, (O24/O23)^(('Summary, PPI''s'!$O24+'Summary, PPI''s'!$O23)/('Predicted PPIs'!R24+'Predicted PPIs'!R23)))*IF(P$26=".", 1, (P24/P23)^(('Summary, PPI''s'!$P24+'Summary, PPI''s'!$P23)/('Predicted PPIs'!R24+'Predicted PPIs'!R23)))</f>
        <v>84.889227713659366</v>
      </c>
      <c r="AA24" s="4">
        <f>AA23*IF(E$36=".", 1, (E24/E23)^(('Summary, PPI''s'!$E24+'Summary, PPI''s'!$E23)/('Predicted PPIs'!S24+'Predicted PPIs'!S23)))*IF(F$36=".", 1, (F24/F23)^(('Summary, PPI''s'!$F24+'Summary, PPI''s'!$F23)/('Predicted PPIs'!S24+'Predicted PPIs'!S23)))*IF(G$36=".", 1, (G24/G23)^(('Summary, PPI''s'!$G24+'Summary, PPI''s'!$G23)/('Predicted PPIs'!S24+'Predicted PPIs'!S23)))*IF(H$36=".", 1, (H24/H23)^(('Summary, PPI''s'!$H24+'Summary, PPI''s'!$H23)/('Predicted PPIs'!S24+'Predicted PPIs'!S23)))*IF(I$36=".", 1, (I24/I23)^(('Summary, PPI''s'!$I24+'Summary, PPI''s'!$I23)/('Predicted PPIs'!S24+'Predicted PPIs'!S23)))*IF(J$36=".", 1, (J24/J23)^(('Summary, PPI''s'!$J24+'Summary, PPI''s'!$J23)/('Predicted PPIs'!S24+'Predicted PPIs'!S23)))*IF(K$36=".", 1, (K24/K23)^(('Summary, PPI''s'!$K24+'Summary, PPI''s'!$K23)/('Predicted PPIs'!S24+'Predicted PPIs'!S23)))*IF(L$36=".", 1, (L24/L23)^(('Summary, PPI''s'!$L24+'Summary, PPI''s'!$L23)/('Predicted PPIs'!S24+'Predicted PPIs'!S23)))*IF(M$36=".", 1, (M24/M23)^(('Summary, PPI''s'!$M24+'Summary, PPI''s'!$M23)/('Predicted PPIs'!S24+'Predicted PPIs'!S23)))*IF(B$36=".", 1, (B24/B23)^(('Summary, PPI''s'!$B24+'Summary, PPI''s'!$B23)/('Predicted PPIs'!S24+'Predicted PPIs'!S23)))*IF(C$36=".", 1, (C24/C23)^(('Summary, PPI''s'!$C24+'Summary, PPI''s'!$C23)/('Predicted PPIs'!S24+'Predicted PPIs'!S23)))*IF(D$36=".", 1, (D24/D23)^(('Summary, PPI''s'!$D24+'Summary, PPI''s'!$D23)/('Predicted PPIs'!S24+'Predicted PPIs'!S23)))*IF(N$36=".", 1, (N24/N23)^(('Summary, PPI''s'!$N24+'Summary, PPI''s'!$N23)/('Predicted PPIs'!S24+'Predicted PPIs'!S23)))*IF(O$36=".", 1, (O24/O23)^(('Summary, PPI''s'!$O24+'Summary, PPI''s'!$O23)/('Predicted PPIs'!S24+'Predicted PPIs'!S23)))*IF(P$36=".", 1, (P24/P23)^(('Summary, PPI''s'!$P24+'Summary, PPI''s'!$P23)/('Predicted PPIs'!S24+'Predicted PPIs'!S23)))</f>
        <v>74.845144665580904</v>
      </c>
      <c r="AB24" s="4">
        <f>AB23*IF(E$46=".", 1, (E24/E23)^(('Summary, PPI''s'!$E24+'Summary, PPI''s'!$E23)/('Predicted PPIs'!T24+'Predicted PPIs'!T23)))*IF(F$46=".", 1, (F24/F23)^(('Summary, PPI''s'!$F24+'Summary, PPI''s'!$F23)/('Predicted PPIs'!T24+'Predicted PPIs'!T23)))*IF(G$46=".", 1, (G24/G23)^(('Summary, PPI''s'!$G24+'Summary, PPI''s'!$G23)/('Predicted PPIs'!T24+'Predicted PPIs'!T23)))*IF(H$46=".", 1, (H24/H23)^(('Summary, PPI''s'!$H24+'Summary, PPI''s'!$H23)/('Predicted PPIs'!T24+'Predicted PPIs'!T23)))*IF(I$46=".", 1, (I24/I23)^(('Summary, PPI''s'!$I24+'Summary, PPI''s'!$I23)/('Predicted PPIs'!T24+'Predicted PPIs'!T23)))*IF(J$46=".", 1, (J24/J23)^(('Summary, PPI''s'!$J24+'Summary, PPI''s'!$J23)/('Predicted PPIs'!T24+'Predicted PPIs'!T23)))*IF(K$46=".", 1, (K24/K23)^(('Summary, PPI''s'!$K24+'Summary, PPI''s'!$K23)/('Predicted PPIs'!T24+'Predicted PPIs'!T23)))*IF(L$46=".", 1, (L24/L23)^(('Summary, PPI''s'!$L24+'Summary, PPI''s'!$L23)/('Predicted PPIs'!T24+'Predicted PPIs'!T23)))*IF(M$46=".", 1, (M24/M23)^(('Summary, PPI''s'!$M24+'Summary, PPI''s'!$M23)/('Predicted PPIs'!T24+'Predicted PPIs'!T23)))*IF(B$46=".", 1, (B24/B23)^(('Summary, PPI''s'!$B24+'Summary, PPI''s'!$B23)/('Predicted PPIs'!T24+'Predicted PPIs'!T23)))*IF(C$46=".", 1, (C24/C23)^(('Summary, PPI''s'!$C24+'Summary, PPI''s'!$C23)/('Predicted PPIs'!T24+'Predicted PPIs'!T23)))*IF(D$46=".", 1, (D24/D23)^(('Summary, PPI''s'!$D24+'Summary, PPI''s'!$D23)/('Predicted PPIs'!T24+'Predicted PPIs'!T23)))*IF(N$46=".", 1, (N24/N23)^(('Summary, PPI''s'!$N24+'Summary, PPI''s'!$N23)/('Predicted PPIs'!T24+'Predicted PPIs'!T23)))*IF(O$46=".", 1, (O24/O23)^(('Summary, PPI''s'!$O24+'Summary, PPI''s'!$O23)/('Predicted PPIs'!T24+'Predicted PPIs'!T23)))*IF(P$46=".", 1, (P24/P23)^(('Summary, PPI''s'!$P24+'Summary, PPI''s'!$P23)/('Predicted PPIs'!T24+'Predicted PPIs'!T23)))</f>
        <v>74.092446011519414</v>
      </c>
      <c r="AC24" s="4">
        <f>AC23*IF(E$60=".",1,(E24/E23)^(('Summary, PPI''s'!$E24+'Summary, PPI''s'!$E23)/('Predicted PPIs'!U24+'Predicted PPIs'!U23)))*IF(F$60=".",1,(F24/F23)^(('Summary, PPI''s'!$F24+'Summary, PPI''s'!$F23)/('Predicted PPIs'!U24+'Predicted PPIs'!U23)))*IF(G$60=".",1,(G24/G23)^(('Summary, PPI''s'!$G24+'Summary, PPI''s'!$G23)/('Predicted PPIs'!U24+'Predicted PPIs'!U23)))*IF(H$60=".",1,(H24/H23)^(('Summary, PPI''s'!$H24+'Summary, PPI''s'!$H23)/('Predicted PPIs'!U24+'Predicted PPIs'!U23)))*IF(I$60=".",1,(I24/I23)^(('Summary, PPI''s'!$I24+'Summary, PPI''s'!$I23)/('Predicted PPIs'!U24+'Predicted PPIs'!U23)))*IF(J$60=".",1,(J24/J23)^(('Summary, PPI''s'!$J24+'Summary, PPI''s'!$J23)/('Predicted PPIs'!U24+'Predicted PPIs'!U23)))*IF(K$60=".",1,(K24/K23)^(('Summary, PPI''s'!$K24+'Summary, PPI''s'!$K23)/('Predicted PPIs'!U24+'Predicted PPIs'!U23)))*IF(L$60=".",1,(L24/L23)^(('Summary, PPI''s'!$L24+'Summary, PPI''s'!$L23)/('Predicted PPIs'!U24+'Predicted PPIs'!U23)))*IF(M$60=".",1,(M24/M23)^(('Summary, PPI''s'!$M24+'Summary, PPI''s'!$M23)/('Predicted PPIs'!U24+'Predicted PPIs'!U23)))*IF(B$60=".",1,(B24/B23)^(('Summary, PPI''s'!$B24+'Summary, PPI''s'!$B23)/('Predicted PPIs'!U24+'Predicted PPIs'!U23)))*IF(C$60=".",1,(C24/C23)^(('Summary, PPI''s'!$C24+'Summary, PPI''s'!$C23)/('Predicted PPIs'!U24+'Predicted PPIs'!U23)))*IF(D$60=".",1,(D24/D23)^(('Summary, PPI''s'!$D24+'Summary, PPI''s'!$D23)/('Predicted PPIs'!U24+'Predicted PPIs'!U23)))*IF(N$60=".",1,(N24/N23)^(('Summary, PPI''s'!$N24+'Summary, PPI''s'!$N23)/('Predicted PPIs'!U24+'Predicted PPIs'!U23)))*IF(O$60=".",1,(O24/O23)^(('Summary, PPI''s'!$O24+'Summary, PPI''s'!$O23)/('Predicted PPIs'!U24+'Predicted PPIs'!U23)))*IF(P$60=".",1,(P24/P23)^(('Summary, PPI''s'!$P24+'Summary, PPI''s'!$P23)/('Predicted PPIs'!U24+'Predicted PPIs'!U23)))</f>
        <v>81.533987606746095</v>
      </c>
      <c r="AD24" s="4">
        <f>AD23*IF(E$73=".", 1, (E24/E23)^(('Summary, PPI''s'!$E24+'Summary, PPI''s'!$E23)/('Predicted PPIs'!V24+'Predicted PPIs'!V23)))*IF(F$73=".", 1, (F24/F23)^(('Summary, PPI''s'!$F24+'Summary, PPI''s'!$F23)/('Predicted PPIs'!V24+'Predicted PPIs'!V23)))*IF(G$73=".", 1, (G24/G23)^(('Summary, PPI''s'!$G24+'Summary, PPI''s'!$G23)/('Predicted PPIs'!V24+'Predicted PPIs'!V23)))*IF(H$73=".", 1, (H24/H23)^(('Summary, PPI''s'!$H24+'Summary, PPI''s'!$H23)/('Predicted PPIs'!V24+'Predicted PPIs'!V23)))*IF(I$73=".", 1, (I24/I23)^(('Summary, PPI''s'!$I24+'Summary, PPI''s'!$I23)/('Predicted PPIs'!V24+'Predicted PPIs'!V23)))*IF(J$73=".", 1, (J24/J23)^(('Summary, PPI''s'!$J24+'Summary, PPI''s'!$J23)/('Predicted PPIs'!V24+'Predicted PPIs'!V23)))*IF(K$73=".", 1, (K24/K23)^(('Summary, PPI''s'!$K24+'Summary, PPI''s'!$K23)/('Predicted PPIs'!V24+'Predicted PPIs'!V23)))*IF(L$73=".", 1, (L24/L23)^(('Summary, PPI''s'!$L24+'Summary, PPI''s'!$L23)/('Predicted PPIs'!V24+'Predicted PPIs'!V23)))*IF(M$73=".", 1, (M24/M23)^(('Summary, PPI''s'!$M24+'Summary, PPI''s'!$M23)/('Predicted PPIs'!V24+'Predicted PPIs'!V23)))*IF(B$73=".", 1, (B24/B23)^(('Summary, PPI''s'!$B24+'Summary, PPI''s'!$B23)/('Predicted PPIs'!V24+'Predicted PPIs'!V23)))*IF(C$73=".", 1, (C24/C23)^(('Summary, PPI''s'!$C24+'Summary, PPI''s'!$C23)/('Predicted PPIs'!V24+'Predicted PPIs'!V23)))*IF(D$73=".", 1, (D24/D23)^(('Summary, PPI''s'!$D24+'Summary, PPI''s'!$D23)/('Predicted PPIs'!V24+'Predicted PPIs'!V23)))*IF(N$73=".", 1, (N24/N23)^(('Summary, PPI''s'!$N24+'Summary, PPI''s'!$N23)/('Predicted PPIs'!V24+'Predicted PPIs'!V23)))*IF(O$73=".", 1, (O24/O23)^(('Summary, PPI''s'!$O24+'Summary, PPI''s'!$O23)/('Predicted PPIs'!V24+'Predicted PPIs'!V23)))*IF(P$73=".", 1, (P24/P23)^(('Summary, PPI''s'!$P24+'Summary, PPI''s'!$P23)/('Predicted PPIs'!V24+'Predicted PPIs'!V23)))</f>
        <v>81.524130496276854</v>
      </c>
      <c r="AE24" s="4">
        <f>AE23*IF(E$94=".", 1, (E24/E23)^(('Summary, PPI''s'!$E24+'Summary, PPI''s'!$E23)/('Predicted PPIs'!W24+'Predicted PPIs'!W23)))*IF(F$94=".", 1, (F24/F23)^(('Summary, PPI''s'!$F24+'Summary, PPI''s'!$F23)/('Predicted PPIs'!W24+'Predicted PPIs'!W23)))*IF(G$94=".", 1, (G24/G23)^(('Summary, PPI''s'!$G24+'Summary, PPI''s'!$G23)/('Predicted PPIs'!W24+'Predicted PPIs'!W23)))*IF(H$94=".", 1, (H24/H23)^(('Summary, PPI''s'!$H24+'Summary, PPI''s'!$H23)/('Predicted PPIs'!W24+'Predicted PPIs'!W23)))*IF(I$94=".", 1, (I24/I23)^(('Summary, PPI''s'!$I24+'Summary, PPI''s'!$I23)/('Predicted PPIs'!W24+'Predicted PPIs'!W23)))*IF(J$94=".", 1, (J24/J23)^(('Summary, PPI''s'!$J24+'Summary, PPI''s'!$J23)/('Predicted PPIs'!W24+'Predicted PPIs'!W23)))*IF(K$94=".", 1, (K24/K23)^(('Summary, PPI''s'!$K24+'Summary, PPI''s'!$K23)/('Predicted PPIs'!W24+'Predicted PPIs'!W23)))*IF(L$94=".", 1, (L24/L23)^(('Summary, PPI''s'!$L24+'Summary, PPI''s'!$L23)/('Predicted PPIs'!W24+'Predicted PPIs'!W23)))*IF(M$94=".", 1, (M24/M23)^(('Summary, PPI''s'!$M24+'Summary, PPI''s'!$M23)/('Predicted PPIs'!W24+'Predicted PPIs'!W23)))*IF(B$94=".", 1, (B24/B23)^(('Summary, PPI''s'!$B24+'Summary, PPI''s'!$B23)/('Predicted PPIs'!W24+'Predicted PPIs'!W23)))*IF(C$94=".", 1, (C24/C23)^(('Summary, PPI''s'!$C24+'Summary, PPI''s'!$C23)/('Predicted PPIs'!W24+'Predicted PPIs'!W23)))*IF(D$94=".", 1, (D24/D23)^(('Summary, PPI''s'!$D24+'Summary, PPI''s'!$D23)/('Predicted PPIs'!W24+'Predicted PPIs'!W23)))*IF(N$94=".", 1, (N24/N23)^(('Summary, PPI''s'!$N24+'Summary, PPI''s'!$N23)/('Predicted PPIs'!W24+'Predicted PPIs'!W23)))*IF(O$94=".", 1, (O24/O23)^(('Summary, PPI''s'!$O24+'Summary, PPI''s'!$O23)/('Predicted PPIs'!W24+'Predicted PPIs'!W23)))*IF(P$94=".", 1, (P24/P23)^(('Summary, PPI''s'!$P24+'Summary, PPI''s'!$P23)/('Predicted PPIs'!W24+'Predicted PPIs'!W23)))</f>
        <v>75.425607037023681</v>
      </c>
      <c r="AF24" s="4">
        <f>AF23*IF(E$123=".", 1, (E24/E23)^(('Summary, PPI''s'!$E24+'Summary, PPI''s'!$E23)/('Predicted PPIs'!X24+'Predicted PPIs'!X23)))*IF(F$123=".", 1, (F24/F23)^(('Summary, PPI''s'!$F24+'Summary, PPI''s'!$F23)/('Predicted PPIs'!X24+'Predicted PPIs'!X23)))*IF(G$123=".", 1, (G24/G23)^(('Summary, PPI''s'!$G24+'Summary, PPI''s'!$G23)/('Predicted PPIs'!X24+'Predicted PPIs'!X23)))*IF(H$123=".", 1, (H24/H23)^(('Summary, PPI''s'!$H24+'Summary, PPI''s'!$H23)/('Predicted PPIs'!X24+'Predicted PPIs'!X23)))*IF(I$123=".", 1, (I24/I23)^(('Summary, PPI''s'!$I24+'Summary, PPI''s'!$I23)/('Predicted PPIs'!X24+'Predicted PPIs'!X23)))*IF(J$123=".", 1, (J24/J23)^(('Summary, PPI''s'!$J24+'Summary, PPI''s'!$J23)/('Predicted PPIs'!X24+'Predicted PPIs'!X23)))*IF(K$123=".", 1, (K24/K23)^(('Summary, PPI''s'!$K24+'Summary, PPI''s'!$K23)/('Predicted PPIs'!X24+'Predicted PPIs'!X23)))*IF(L$123=".", 1, (L24/L23)^(('Summary, PPI''s'!$L24+'Summary, PPI''s'!$L23)/('Predicted PPIs'!X24+'Predicted PPIs'!X23)))*IF(M$123=".", 1, (M24/M23)^(('Summary, PPI''s'!$M24+'Summary, PPI''s'!$M23)/('Predicted PPIs'!X24+'Predicted PPIs'!X23)))*IF(B$123=".", 1, (B24/B23)^(('Summary, PPI''s'!$B24+'Summary, PPI''s'!$B23)/('Predicted PPIs'!X24+'Predicted PPIs'!X23)))*IF(C$123=".", 1, (C24/C23)^(('Summary, PPI''s'!$C24+'Summary, PPI''s'!$C23)/('Predicted PPIs'!X24+'Predicted PPIs'!X23)))*IF(D$123=".", 1, (D24/D23)^(('Summary, PPI''s'!$D24+'Summary, PPI''s'!$D23)/('Predicted PPIs'!X24+'Predicted PPIs'!X23)))*IF(N$123=".", 1, (N24/N23)^(('Summary, PPI''s'!$N24+'Summary, PPI''s'!$N23)/('Predicted PPIs'!X24+'Predicted PPIs'!X23)))*IF(O$123=".", 1, (O24/O23)^(('Summary, PPI''s'!$O24+'Summary, PPI''s'!$O23)/('Predicted PPIs'!X24+'Predicted PPIs'!X23)))*IF(P$123=".", 1, (P24/P23)^(('Summary, PPI''s'!$P24+'Summary, PPI''s'!$P23)/('Predicted PPIs'!X24+'Predicted PPIs'!X23)))</f>
        <v>69.714676120882501</v>
      </c>
      <c r="AH24" s="13">
        <f t="shared" si="32"/>
        <v>84.88922771365938</v>
      </c>
      <c r="AJ24" s="4">
        <v>6283.8</v>
      </c>
      <c r="AK24" s="4">
        <v>-0.35</v>
      </c>
      <c r="AL24" s="4">
        <v>-718.91899999999998</v>
      </c>
      <c r="AM24" s="4">
        <v>-10.590999999999999</v>
      </c>
      <c r="AN24" s="4">
        <v>7057.6</v>
      </c>
      <c r="AO24" s="4">
        <v>1813.8</v>
      </c>
      <c r="AP24" s="4">
        <f>839.948+0.008+0.196+9.551-900.287</f>
        <v>-50.583999999999946</v>
      </c>
      <c r="AQ24" s="4">
        <f>601.108+9.333+8.569+25.173-937.146</f>
        <v>-292.96300000000008</v>
      </c>
      <c r="AR24" s="4">
        <v>-32.286999999999999</v>
      </c>
      <c r="AS24" s="4">
        <v>-51.009</v>
      </c>
      <c r="AT24" s="4">
        <v>76.164000000000001</v>
      </c>
      <c r="AU24" s="4">
        <v>60.755000000000003</v>
      </c>
      <c r="AV24" s="4">
        <v>72.861999999999995</v>
      </c>
      <c r="AW24" s="4">
        <v>55.911999999999999</v>
      </c>
      <c r="AX24" s="4">
        <v>68.655000000000001</v>
      </c>
      <c r="AY24" s="4">
        <v>85.277000000000001</v>
      </c>
      <c r="AZ24" s="4">
        <v>53.198</v>
      </c>
      <c r="BA24" s="4">
        <v>78.191999999999993</v>
      </c>
      <c r="BB24" s="4">
        <v>101.471</v>
      </c>
      <c r="BC24" s="4">
        <v>91.545000000000002</v>
      </c>
      <c r="BG24" s="4">
        <f t="shared" si="50"/>
        <v>81.603224780673898</v>
      </c>
      <c r="BI24" s="4">
        <f>BI$13*'[2]Ordinary Experience'!$D$402/'[2]Ordinary Experience'!$D$413</f>
        <v>278205255.46733344</v>
      </c>
      <c r="BJ24" s="4">
        <f>'[2]Ordinary Experience'!$E$402</f>
        <v>21.40997903398506</v>
      </c>
      <c r="BL24" s="4">
        <f t="shared" si="0"/>
        <v>94.169511023377083</v>
      </c>
      <c r="BM24" s="4">
        <f t="shared" si="34"/>
        <v>4.6674266916771234E-2</v>
      </c>
      <c r="BO24" s="4">
        <f>IF(OR('Summary, hourly ad costs'!R24=-9999,'Summary, PPI''s'!R24="."),".",(('Summary, hourly ad costs'!B24/'Summary, hourly ad costs'!R24)*100/('Summary, hourly ad costs'!B$11/'Summary, hourly ad costs'!R$11))/('Summary, PPI''s'!R24))</f>
        <v>0.83884906889088018</v>
      </c>
      <c r="BP24" s="4" t="str">
        <f>IF(OR('Summary, hourly ad costs'!S24=-9999,'Summary, PPI''s'!S24="."),".",(('Summary, hourly ad costs'!C24/'Summary, hourly ad costs'!S24)*100/('Summary, hourly ad costs'!C$11/'Summary, hourly ad costs'!S$11))/('Summary, PPI''s'!S24))</f>
        <v>.</v>
      </c>
      <c r="BQ24" s="4" t="str">
        <f>IF(OR('Summary, hourly ad costs'!T24=-9999,'Summary, PPI''s'!T24="."),".",(('Summary, hourly ad costs'!D24/'Summary, hourly ad costs'!T24)*100/('Summary, hourly ad costs'!D$11/'Summary, hourly ad costs'!T$11))/('Summary, PPI''s'!T24))</f>
        <v>.</v>
      </c>
      <c r="BR24" s="4">
        <f>IF(OR('Summary, hourly ad costs'!U24=-9999,'Summary, PPI''s'!U24="."),".",(('Summary, hourly ad costs'!E24/'Summary, hourly ad costs'!U24)*100/('Summary, hourly ad costs'!E$11/'Summary, hourly ad costs'!U$11))/('Summary, PPI''s'!U24))</f>
        <v>2.0055936454813659</v>
      </c>
      <c r="BS24" s="4">
        <f>IF(OR('Summary, hourly ad costs'!V24=-9999,'Summary, PPI''s'!V24="."),".",(('Summary, hourly ad costs'!F24/'Summary, hourly ad costs'!V24)*100/('Summary, hourly ad costs'!F$11/'Summary, hourly ad costs'!V$11))/('Summary, PPI''s'!V24))</f>
        <v>2.0535549788623522</v>
      </c>
      <c r="BT24" s="4" t="str">
        <f>IF(OR('Summary, hourly ad costs'!W24=-9999,'Summary, PPI''s'!W24="."),".",(('Summary, hourly ad costs'!G24/'Summary, hourly ad costs'!W24)*100/('Summary, hourly ad costs'!G$11/'Summary, hourly ad costs'!W$11))/('Summary, PPI''s'!W24))</f>
        <v>.</v>
      </c>
      <c r="BU24" s="4">
        <f>IF(OR('Summary, hourly ad costs'!X24=-9999,'Summary, PPI''s'!X24="."),".",(('Summary, hourly ad costs'!H24/'Summary, hourly ad costs'!X24)*100/('Summary, hourly ad costs'!H$11/'Summary, hourly ad costs'!X$11))/('Summary, PPI''s'!X24))</f>
        <v>0.76949750181797927</v>
      </c>
      <c r="BV24" s="4">
        <f>IF(OR('Summary, hourly ad costs'!Y24=-9999,'Summary, PPI''s'!Y24="."),".",(('Summary, hourly ad costs'!I24/'Summary, hourly ad costs'!Y24)*100/('Summary, hourly ad costs'!I$11/'Summary, hourly ad costs'!Y$11))/('Summary, PPI''s'!Y24))</f>
        <v>0.83087032062657717</v>
      </c>
      <c r="BW24" s="4">
        <f>IF(OR('Summary, hourly ad costs'!Z24=-9999,'Summary, PPI''s'!Z24="."),".",(('Summary, hourly ad costs'!J24/'Summary, hourly ad costs'!Z24)*100/('Summary, hourly ad costs'!J$11/'Summary, hourly ad costs'!Z$11))/('Summary, PPI''s'!Z24))</f>
        <v>0.87087333244645604</v>
      </c>
      <c r="BX24" s="4">
        <f>IF(OR('Summary, hourly ad costs'!AA24=-9999,'Summary, PPI''s'!AA24="."),".",(('Summary, hourly ad costs'!K24/'Summary, hourly ad costs'!AA24)*100/('Summary, hourly ad costs'!K$11/'Summary, hourly ad costs'!AA$11))/('Summary, PPI''s'!AA24))</f>
        <v>1.662693129013803</v>
      </c>
      <c r="BY24" s="4" t="str">
        <f>IF(OR('Summary, hourly ad costs'!AB24=-9999,'Summary, PPI''s'!AB24="."),".",(('Summary, hourly ad costs'!L24/'Summary, hourly ad costs'!AB24)*100/('Summary, hourly ad costs'!L$11/'Summary, hourly ad costs'!AB$11))/('Summary, PPI''s'!AB24))</f>
        <v>.</v>
      </c>
      <c r="BZ24" s="4" t="str">
        <f>IF(OR('Summary, hourly ad costs'!AC24=-9999,'Summary, PPI''s'!AC24="."),".",(('Summary, hourly ad costs'!M24/'Summary, hourly ad costs'!AC24)*100/('Summary, hourly ad costs'!M$11/'Summary, hourly ad costs'!AC$11))/('Summary, PPI''s'!AC24))</f>
        <v>.</v>
      </c>
      <c r="CA24" s="4" t="str">
        <f>IF(OR('Summary, hourly ad costs'!AD24=-9999,'Summary, PPI''s'!AD24="."),".",(('Summary, hourly ad costs'!N24/'Summary, hourly ad costs'!AD24)*100/('Summary, hourly ad costs'!N$11/'Summary, hourly ad costs'!AD$11))/('Summary, PPI''s'!AD24))</f>
        <v>.</v>
      </c>
      <c r="CB24" s="4" t="str">
        <f>IF(OR('Summary, hourly ad costs'!AE24=-9999,'Summary, PPI''s'!AE24="."),".",(('Summary, hourly ad costs'!O24/'Summary, hourly ad costs'!AE24)*100/('Summary, hourly ad costs'!O$11/'Summary, hourly ad costs'!AE$11))/('Summary, PPI''s'!AE24))</f>
        <v>.</v>
      </c>
      <c r="CC24" s="4" t="str">
        <f>IF(OR('Summary, hourly ad costs'!AF24=-9999,'Summary, PPI''s'!AF24="."),".",(('Summary, hourly ad costs'!P24/'Summary, hourly ad costs'!AF24)*100/('Summary, hourly ad costs'!P$11/'Summary, hourly ad costs'!AF$11))/('Summary, PPI''s'!AF24))</f>
        <v>.</v>
      </c>
      <c r="CE24" s="4">
        <f t="shared" si="51"/>
        <v>2.8508502926797297E-2</v>
      </c>
      <c r="CF24" s="4" t="str">
        <f t="shared" si="52"/>
        <v>.</v>
      </c>
      <c r="CG24" s="4" t="str">
        <f t="shared" si="53"/>
        <v>.</v>
      </c>
      <c r="CH24" s="4">
        <f t="shared" si="54"/>
        <v>2.6120740786642838E-2</v>
      </c>
      <c r="CI24" s="4">
        <f t="shared" si="55"/>
        <v>5.4138307451026879E-2</v>
      </c>
      <c r="CJ24" s="4" t="str">
        <f t="shared" si="56"/>
        <v>.</v>
      </c>
      <c r="CK24" s="4">
        <f t="shared" si="57"/>
        <v>-0.30873779110384569</v>
      </c>
      <c r="CL24" s="4">
        <f t="shared" si="58"/>
        <v>5.7389248267389892E-2</v>
      </c>
      <c r="CM24" s="4">
        <f t="shared" si="59"/>
        <v>6.2750463254856115E-2</v>
      </c>
      <c r="CN24" s="4">
        <f t="shared" si="60"/>
        <v>2.8584408396836292E-2</v>
      </c>
      <c r="CO24" s="4">
        <f t="shared" si="61"/>
        <v>0.30080561085503293</v>
      </c>
      <c r="CP24" s="4">
        <f t="shared" si="61"/>
        <v>6.7297808537462769E-2</v>
      </c>
      <c r="CQ24" s="4" t="str">
        <f t="shared" si="62"/>
        <v>.</v>
      </c>
      <c r="CR24" s="4" t="str">
        <f t="shared" si="63"/>
        <v>.</v>
      </c>
      <c r="CS24" s="4" t="str">
        <f t="shared" si="64"/>
        <v>.</v>
      </c>
      <c r="CU24" s="5">
        <f>IF(CU23=".", ".", IF('Summary, PPI''s'!R24=".",IF(OR('Summary, hourly ad costs'!R24=-9999,'Summary, hourly ad costs'!R24=0), ".", 'Predicted PPIs'!CU23*('Summary, hourly ad costs'!B24/'Summary, hourly ad costs'!R24)/('Summary, hourly ad costs'!B23/'Summary, hourly ad costs'!R23)/(1-CE23)), 'Summary, PPI''s'!R24))</f>
        <v>95.076020272072554</v>
      </c>
      <c r="CV24" s="5">
        <f>IF(CV23=".", ".", IF('Summary, PPI''s'!S24=".",IF(OR('Summary, hourly ad costs'!S24=-9999,'Summary, hourly ad costs'!S24=0), ".", 'Predicted PPIs'!CV23*('Summary, hourly ad costs'!C24/'Summary, hourly ad costs'!S24)/('Summary, hourly ad costs'!C23/'Summary, hourly ad costs'!S23)/(1-CF23)), 'Summary, PPI''s'!S24))</f>
        <v>95.076020272072554</v>
      </c>
      <c r="CW24" s="5">
        <f>IF(CW23=".", ".", IF('Summary, PPI''s'!T24=".",IF(OR('Summary, hourly ad costs'!T24=-9999,'Summary, hourly ad costs'!T24=0), ".", 'Predicted PPIs'!CW23*('Summary, hourly ad costs'!D24/'Summary, hourly ad costs'!T24)/('Summary, hourly ad costs'!D23/'Summary, hourly ad costs'!T23)/(1-CG23)), 'Summary, PPI''s'!T24))</f>
        <v>84.013691045452262</v>
      </c>
      <c r="CX24" s="5">
        <f>IF(CX23=".", ".", IF('Summary, PPI''s'!U24=".",IF(OR('Summary, hourly ad costs'!U24=-9999,'Summary, hourly ad costs'!U24=0), ".", 'Predicted PPIs'!CX23*('Summary, hourly ad costs'!E24/'Summary, hourly ad costs'!U24)/('Summary, hourly ad costs'!E23/'Summary, hourly ad costs'!U23)/(1-CH23)), 'Summary, PPI''s'!U24))</f>
        <v>70.914244616491089</v>
      </c>
      <c r="CY24" s="5">
        <f>IF(CY23=".", ".", IF('Summary, PPI''s'!V24=".",IF(OR('Summary, hourly ad costs'!V24=-9999,'Summary, hourly ad costs'!V24=0), ".", 'Predicted PPIs'!CY23*('Summary, hourly ad costs'!F24/'Summary, hourly ad costs'!V24)/('Summary, hourly ad costs'!F23/'Summary, hourly ad costs'!V23)/(1-CI23)), 'Summary, PPI''s'!V24))</f>
        <v>62.961818855801297</v>
      </c>
      <c r="CZ24" s="5">
        <f>IF(CZ23=".", ".", IF('Summary, PPI''s'!W24=".",IF(OR('Summary, hourly ad costs'!W24=-9999,'Summary, hourly ad costs'!W24=0), ".", 'Predicted PPIs'!CZ23*('Summary, hourly ad costs'!G24/'Summary, hourly ad costs'!W24)/('Summary, hourly ad costs'!G23/'Summary, hourly ad costs'!W23)/(1-CJ23)), 'Summary, PPI''s'!W24))</f>
        <v>70.715186347242195</v>
      </c>
      <c r="DA24" s="5">
        <f>IF(DA23=".", ".", IF('Summary, PPI''s'!X24=".",IF(OR('Summary, hourly ad costs'!X24=-9999,'Summary, hourly ad costs'!X24=0), ".", 'Predicted PPIs'!DA23*('Summary, hourly ad costs'!H24/'Summary, hourly ad costs'!X24)/('Summary, hourly ad costs'!H23/'Summary, hourly ad costs'!X23)/(1-CK23)), 'Summary, PPI''s'!X24))</f>
        <v>97.176000000000002</v>
      </c>
      <c r="DB24" s="5">
        <f>IF(DB23=".", ".", IF('Summary, PPI''s'!Y24=".",IF(OR('Summary, hourly ad costs'!Y24=-9999,'Summary, hourly ad costs'!Y24=0), ".", 'Predicted PPIs'!DB23*('Summary, hourly ad costs'!I24/'Summary, hourly ad costs'!Y24)/('Summary, hourly ad costs'!I23/'Summary, hourly ad costs'!Y23)/(1-CL23)), 'Summary, PPI''s'!Y24))</f>
        <v>92.512570330276361</v>
      </c>
      <c r="DC24" s="5">
        <f>IF(DC23=".", ".", IF('Summary, PPI''s'!Z24=".",IF(OR('Summary, hourly ad costs'!Z24=-9999,'Summary, hourly ad costs'!Z24=0), ".", 'Predicted PPIs'!DC23*('Summary, hourly ad costs'!J24/'Summary, hourly ad costs'!Z24)/('Summary, hourly ad costs'!J23/'Summary, hourly ad costs'!Z23)/(1-CM23)), 'Summary, PPI''s'!Z24))</f>
        <v>87.974863920413014</v>
      </c>
      <c r="DD24" s="5">
        <f>IF(DD23=".", ".", IF('Summary, PPI''s'!AA24=".",IF(OR('Summary, hourly ad costs'!AA24=-9999,'Summary, hourly ad costs'!AA24=0), ".", 'Predicted PPIs'!DD23*('Summary, hourly ad costs'!K24/'Summary, hourly ad costs'!AA24)/('Summary, hourly ad costs'!K23/'Summary, hourly ad costs'!AA23)/(1-CN23)), 'Summary, PPI''s'!AA24))</f>
        <v>60.080667513871127</v>
      </c>
      <c r="DE24" s="5">
        <f>IF(DE23=".", ".", IF('Summary, PPI''s'!AB24=".",IF(OR('Summary, hourly ad costs'!AB24=-9999,'Summary, hourly ad costs'!AB24=0), ".", 'Predicted PPIs'!DE23*('Summary, hourly ad costs'!L24/'Summary, hourly ad costs'!AB24)/('Summary, hourly ad costs'!L23/'Summary, hourly ad costs'!AB23)/(1-CO23)), 'Summary, PPI''s'!AB24))</f>
        <v>160.81382601065428</v>
      </c>
      <c r="DF24" s="5">
        <f>IF(DF23=".", ".", IF('Summary, PPI''s'!AC24=".",IF(OR('Summary, hourly ad costs'!AC24=-9999,'Summary, hourly ad costs'!AC24=0), ".", 'Predicted PPIs'!DF23*('Summary, hourly ad costs'!M24/'Summary, hourly ad costs'!AC24)/('Summary, hourly ad costs'!M23/'Summary, hourly ad costs'!AC23)/(1-CP23)), 'Summary, PPI''s'!AC24))</f>
        <v>411.21332171392828</v>
      </c>
      <c r="DG24" s="5">
        <f>IF(DG23=".", ".", IF('Summary, PPI''s'!AD24=".",IF(OR('Summary, hourly ad costs'!AD24=-9999,'Summary, hourly ad costs'!AD24=0), ".", 'Predicted PPIs'!DG23*('Summary, hourly ad costs'!N24/'Summary, hourly ad costs'!AD24)/('Summary, hourly ad costs'!N23/'Summary, hourly ad costs'!AD23)/(1-CQ23)), 'Summary, PPI''s'!AD24))</f>
        <v>82.499360122856416</v>
      </c>
      <c r="DH24" s="5">
        <f>IF(DH23=".", ".", IF('Summary, PPI''s'!AE24=".",IF(OR('Summary, hourly ad costs'!AE24=-9999,'Summary, hourly ad costs'!AE24=0), ".", 'Predicted PPIs'!DH23*('Summary, hourly ad costs'!O24/'Summary, hourly ad costs'!AE24)/('Summary, hourly ad costs'!O23/'Summary, hourly ad costs'!AE23)/(1-CR23)), 'Summary, PPI''s'!AE24))</f>
        <v>64.153000000000006</v>
      </c>
      <c r="DI24" s="5">
        <f>IF(DI23=".", ".", IF('Summary, PPI''s'!AF24=".",IF(OR('Summary, hourly ad costs'!AF24=-9999,'Summary, hourly ad costs'!AF24=0), ".", 'Predicted PPIs'!DI23*('Summary, hourly ad costs'!P24/'Summary, hourly ad costs'!AF24)/('Summary, hourly ad costs'!P23/'Summary, hourly ad costs'!AF23)/(1-CS23)), 'Summary, PPI''s'!AF24))</f>
        <v>71.304000000000002</v>
      </c>
      <c r="DK24" s="4">
        <v>60.933</v>
      </c>
      <c r="DM24" s="5">
        <f t="shared" si="16"/>
        <v>-4.3334488590790254E-2</v>
      </c>
      <c r="DN24" s="5">
        <f t="shared" si="17"/>
        <v>-4.3334488590790254E-2</v>
      </c>
      <c r="DO24" s="5">
        <f t="shared" si="18"/>
        <v>-2.5591131136211587E-2</v>
      </c>
      <c r="DP24" s="5">
        <f t="shared" si="19"/>
        <v>-9.0939346942959798E-3</v>
      </c>
      <c r="DQ24" s="5">
        <f t="shared" si="20"/>
        <v>-7.7539262263697228E-3</v>
      </c>
      <c r="DR24" s="5">
        <f t="shared" si="21"/>
        <v>-4.971842814365468E-3</v>
      </c>
      <c r="DS24" s="5">
        <f t="shared" si="22"/>
        <v>0.46793796343528227</v>
      </c>
      <c r="DT24" s="5">
        <f t="shared" si="23"/>
        <v>2.9737436730781663E-2</v>
      </c>
      <c r="DU24" s="5">
        <f t="shared" si="24"/>
        <v>-3.3864302769534671E-2</v>
      </c>
      <c r="DV24" s="5">
        <f t="shared" si="25"/>
        <v>-1.021273719933069E-2</v>
      </c>
      <c r="DW24" s="5">
        <f t="shared" si="26"/>
        <v>1.1131344581135183E-2</v>
      </c>
      <c r="DX24" s="5">
        <f t="shared" si="27"/>
        <v>0.47250082100659685</v>
      </c>
      <c r="DY24" s="5">
        <f t="shared" si="28"/>
        <v>-2.5191637661253763E-2</v>
      </c>
      <c r="DZ24" s="5">
        <f t="shared" si="29"/>
        <v>5.1712118191209466E-3</v>
      </c>
      <c r="EA24" s="5">
        <f t="shared" si="30"/>
        <v>-2.0373932272162998E-2</v>
      </c>
      <c r="EC24" s="1">
        <f t="shared" si="35"/>
        <v>95.076020272072554</v>
      </c>
      <c r="ED24" s="1">
        <f t="shared" si="36"/>
        <v>95.076020272072554</v>
      </c>
      <c r="EE24" s="1">
        <f t="shared" si="37"/>
        <v>84.013691045452262</v>
      </c>
      <c r="EF24" s="1">
        <f t="shared" si="38"/>
        <v>70.914244616491089</v>
      </c>
      <c r="EG24" s="1">
        <f t="shared" si="39"/>
        <v>62.961818855801297</v>
      </c>
      <c r="EH24" s="1">
        <f t="shared" si="40"/>
        <v>70.715186347242195</v>
      </c>
      <c r="EI24" s="1">
        <f t="shared" si="41"/>
        <v>97.176000000000002</v>
      </c>
      <c r="EJ24" s="1">
        <f t="shared" si="42"/>
        <v>92.512570330276361</v>
      </c>
      <c r="EK24" s="1">
        <f t="shared" si="43"/>
        <v>87.974863920413014</v>
      </c>
      <c r="EL24" s="1">
        <f t="shared" si="44"/>
        <v>60.080667513871127</v>
      </c>
      <c r="EM24" s="1">
        <f t="shared" si="45"/>
        <v>160.81382601065428</v>
      </c>
      <c r="EN24" s="1">
        <f t="shared" si="46"/>
        <v>411.21332171392828</v>
      </c>
      <c r="EO24" s="1">
        <f t="shared" si="47"/>
        <v>82.499360122856416</v>
      </c>
      <c r="EP24" s="1">
        <f t="shared" si="48"/>
        <v>64.153000000000006</v>
      </c>
      <c r="EQ24" s="1">
        <f t="shared" si="49"/>
        <v>71.304000000000002</v>
      </c>
      <c r="ES24" s="1">
        <f>IF(EF$26=".", 0, 'Summary, PPI''s'!E24)+IF(EG$26=".", 0, 'Summary, PPI''s'!F24)+IF(EH$26=".", 0, 'Summary, PPI''s'!G24)+IF(EI$26=".", 0, 'Summary, PPI''s'!H24)+IF(EJ$26=".", 0, 'Summary, PPI''s'!I24)+IF(EK$26=".", 0, 'Summary, PPI''s'!J24)+IF(EL$26=".", 0, 'Summary, PPI''s'!K24)+IF(EM$26=".", 0, 'Summary, PPI''s'!L24)+IF(EN$26=".", 0, 'Summary, PPI''s'!M24)+IF(EC$26=".", 0, 'Summary, PPI''s'!B24)+IF(ED$26=".", 0, 'Summary, PPI''s'!C24)+IF(EE$26=".", 0, 'Summary, PPI''s'!D24)+IF(EO$26=".", 0, 'Summary, PPI''s'!N24)+IF(EP$26=".", 0, 'Summary, PPI''s'!O24)+IF(EQ$26=".", 0, 'Summary, PPI''s'!P24)</f>
        <v>235640097.11526537</v>
      </c>
      <c r="ET24" s="1">
        <f>'Summary, hourly ad costs'!E24+'Summary, hourly ad costs'!F24+'Summary, hourly ad costs'!H24+'Summary, hourly ad costs'!I24+'Summary, hourly ad costs'!J24+'Summary, hourly ad costs'!K24+'Summary, hourly ad costs'!L24+'Summary, hourly ad costs'!M24+'Summary, hourly ad costs'!B24</f>
        <v>119823574.75206064</v>
      </c>
      <c r="EV24" s="13">
        <f>EV23*IF(EF$26=".", 1, (EF24/EF23)^(('Summary, PPI''s'!$E24+'Summary, PPI''s'!$E23)/('Predicted PPIs'!ES24+'Predicted PPIs'!ES23)))*IF(EG$26=".", 1, (EG24/EG23)^(('Summary, PPI''s'!$F24+'Summary, PPI''s'!$F23)/('Predicted PPIs'!ES24+'Predicted PPIs'!ES23)))*IF(EH$26=".", 1, (EH24/EH23)^(('Summary, PPI''s'!$G24+'Summary, PPI''s'!$G23)/('Predicted PPIs'!ES24+'Predicted PPIs'!ES23)))*IF(EI$26=".", 1, (EI24/EI23)^(('Summary, PPI''s'!$H24+'Summary, PPI''s'!$H23)/('Predicted PPIs'!ES24+'Predicted PPIs'!ES23)))*IF(EJ$26=".", 1, (EJ24/EJ23)^(('Summary, PPI''s'!$I24+'Summary, PPI''s'!$I23)/('Predicted PPIs'!ES24+'Predicted PPIs'!ES23)))*IF(EK$26=".", 1, (EK24/EK23)^(('Summary, PPI''s'!$J24+'Summary, PPI''s'!$J23)/('Predicted PPIs'!ES24+'Predicted PPIs'!ES23)))*IF(EL$26=".", 1, (EL24/EL23)^(('Summary, PPI''s'!$K24+'Summary, PPI''s'!$K23)/('Predicted PPIs'!ES24+'Predicted PPIs'!ES23)))*IF(EM$26=".", 1, (EM24/EM23)^(('Summary, PPI''s'!$L24+'Summary, PPI''s'!$L23)/('Predicted PPIs'!ES24+'Predicted PPIs'!ES23)))*IF(EN$26=".", 1, (EN24/EN23)^(('Summary, PPI''s'!$M24+'Summary, PPI''s'!$M23)/('Predicted PPIs'!ES24+'Predicted PPIs'!ES23)))*IF(EC$26=".", 1, (EC24/EC23)^(('Summary, PPI''s'!$B24+'Summary, PPI''s'!$B23)/('Predicted PPIs'!ES24+'Predicted PPIs'!ES23)))*IF(ED$26=".", 1, (ED24/ED23)^(('Summary, PPI''s'!$C24+'Summary, PPI''s'!$C23)/('Predicted PPIs'!ES24+'Predicted PPIs'!ES23)))*IF(EE$26=".", 1, (EE24/EE23)^(('Summary, PPI''s'!$D24+'Summary, PPI''s'!$D23)/('Predicted PPIs'!ES24+'Predicted PPIs'!ES23)))*IF(EO$26=".", 1, (EO24/EO23)^(('Summary, PPI''s'!$N24+'Summary, PPI''s'!$N23)/('Predicted PPIs'!ES24+'Predicted PPIs'!ES23)))*IF(EP$26=".", 1, (EP24/EP23)^(('Summary, PPI''s'!$O24+'Summary, PPI''s'!$O23)/('Predicted PPIs'!ES24+'Predicted PPIs'!ES23)))*IF(EQ$26=".", 1, (EQ24/EQ23)^(('Summary, PPI''s'!$P24+'Summary, PPI''s'!$P23)/('Predicted PPIs'!ES24+'Predicted PPIs'!ES23)))</f>
        <v>88.869495650682509</v>
      </c>
      <c r="EW24" s="13">
        <f>EW23*IF(EF$26=".", 1, (EF24/EF23)^(('Summary, PPI''s'!$E24+'Summary, PPI''s'!$E23)/('Predicted PPIs'!ET24+'Predicted PPIs'!ET23)))*IF(EG$26=".", 1, (EG24/EG23)^(('Summary, PPI''s'!$F24+'Summary, PPI''s'!$F23)/('Predicted PPIs'!ET24+'Predicted PPIs'!ET23)))*IF(EH$26=".", 1, (EH24/EH23)^(('Summary, PPI''s'!$G24+'Summary, PPI''s'!$G23)/('Predicted PPIs'!ET24+'Predicted PPIs'!ET23)))*IF(EK$26=".", 1, (EK24/EK23)^(('Summary, PPI''s'!$J24+'Summary, PPI''s'!$J23)/('Predicted PPIs'!ET24+'Predicted PPIs'!ET23)))*IF(EL$26=".", 1, (EL24/EL23)^(('Summary, PPI''s'!$K24+'Summary, PPI''s'!$K23)/('Predicted PPIs'!ET24+'Predicted PPIs'!ET23)))*IF(EM$26=".", 1, (EM24/EM23)^(('Summary, PPI''s'!$L24+'Summary, PPI''s'!$L23)/('Predicted PPIs'!ET24+'Predicted PPIs'!ET23)))*IF(EN$26=".", 1, (EN24/EN23)^(('Summary, PPI''s'!$M24+'Summary, PPI''s'!$M23)/('Predicted PPIs'!ET24+'Predicted PPIs'!ET23)))*IF(EC$26=".", 1, (EC24/EC23)^(('Summary, PPI''s'!$B24+'Summary, PPI''s'!$B23)/('Predicted PPIs'!ET24+'Predicted PPIs'!ET23)))</f>
        <v>99.620671395028822</v>
      </c>
      <c r="EY24" s="2"/>
    </row>
    <row r="25" spans="1:155" x14ac:dyDescent="0.3">
      <c r="A25" s="4">
        <v>1998</v>
      </c>
      <c r="B25" s="10">
        <f>IF(B24=".", ".", IF('Summary, PPI''s'!R25=".",IF(OR('Summary, hourly ad costs'!R25=-9999,'Summary, hourly ad costs'!R25=0), ".", 'Predicted PPIs'!B24*('Summary, hourly ad costs'!B25/'Summary, hourly ad costs'!R25)/('Summary, hourly ad costs'!B24/'Summary, hourly ad costs'!R24)), 'Summary, PPI''s'!R25))</f>
        <v>94.947986129634586</v>
      </c>
      <c r="C25" s="10">
        <f>IF(C24=".", ".", IF('Summary, PPI''s'!S25=".",IF(OR('Summary, hourly ad costs'!S25=-9999,'Summary, hourly ad costs'!S25=0), ".", 'Predicted PPIs'!C24*('Summary, hourly ad costs'!C25/'Summary, hourly ad costs'!S25)/('Summary, hourly ad costs'!C24/'Summary, hourly ad costs'!S24)), 'Summary, PPI''s'!S25))</f>
        <v>94.947986129634586</v>
      </c>
      <c r="D25" s="10">
        <f>IF(D24=".", ".", IF('Summary, PPI''s'!T25=".",IF(OR('Summary, hourly ad costs'!T25=-9999,'Summary, hourly ad costs'!T25=0), ".", 'Predicted PPIs'!D24*('Summary, hourly ad costs'!D25/'Summary, hourly ad costs'!T25)/('Summary, hourly ad costs'!D24/'Summary, hourly ad costs'!T24)), 'Summary, PPI''s'!T25))</f>
        <v>82.372778980218484</v>
      </c>
      <c r="E25" s="10">
        <f>IF(E24=".", ".", IF('Summary, PPI''s'!U25=".",IF(OR('Summary, hourly ad costs'!U25=-9999,'Summary, hourly ad costs'!U25=0), ".", 'Predicted PPIs'!E24*('Summary, hourly ad costs'!E25/'Summary, hourly ad costs'!U25)/('Summary, hourly ad costs'!E24/'Summary, hourly ad costs'!U24)), 'Summary, PPI''s'!U25))</f>
        <v>68.371620764056331</v>
      </c>
      <c r="F25" s="10">
        <f>IF(F24=".", ".", IF('Summary, PPI''s'!V25=".",IF(OR('Summary, hourly ad costs'!V25=-9999,'Summary, hourly ad costs'!V25=0), ".", 'Predicted PPIs'!F24*('Summary, hourly ad costs'!F25/'Summary, hourly ad costs'!V25)/('Summary, hourly ad costs'!F24/'Summary, hourly ad costs'!V24)), 'Summary, PPI''s'!V25))</f>
        <v>60.622348531652875</v>
      </c>
      <c r="G25" s="10">
        <f>IF(G24=".", ".", IF('Summary, PPI''s'!W25=".",IF(OR('Summary, hourly ad costs'!W25=-9999,'Summary, hourly ad costs'!W25=0), ".", 'Predicted PPIs'!G24*('Summary, hourly ad costs'!G25/'Summary, hourly ad costs'!W25)/('Summary, hourly ad costs'!G24/'Summary, hourly ad costs'!W24)), 'Summary, PPI''s'!W25))</f>
        <v>67.897252441134214</v>
      </c>
      <c r="H25" s="10">
        <f>IF(H24=".", ".", IF('Summary, PPI''s'!X25=".",IF(OR('Summary, hourly ad costs'!X25=-9999,'Summary, hourly ad costs'!X25=0), ".", 'Predicted PPIs'!H24*('Summary, hourly ad costs'!H25/'Summary, hourly ad costs'!X25)/('Summary, hourly ad costs'!H24/'Summary, hourly ad costs'!X24)), 'Summary, PPI''s'!X25))</f>
        <v>63.244999999999997</v>
      </c>
      <c r="I25" s="10">
        <f>IF(I24=".", ".", IF('Summary, PPI''s'!Y25=".",IF(OR('Summary, hourly ad costs'!Y25=-9999,'Summary, hourly ad costs'!Y25=0), ".", 'Predicted PPIs'!I24*('Summary, hourly ad costs'!I25/'Summary, hourly ad costs'!Y25)/('Summary, hourly ad costs'!I24/'Summary, hourly ad costs'!Y24)), 'Summary, PPI''s'!Y25))</f>
        <v>85.831978990426563</v>
      </c>
      <c r="J25" s="10">
        <f>IF(J24=".", ".", IF('Summary, PPI''s'!Z25=".",IF(OR('Summary, hourly ad costs'!Z25=-9999,'Summary, hourly ad costs'!Z25=0), ".", 'Predicted PPIs'!J24*('Summary, hourly ad costs'!J25/'Summary, hourly ad costs'!Z25)/('Summary, hourly ad costs'!J24/'Summary, hourly ad costs'!Z24)), 'Summary, PPI''s'!Z25))</f>
        <v>86.995212941545418</v>
      </c>
      <c r="K25" s="10">
        <f>IF(K24=".", ".", IF('Summary, PPI''s'!AA25=".",IF(OR('Summary, hourly ad costs'!AA25=-9999,'Summary, hourly ad costs'!AA25=0), ".", 'Predicted PPIs'!K24*('Summary, hourly ad costs'!K25/'Summary, hourly ad costs'!AA25)/('Summary, hourly ad costs'!K24/'Summary, hourly ad costs'!AA24)), 'Summary, PPI''s'!AA25))</f>
        <v>57.99195758340646</v>
      </c>
      <c r="L25" s="10">
        <f>IF(L24=".", ".", IF('Summary, PPI''s'!AB25=".",IF(OR('Summary, hourly ad costs'!AB25=-9999,'Summary, hourly ad costs'!AB25=0), ".", 'Predicted PPIs'!L24*('Summary, hourly ad costs'!L25/'Summary, hourly ad costs'!AB25)/('Summary, hourly ad costs'!L24/'Summary, hourly ad costs'!AB24)), 'Summary, PPI''s'!AB25))</f>
        <v>77.455485134060382</v>
      </c>
      <c r="M25" s="10">
        <f>IF(M24=".", ".", IF('Summary, PPI''s'!AC25=".",IF(OR('Summary, hourly ad costs'!AC25=-9999,'Summary, hourly ad costs'!AC25=0), ".", 'Predicted PPIs'!M24*('Summary, hourly ad costs'!M25/'Summary, hourly ad costs'!AC25)/('Summary, hourly ad costs'!M24/'Summary, hourly ad costs'!AC24)), 'Summary, PPI''s'!AC25))</f>
        <v>23.611895326890711</v>
      </c>
      <c r="N25" s="10">
        <f>IF(N24=".", ".", IF('Summary, PPI''s'!AD25=".",IF(OR('Summary, hourly ad costs'!AD25=-9999,'Summary, hourly ad costs'!AD25=0), ".", 'Predicted PPIs'!N24*('Summary, hourly ad costs'!N25/'Summary, hourly ad costs'!AD25)/('Summary, hourly ad costs'!N24/'Summary, hourly ad costs'!AD24)), 'Summary, PPI''s'!AD25))</f>
        <v>80.854875863834152</v>
      </c>
      <c r="O25" s="10">
        <f>IF(O24=".", ".", IF('Summary, PPI''s'!AE25=".",IF(OR('Summary, hourly ad costs'!AE25=-9999,'Summary, hourly ad costs'!AE25=0), ".", 'Predicted PPIs'!O24*('Summary, hourly ad costs'!O25/'Summary, hourly ad costs'!AE25)/('Summary, hourly ad costs'!O24/'Summary, hourly ad costs'!AE24)), 'Summary, PPI''s'!AE25))</f>
        <v>60.975000000000001</v>
      </c>
      <c r="P25" s="10">
        <f>IF(P24=".", ".", IF('Summary, PPI''s'!AF25=".",IF(OR('Summary, hourly ad costs'!AF25=-9999,'Summary, hourly ad costs'!AF25=0), ".", 'Predicted PPIs'!P24*('Summary, hourly ad costs'!P25/'Summary, hourly ad costs'!AF25)/('Summary, hourly ad costs'!P24/'Summary, hourly ad costs'!AF24)), 'Summary, PPI''s'!AF25))</f>
        <v>69.539000000000001</v>
      </c>
      <c r="R25" s="1">
        <f>IF(E$26=".", 0, 'Summary, PPI''s'!E25)+IF(F$26=".", 0, 'Summary, PPI''s'!F25)+IF(G$26=".", 0, 'Summary, PPI''s'!G25)+IF(H$26=".", 0, 'Summary, PPI''s'!H25)+IF(I$26=".", 0, 'Summary, PPI''s'!I25)+IF(J$26=".", 0, 'Summary, PPI''s'!J25)+IF(K$26=".", 0, 'Summary, PPI''s'!K25)+IF(L$26=".", 0, 'Summary, PPI''s'!L25)+IF(M$26=".", 0, 'Summary, PPI''s'!M25)+IF(B$26=".", 0, 'Summary, PPI''s'!B25)+IF(C$26=".", 0, 'Summary, PPI''s'!C25)+IF(D$26=".", 0, 'Summary, PPI''s'!D25)+IF(N$26=".", 0, 'Summary, PPI''s'!N25)+IF(O$26=".", 0, 'Summary, PPI''s'!O25)+IF(P$26=".", 0, 'Summary, PPI''s'!P25)</f>
        <v>215964291.79465219</v>
      </c>
      <c r="S25" s="1">
        <f>IF(E$36=".", 0, 'Summary, PPI''s'!E25)+IF(F$36=".", 0, 'Summary, PPI''s'!F25)+IF(G$36=".", 0, 'Summary, PPI''s'!G25)+IF(H$36=".", 0, 'Summary, PPI''s'!H25)+IF(I$36=".", 0, 'Summary, PPI''s'!I25)+IF(J$36=".", 0, 'Summary, PPI''s'!J25)+IF(K$36=".", 0, 'Summary, PPI''s'!K25)+IF(L$36=".", 0, 'Summary, PPI''s'!L25)+IF(M$36=".", 0, 'Summary, PPI''s'!M25)+IF(B$36=".", 0, 'Summary, PPI''s'!B25)+IF(C$36=".", 0, 'Summary, PPI''s'!C25)+IF(D$36=".", 0, 'Summary, PPI''s'!D25)+IF(N$36=".", 0, 'Summary, PPI''s'!N25)+IF(O$36=".", 0, 'Summary, PPI''s'!O25)+IF(P$36=".", 0, 'Summary, PPI''s'!P25)</f>
        <v>214176175.99503142</v>
      </c>
      <c r="T25" s="1">
        <f>IF(E$46=".", 0, 'Summary, PPI''s'!E25)+IF(F$46=".", 0, 'Summary, PPI''s'!F25)+IF(G$46=".", 0, 'Summary, PPI''s'!G25)+IF(H$46=".", 0, 'Summary, PPI''s'!H25)+IF(I$46=".", 0, 'Summary, PPI''s'!I25)+IF(J$46=".", 0, 'Summary, PPI''s'!J25)+IF(K$46=".", 0, 'Summary, PPI''s'!K25)+IF(L$46=".", 0, 'Summary, PPI''s'!L25)+IF(M$46=".", 0, 'Summary, PPI''s'!M25)+IF(B$46=".", 0, 'Summary, PPI''s'!B25)+IF(C$46=".", 0, 'Summary, PPI''s'!C25)+IF(D$46=".", 0, 'Summary, PPI''s'!D25)+IF(N$46=".", 0, 'Summary, PPI''s'!N25)+IF(O$46=".", 0, 'Summary, PPI''s'!O25)+IF(P$46=".", 0, 'Summary, PPI''s'!P25)</f>
        <v>144060090.83371529</v>
      </c>
      <c r="U25" s="1">
        <f>IF(E$60=".", 0, 'Summary, PPI''s'!E25)+IF(F$60=".", 0, 'Summary, PPI''s'!F25)+IF(G$60=".", 0, 'Summary, PPI''s'!G25)+IF(H$60=".", 0, 'Summary, PPI''s'!H25)+IF(I$60=".", 0, 'Summary, PPI''s'!I25)+IF(J$60=".", 0, 'Summary, PPI''s'!J25)+IF(K$60=".", 0, 'Summary, PPI''s'!K25)+IF(L$60=".", 0, 'Summary, PPI''s'!L25)+IF(M$60=".", 0, 'Summary, PPI''s'!M25)+IF(B$60=".", 0, 'Summary, PPI''s'!B25)+IF(C$60=".", 0, 'Summary, PPI''s'!C25)+IF(D$60=".", 0, 'Summary, PPI''s'!D25)+IF(N$60=".", 0, 'Summary, PPI''s'!N25)+IF(O$60=".", 0, 'Summary, PPI''s'!O25)+IF(P$60=".", 0, 'Summary, PPI''s'!P25)</f>
        <v>119412016.67451814</v>
      </c>
      <c r="V25" s="1">
        <f>IF(E$73=".", 0, 'Summary, PPI''s'!E25)+IF(F$73=".", 0, 'Summary, PPI''s'!F25)+IF(G$73=".", 0, 'Summary, PPI''s'!G25)+IF(H$73=".", 0, 'Summary, PPI''s'!H25)+IF(I$73=".", 0, 'Summary, PPI''s'!I25)+IF(J$73=".", 0, 'Summary, PPI''s'!J25)+IF(K$73=".", 0, 'Summary, PPI''s'!K25)+IF(L$73=".", 0, 'Summary, PPI''s'!L25)+IF(M$73=".", 0, 'Summary, PPI''s'!M25)+IF(B$73=".", 0, 'Summary, PPI''s'!B25)+IF(C$73=".", 0, 'Summary, PPI''s'!C25)+IF(D$73=".", 0, 'Summary, PPI''s'!D25)+IF(N$73=".", 0, 'Summary, PPI''s'!N25)+IF(O$73=".", 0, 'Summary, PPI''s'!O25)+IF(P$73=".", 0, 'Summary, PPI''s'!P25)</f>
        <v>94376565.520514145</v>
      </c>
      <c r="W25" s="1">
        <f>IF(E$94=".",0,'Summary, PPI''s'!E25)+IF(F$94=".",0,'Summary, PPI''s'!F25)+IF(G$94=".",0,'Summary, PPI''s'!G25)+IF(H$94=".",0,'Summary, PPI''s'!H25)+IF(I$94=".",0,'Summary, PPI''s'!I25)+IF(J$94=".",0,'Summary, PPI''s'!J25)+IF(K$94=".",0,'Summary, PPI''s'!K25)+IF(L$94=".",0,'Summary, PPI''s'!L25)+IF(M$94=".",0,'Summary, PPI''s'!M25)+IF(B$94=".",0,'Summary, PPI''s'!B25)+IF(C$94=".",0,'Summary, PPI''s'!C25)+IF(D$94=".",0,'Summary, PPI''s'!D25)+IF(N$94=".",0,'Summary, PPI''s'!N25)+IF(O$94=".",0,'Summary, PPI''s'!O25)+IF(P$94=".",0,'Summary, PPI''s'!P25)</f>
        <v>69094297.67715919</v>
      </c>
      <c r="X25" s="1">
        <f>IF(E$123=".", 0, 'Summary, PPI''s'!E25)+IF(F$123=".", 0, 'Summary, PPI''s'!F25)+IF(G$123=".", 0, 'Summary, PPI''s'!G25)+IF(H$123=".", 0, 'Summary, PPI''s'!H25)+IF(I$123=".", 0, 'Summary, PPI''s'!I25)+IF(J$123=".", 0, 'Summary, PPI''s'!J25)+IF(K$123=".", 0, 'Summary, PPI''s'!K25)+IF(L$123=".", 0, 'Summary, PPI''s'!L25)+IF(M$123=".", 0, 'Summary, PPI''s'!M25)+IF(B$123=".", 0, 'Summary, PPI''s'!B25)+IF(C$123=".", 0, 'Summary, PPI''s'!C25)+IF(D$123=".", 0, 'Summary, PPI''s'!D25)+IF(N$123=".", 0, 'Summary, PPI''s'!N25)+IF(O$123=".", 0, 'Summary, PPI''s'!O25)+IF(P$123=".", 0, 'Summary, PPI''s'!P25)</f>
        <v>58261874.174533665</v>
      </c>
      <c r="Z25" s="4">
        <f>Z24*IF(E$26=".", 1, (E25/E24)^(('Summary, PPI''s'!$E25+'Summary, PPI''s'!$E24)/('Predicted PPIs'!R25+'Predicted PPIs'!R24)))*IF(F$26=".", 1, (F25/F24)^(('Summary, PPI''s'!$F25+'Summary, PPI''s'!$F24)/('Predicted PPIs'!R25+'Predicted PPIs'!R24)))*IF(G$26=".", 1, (G25/G24)^(('Summary, PPI''s'!$G25+'Summary, PPI''s'!$G24)/('Predicted PPIs'!R25+'Predicted PPIs'!R24)))*IF(H$26=".", 1, (H25/H24)^(('Summary, PPI''s'!$H25+'Summary, PPI''s'!$H24)/('Predicted PPIs'!R25+'Predicted PPIs'!R24)))*IF(I$26=".", 1, (I25/I24)^(('Summary, PPI''s'!$I25+'Summary, PPI''s'!$I24)/('Predicted PPIs'!R25+'Predicted PPIs'!R24)))*IF(J$26=".", 1, (J25/J24)^(('Summary, PPI''s'!$J25+'Summary, PPI''s'!$J24)/('Predicted PPIs'!R25+'Predicted PPIs'!R24)))*IF(K$26=".", 1, (K25/K24)^(('Summary, PPI''s'!$K25+'Summary, PPI''s'!$K24)/('Predicted PPIs'!R25+'Predicted PPIs'!R24)))*IF(L$26=".", 1, (L25/L24)^(('Summary, PPI''s'!$L25+'Summary, PPI''s'!$L24)/('Predicted PPIs'!R25+'Predicted PPIs'!R24)))*IF(M$26=".", 1, (M25/M24)^(('Summary, PPI''s'!$M25+'Summary, PPI''s'!$M24)/('Predicted PPIs'!R25+'Predicted PPIs'!R24)))*IF(B$26=".", 1, (B25/B24)^(('Summary, PPI''s'!$B25+'Summary, PPI''s'!$B24)/('Predicted PPIs'!R25+'Predicted PPIs'!R24)))*IF(C$26=".", 1, (C25/C24)^(('Summary, PPI''s'!$C25+'Summary, PPI''s'!$C24)/('Predicted PPIs'!R25+'Predicted PPIs'!R24)))*IF(D$26=".", 1, (D25/D24)^(('Summary, PPI''s'!$D25+'Summary, PPI''s'!$D24)/('Predicted PPIs'!R25+'Predicted PPIs'!R24)))*IF(N$26=".", 1, (N25/N24)^(('Summary, PPI''s'!$N25+'Summary, PPI''s'!$N24)/('Predicted PPIs'!R25+'Predicted PPIs'!R24)))*IF(O$26=".", 1, (O25/O24)^(('Summary, PPI''s'!$O25+'Summary, PPI''s'!$O24)/('Predicted PPIs'!R25+'Predicted PPIs'!R24)))*IF(P$26=".", 1, (P25/P24)^(('Summary, PPI''s'!$P25+'Summary, PPI''s'!$P24)/('Predicted PPIs'!R25+'Predicted PPIs'!R24)))</f>
        <v>82.165338044454415</v>
      </c>
      <c r="AA25" s="4">
        <f>AA24*IF(E$36=".", 1, (E25/E24)^(('Summary, PPI''s'!$E25+'Summary, PPI''s'!$E24)/('Predicted PPIs'!S25+'Predicted PPIs'!S24)))*IF(F$36=".", 1, (F25/F24)^(('Summary, PPI''s'!$F25+'Summary, PPI''s'!$F24)/('Predicted PPIs'!S25+'Predicted PPIs'!S24)))*IF(G$36=".", 1, (G25/G24)^(('Summary, PPI''s'!$G25+'Summary, PPI''s'!$G24)/('Predicted PPIs'!S25+'Predicted PPIs'!S24)))*IF(H$36=".", 1, (H25/H24)^(('Summary, PPI''s'!$H25+'Summary, PPI''s'!$H24)/('Predicted PPIs'!S25+'Predicted PPIs'!S24)))*IF(I$36=".", 1, (I25/I24)^(('Summary, PPI''s'!$I25+'Summary, PPI''s'!$I24)/('Predicted PPIs'!S25+'Predicted PPIs'!S24)))*IF(J$36=".", 1, (J25/J24)^(('Summary, PPI''s'!$J25+'Summary, PPI''s'!$J24)/('Predicted PPIs'!S25+'Predicted PPIs'!S24)))*IF(K$36=".", 1, (K25/K24)^(('Summary, PPI''s'!$K25+'Summary, PPI''s'!$K24)/('Predicted PPIs'!S25+'Predicted PPIs'!S24)))*IF(L$36=".", 1, (L25/L24)^(('Summary, PPI''s'!$L25+'Summary, PPI''s'!$L24)/('Predicted PPIs'!S25+'Predicted PPIs'!S24)))*IF(M$36=".", 1, (M25/M24)^(('Summary, PPI''s'!$M25+'Summary, PPI''s'!$M24)/('Predicted PPIs'!S25+'Predicted PPIs'!S24)))*IF(B$36=".", 1, (B25/B24)^(('Summary, PPI''s'!$B25+'Summary, PPI''s'!$B24)/('Predicted PPIs'!S25+'Predicted PPIs'!S24)))*IF(C$36=".", 1, (C25/C24)^(('Summary, PPI''s'!$C25+'Summary, PPI''s'!$C24)/('Predicted PPIs'!S25+'Predicted PPIs'!S24)))*IF(D$36=".", 1, (D25/D24)^(('Summary, PPI''s'!$D25+'Summary, PPI''s'!$D24)/('Predicted PPIs'!S25+'Predicted PPIs'!S24)))*IF(N$36=".", 1, (N25/N24)^(('Summary, PPI''s'!$N25+'Summary, PPI''s'!$N24)/('Predicted PPIs'!S25+'Predicted PPIs'!S24)))*IF(O$36=".", 1, (O25/O24)^(('Summary, PPI''s'!$O25+'Summary, PPI''s'!$O24)/('Predicted PPIs'!S25+'Predicted PPIs'!S24)))*IF(P$36=".", 1, (P25/P24)^(('Summary, PPI''s'!$P25+'Summary, PPI''s'!$P24)/('Predicted PPIs'!S25+'Predicted PPIs'!S24)))</f>
        <v>72.823029175702715</v>
      </c>
      <c r="AB25" s="4">
        <f>AB24*IF(E$46=".", 1, (E25/E24)^(('Summary, PPI''s'!$E25+'Summary, PPI''s'!$E24)/('Predicted PPIs'!T25+'Predicted PPIs'!T24)))*IF(F$46=".", 1, (F25/F24)^(('Summary, PPI''s'!$F25+'Summary, PPI''s'!$F24)/('Predicted PPIs'!T25+'Predicted PPIs'!T24)))*IF(G$46=".", 1, (G25/G24)^(('Summary, PPI''s'!$G25+'Summary, PPI''s'!$G24)/('Predicted PPIs'!T25+'Predicted PPIs'!T24)))*IF(H$46=".", 1, (H25/H24)^(('Summary, PPI''s'!$H25+'Summary, PPI''s'!$H24)/('Predicted PPIs'!T25+'Predicted PPIs'!T24)))*IF(I$46=".", 1, (I25/I24)^(('Summary, PPI''s'!$I25+'Summary, PPI''s'!$I24)/('Predicted PPIs'!T25+'Predicted PPIs'!T24)))*IF(J$46=".", 1, (J25/J24)^(('Summary, PPI''s'!$J25+'Summary, PPI''s'!$J24)/('Predicted PPIs'!T25+'Predicted PPIs'!T24)))*IF(K$46=".", 1, (K25/K24)^(('Summary, PPI''s'!$K25+'Summary, PPI''s'!$K24)/('Predicted PPIs'!T25+'Predicted PPIs'!T24)))*IF(L$46=".", 1, (L25/L24)^(('Summary, PPI''s'!$L25+'Summary, PPI''s'!$L24)/('Predicted PPIs'!T25+'Predicted PPIs'!T24)))*IF(M$46=".", 1, (M25/M24)^(('Summary, PPI''s'!$M25+'Summary, PPI''s'!$M24)/('Predicted PPIs'!T25+'Predicted PPIs'!T24)))*IF(B$46=".", 1, (B25/B24)^(('Summary, PPI''s'!$B25+'Summary, PPI''s'!$B24)/('Predicted PPIs'!T25+'Predicted PPIs'!T24)))*IF(C$46=".", 1, (C25/C24)^(('Summary, PPI''s'!$C25+'Summary, PPI''s'!$C24)/('Predicted PPIs'!T25+'Predicted PPIs'!T24)))*IF(D$46=".", 1, (D25/D24)^(('Summary, PPI''s'!$D25+'Summary, PPI''s'!$D24)/('Predicted PPIs'!T25+'Predicted PPIs'!T24)))*IF(N$46=".", 1, (N25/N24)^(('Summary, PPI''s'!$N25+'Summary, PPI''s'!$N24)/('Predicted PPIs'!T25+'Predicted PPIs'!T24)))*IF(O$46=".", 1, (O25/O24)^(('Summary, PPI''s'!$O25+'Summary, PPI''s'!$O24)/('Predicted PPIs'!T25+'Predicted PPIs'!T24)))*IF(P$46=".", 1, (P25/P24)^(('Summary, PPI''s'!$P25+'Summary, PPI''s'!$P24)/('Predicted PPIs'!T25+'Predicted PPIs'!T24)))</f>
        <v>71.836774644552136</v>
      </c>
      <c r="AC25" s="4">
        <f>AC24*IF(E$60=".",1,(E25/E24)^(('Summary, PPI''s'!$E25+'Summary, PPI''s'!$E24)/('Predicted PPIs'!U25+'Predicted PPIs'!U24)))*IF(F$60=".",1,(F25/F24)^(('Summary, PPI''s'!$F25+'Summary, PPI''s'!$F24)/('Predicted PPIs'!U25+'Predicted PPIs'!U24)))*IF(G$60=".",1,(G25/G24)^(('Summary, PPI''s'!$G25+'Summary, PPI''s'!$G24)/('Predicted PPIs'!U25+'Predicted PPIs'!U24)))*IF(H$60=".",1,(H25/H24)^(('Summary, PPI''s'!$H25+'Summary, PPI''s'!$H24)/('Predicted PPIs'!U25+'Predicted PPIs'!U24)))*IF(I$60=".",1,(I25/I24)^(('Summary, PPI''s'!$I25+'Summary, PPI''s'!$I24)/('Predicted PPIs'!U25+'Predicted PPIs'!U24)))*IF(J$60=".",1,(J25/J24)^(('Summary, PPI''s'!$J25+'Summary, PPI''s'!$J24)/('Predicted PPIs'!U25+'Predicted PPIs'!U24)))*IF(K$60=".",1,(K25/K24)^(('Summary, PPI''s'!$K25+'Summary, PPI''s'!$K24)/('Predicted PPIs'!U25+'Predicted PPIs'!U24)))*IF(L$60=".",1,(L25/L24)^(('Summary, PPI''s'!$L25+'Summary, PPI''s'!$L24)/('Predicted PPIs'!U25+'Predicted PPIs'!U24)))*IF(M$60=".",1,(M25/M24)^(('Summary, PPI''s'!$M25+'Summary, PPI''s'!$M24)/('Predicted PPIs'!U25+'Predicted PPIs'!U24)))*IF(B$60=".",1,(B25/B24)^(('Summary, PPI''s'!$B25+'Summary, PPI''s'!$B24)/('Predicted PPIs'!U25+'Predicted PPIs'!U24)))*IF(C$60=".",1,(C25/C24)^(('Summary, PPI''s'!$C25+'Summary, PPI''s'!$C24)/('Predicted PPIs'!U25+'Predicted PPIs'!U24)))*IF(D$60=".",1,(D25/D24)^(('Summary, PPI''s'!$D25+'Summary, PPI''s'!$D24)/('Predicted PPIs'!U25+'Predicted PPIs'!U24)))*IF(N$60=".",1,(N25/N24)^(('Summary, PPI''s'!$N25+'Summary, PPI''s'!$N24)/('Predicted PPIs'!U25+'Predicted PPIs'!U24)))*IF(O$60=".",1,(O25/O24)^(('Summary, PPI''s'!$O25+'Summary, PPI''s'!$O24)/('Predicted PPIs'!U25+'Predicted PPIs'!U24)))*IF(P$60=".",1,(P25/P24)^(('Summary, PPI''s'!$P25+'Summary, PPI''s'!$P24)/('Predicted PPIs'!U25+'Predicted PPIs'!U24)))</f>
        <v>79.10126735775269</v>
      </c>
      <c r="AD25" s="4">
        <f>AD24*IF(E$73=".", 1, (E25/E24)^(('Summary, PPI''s'!$E25+'Summary, PPI''s'!$E24)/('Predicted PPIs'!V25+'Predicted PPIs'!V24)))*IF(F$73=".", 1, (F25/F24)^(('Summary, PPI''s'!$F25+'Summary, PPI''s'!$F24)/('Predicted PPIs'!V25+'Predicted PPIs'!V24)))*IF(G$73=".", 1, (G25/G24)^(('Summary, PPI''s'!$G25+'Summary, PPI''s'!$G24)/('Predicted PPIs'!V25+'Predicted PPIs'!V24)))*IF(H$73=".", 1, (H25/H24)^(('Summary, PPI''s'!$H25+'Summary, PPI''s'!$H24)/('Predicted PPIs'!V25+'Predicted PPIs'!V24)))*IF(I$73=".", 1, (I25/I24)^(('Summary, PPI''s'!$I25+'Summary, PPI''s'!$I24)/('Predicted PPIs'!V25+'Predicted PPIs'!V24)))*IF(J$73=".", 1, (J25/J24)^(('Summary, PPI''s'!$J25+'Summary, PPI''s'!$J24)/('Predicted PPIs'!V25+'Predicted PPIs'!V24)))*IF(K$73=".", 1, (K25/K24)^(('Summary, PPI''s'!$K25+'Summary, PPI''s'!$K24)/('Predicted PPIs'!V25+'Predicted PPIs'!V24)))*IF(L$73=".", 1, (L25/L24)^(('Summary, PPI''s'!$L25+'Summary, PPI''s'!$L24)/('Predicted PPIs'!V25+'Predicted PPIs'!V24)))*IF(M$73=".", 1, (M25/M24)^(('Summary, PPI''s'!$M25+'Summary, PPI''s'!$M24)/('Predicted PPIs'!V25+'Predicted PPIs'!V24)))*IF(B$73=".", 1, (B25/B24)^(('Summary, PPI''s'!$B25+'Summary, PPI''s'!$B24)/('Predicted PPIs'!V25+'Predicted PPIs'!V24)))*IF(C$73=".", 1, (C25/C24)^(('Summary, PPI''s'!$C25+'Summary, PPI''s'!$C24)/('Predicted PPIs'!V25+'Predicted PPIs'!V24)))*IF(D$73=".", 1, (D25/D24)^(('Summary, PPI''s'!$D25+'Summary, PPI''s'!$D24)/('Predicted PPIs'!V25+'Predicted PPIs'!V24)))*IF(N$73=".", 1, (N25/N24)^(('Summary, PPI''s'!$N25+'Summary, PPI''s'!$N24)/('Predicted PPIs'!V25+'Predicted PPIs'!V24)))*IF(O$73=".", 1, (O25/O24)^(('Summary, PPI''s'!$O25+'Summary, PPI''s'!$O24)/('Predicted PPIs'!V25+'Predicted PPIs'!V24)))*IF(P$73=".", 1, (P25/P24)^(('Summary, PPI''s'!$P25+'Summary, PPI''s'!$P24)/('Predicted PPIs'!V25+'Predicted PPIs'!V24)))</f>
        <v>78.912220382456582</v>
      </c>
      <c r="AE25" s="4">
        <f>AE24*IF(E$94=".", 1, (E25/E24)^(('Summary, PPI''s'!$E25+'Summary, PPI''s'!$E24)/('Predicted PPIs'!W25+'Predicted PPIs'!W24)))*IF(F$94=".", 1, (F25/F24)^(('Summary, PPI''s'!$F25+'Summary, PPI''s'!$F24)/('Predicted PPIs'!W25+'Predicted PPIs'!W24)))*IF(G$94=".", 1, (G25/G24)^(('Summary, PPI''s'!$G25+'Summary, PPI''s'!$G24)/('Predicted PPIs'!W25+'Predicted PPIs'!W24)))*IF(H$94=".", 1, (H25/H24)^(('Summary, PPI''s'!$H25+'Summary, PPI''s'!$H24)/('Predicted PPIs'!W25+'Predicted PPIs'!W24)))*IF(I$94=".", 1, (I25/I24)^(('Summary, PPI''s'!$I25+'Summary, PPI''s'!$I24)/('Predicted PPIs'!W25+'Predicted PPIs'!W24)))*IF(J$94=".", 1, (J25/J24)^(('Summary, PPI''s'!$J25+'Summary, PPI''s'!$J24)/('Predicted PPIs'!W25+'Predicted PPIs'!W24)))*IF(K$94=".", 1, (K25/K24)^(('Summary, PPI''s'!$K25+'Summary, PPI''s'!$K24)/('Predicted PPIs'!W25+'Predicted PPIs'!W24)))*IF(L$94=".", 1, (L25/L24)^(('Summary, PPI''s'!$L25+'Summary, PPI''s'!$L24)/('Predicted PPIs'!W25+'Predicted PPIs'!W24)))*IF(M$94=".", 1, (M25/M24)^(('Summary, PPI''s'!$M25+'Summary, PPI''s'!$M24)/('Predicted PPIs'!W25+'Predicted PPIs'!W24)))*IF(B$94=".", 1, (B25/B24)^(('Summary, PPI''s'!$B25+'Summary, PPI''s'!$B24)/('Predicted PPIs'!W25+'Predicted PPIs'!W24)))*IF(C$94=".", 1, (C25/C24)^(('Summary, PPI''s'!$C25+'Summary, PPI''s'!$C24)/('Predicted PPIs'!W25+'Predicted PPIs'!W24)))*IF(D$94=".", 1, (D25/D24)^(('Summary, PPI''s'!$D25+'Summary, PPI''s'!$D24)/('Predicted PPIs'!W25+'Predicted PPIs'!W24)))*IF(N$94=".", 1, (N25/N24)^(('Summary, PPI''s'!$N25+'Summary, PPI''s'!$N24)/('Predicted PPIs'!W25+'Predicted PPIs'!W24)))*IF(O$94=".", 1, (O25/O24)^(('Summary, PPI''s'!$O25+'Summary, PPI''s'!$O24)/('Predicted PPIs'!W25+'Predicted PPIs'!W24)))*IF(P$94=".", 1, (P25/P24)^(('Summary, PPI''s'!$P25+'Summary, PPI''s'!$P24)/('Predicted PPIs'!W25+'Predicted PPIs'!W24)))</f>
        <v>72.439485963794766</v>
      </c>
      <c r="AF25" s="4">
        <f>AF24*IF(E$123=".", 1, (E25/E24)^(('Summary, PPI''s'!$E25+'Summary, PPI''s'!$E24)/('Predicted PPIs'!X25+'Predicted PPIs'!X24)))*IF(F$123=".", 1, (F25/F24)^(('Summary, PPI''s'!$F25+'Summary, PPI''s'!$F24)/('Predicted PPIs'!X25+'Predicted PPIs'!X24)))*IF(G$123=".", 1, (G25/G24)^(('Summary, PPI''s'!$G25+'Summary, PPI''s'!$G24)/('Predicted PPIs'!X25+'Predicted PPIs'!X24)))*IF(H$123=".", 1, (H25/H24)^(('Summary, PPI''s'!$H25+'Summary, PPI''s'!$H24)/('Predicted PPIs'!X25+'Predicted PPIs'!X24)))*IF(I$123=".", 1, (I25/I24)^(('Summary, PPI''s'!$I25+'Summary, PPI''s'!$I24)/('Predicted PPIs'!X25+'Predicted PPIs'!X24)))*IF(J$123=".", 1, (J25/J24)^(('Summary, PPI''s'!$J25+'Summary, PPI''s'!$J24)/('Predicted PPIs'!X25+'Predicted PPIs'!X24)))*IF(K$123=".", 1, (K25/K24)^(('Summary, PPI''s'!$K25+'Summary, PPI''s'!$K24)/('Predicted PPIs'!X25+'Predicted PPIs'!X24)))*IF(L$123=".", 1, (L25/L24)^(('Summary, PPI''s'!$L25+'Summary, PPI''s'!$L24)/('Predicted PPIs'!X25+'Predicted PPIs'!X24)))*IF(M$123=".", 1, (M25/M24)^(('Summary, PPI''s'!$M25+'Summary, PPI''s'!$M24)/('Predicted PPIs'!X25+'Predicted PPIs'!X24)))*IF(B$123=".", 1, (B25/B24)^(('Summary, PPI''s'!$B25+'Summary, PPI''s'!$B24)/('Predicted PPIs'!X25+'Predicted PPIs'!X24)))*IF(C$123=".", 1, (C25/C24)^(('Summary, PPI''s'!$C25+'Summary, PPI''s'!$C24)/('Predicted PPIs'!X25+'Predicted PPIs'!X24)))*IF(D$123=".", 1, (D25/D24)^(('Summary, PPI''s'!$D25+'Summary, PPI''s'!$D24)/('Predicted PPIs'!X25+'Predicted PPIs'!X24)))*IF(N$123=".", 1, (N25/N24)^(('Summary, PPI''s'!$N25+'Summary, PPI''s'!$N24)/('Predicted PPIs'!X25+'Predicted PPIs'!X24)))*IF(O$123=".", 1, (O25/O24)^(('Summary, PPI''s'!$O25+'Summary, PPI''s'!$O24)/('Predicted PPIs'!X25+'Predicted PPIs'!X24)))*IF(P$123=".", 1, (P25/P24)^(('Summary, PPI''s'!$P25+'Summary, PPI''s'!$P24)/('Predicted PPIs'!X25+'Predicted PPIs'!X24)))</f>
        <v>67.400791619843119</v>
      </c>
      <c r="AH25" s="13">
        <f t="shared" si="32"/>
        <v>82.16533804445443</v>
      </c>
      <c r="AJ25" s="4">
        <v>5877.2</v>
      </c>
      <c r="AK25" s="4">
        <v>-0.38200000000000001</v>
      </c>
      <c r="AL25" s="4">
        <v>-674.32</v>
      </c>
      <c r="AM25" s="4">
        <v>-10.023</v>
      </c>
      <c r="AN25" s="4">
        <v>6615.5</v>
      </c>
      <c r="AO25" s="4">
        <v>1664</v>
      </c>
      <c r="AP25" s="4">
        <f>778.221+0.008+0.182+8.861-834.984</f>
        <v>-47.711999999999989</v>
      </c>
      <c r="AQ25" s="4">
        <f>559.354+9.185+8.244+23.462-869.164</f>
        <v>-268.91899999999998</v>
      </c>
      <c r="AR25" s="4">
        <v>-20.715</v>
      </c>
      <c r="AS25" s="4">
        <v>-48.343000000000004</v>
      </c>
      <c r="AT25" s="4">
        <v>75.069999999999993</v>
      </c>
      <c r="AU25" s="4">
        <v>63.53</v>
      </c>
      <c r="AV25" s="4">
        <v>70.929000000000002</v>
      </c>
      <c r="AW25" s="4">
        <v>53.750999999999998</v>
      </c>
      <c r="AX25" s="4">
        <v>68.019000000000005</v>
      </c>
      <c r="AY25" s="4">
        <v>85.132999999999996</v>
      </c>
      <c r="AZ25" s="4">
        <v>51.612000000000002</v>
      </c>
      <c r="BA25" s="4">
        <v>76.361000000000004</v>
      </c>
      <c r="BB25" s="4">
        <v>99.436999999999998</v>
      </c>
      <c r="BC25" s="4">
        <v>89.391999999999996</v>
      </c>
      <c r="BG25" s="4">
        <f>BG24*((AJ25/AT25)/(AJ24/AT24))^((AJ25+AJ24)/SUM(AJ24:AS25))*((AK25/AU25)/(AK24/AU24))^((AK25+AK24)/SUM(AJ24:AS25))*((AL25/AV25)/(AL24/AV24))^((AL25+AL24)/SUM(AJ24:AS25))*((AM25/AW25)/(AM24/AW24))^((AM25+AM24)/SUM(AJ24:AS25))*((AN25/AX25)/(AN24/AX24))^((AN25+AN24)/SUM(AJ24:AS25))*((AO25/AY25)/(AO24/AY24))^((AO25+AO24)/SUM(AJ24:AS25))*((AP25/AZ25)/(AP24/AZ24))^((AP25+AP24)/SUM(AJ24:AS25))*((AQ25/BA25)/(AQ24/BA24))^((AQ25+AQ24)/SUM(AJ24:AS25))*((AR25/BB25)/(AR24/BB24))^((AR25+AR24)/SUM(AJ24:AS25))*((AS25/BC25)/(AS24/BC24))^((AS25+AS24)/SUM(AJ24:AS25))</f>
        <v>76.997054729869092</v>
      </c>
      <c r="BI25" s="4">
        <f>BI$13*'[2]Ordinary Experience'!$D$401/'[2]Ordinary Experience'!$D$413</f>
        <v>274788682.85966045</v>
      </c>
      <c r="BJ25" s="4">
        <f>'[2]Ordinary Experience'!$E$401</f>
        <v>21.419962721293448</v>
      </c>
      <c r="BL25" s="4">
        <f t="shared" si="0"/>
        <v>89.970217096075018</v>
      </c>
      <c r="BM25" s="4">
        <f t="shared" si="34"/>
        <v>5.5261033541411209E-2</v>
      </c>
      <c r="BO25" s="4">
        <f>IF(OR('Summary, hourly ad costs'!R25=-9999,'Summary, PPI''s'!R25="."),".",(('Summary, hourly ad costs'!B25/'Summary, hourly ad costs'!R25)*100/('Summary, hourly ad costs'!B$11/'Summary, hourly ad costs'!R$11))/('Summary, PPI''s'!R25))</f>
        <v>0.81559760225976863</v>
      </c>
      <c r="BP25" s="4" t="str">
        <f>IF(OR('Summary, hourly ad costs'!S25=-9999,'Summary, PPI''s'!S25="."),".",(('Summary, hourly ad costs'!C25/'Summary, hourly ad costs'!S25)*100/('Summary, hourly ad costs'!C$11/'Summary, hourly ad costs'!S$11))/('Summary, PPI''s'!S25))</f>
        <v>.</v>
      </c>
      <c r="BQ25" s="4" t="str">
        <f>IF(OR('Summary, hourly ad costs'!T25=-9999,'Summary, PPI''s'!T25="."),".",(('Summary, hourly ad costs'!D25/'Summary, hourly ad costs'!T25)*100/('Summary, hourly ad costs'!D$11/'Summary, hourly ad costs'!T$11))/('Summary, PPI''s'!T25))</f>
        <v>.</v>
      </c>
      <c r="BR25" s="4">
        <f>IF(OR('Summary, hourly ad costs'!U25=-9999,'Summary, PPI''s'!U25="."),".",(('Summary, hourly ad costs'!E25/'Summary, hourly ad costs'!U25)*100/('Summary, hourly ad costs'!E$11/'Summary, hourly ad costs'!U$11))/('Summary, PPI''s'!U25))</f>
        <v>1.9545396226411342</v>
      </c>
      <c r="BS25" s="4">
        <f>IF(OR('Summary, hourly ad costs'!V25=-9999,'Summary, PPI''s'!V25="."),".",(('Summary, hourly ad costs'!F25/'Summary, hourly ad costs'!V25)*100/('Summary, hourly ad costs'!F$11/'Summary, hourly ad costs'!V$11))/('Summary, PPI''s'!V25))</f>
        <v>1.9480887511127245</v>
      </c>
      <c r="BT25" s="4" t="str">
        <f>IF(OR('Summary, hourly ad costs'!W25=-9999,'Summary, PPI''s'!W25="."),".",(('Summary, hourly ad costs'!G25/'Summary, hourly ad costs'!W25)*100/('Summary, hourly ad costs'!G$11/'Summary, hourly ad costs'!W$11))/('Summary, PPI''s'!W25))</f>
        <v>.</v>
      </c>
      <c r="BU25" s="4">
        <f>IF(OR('Summary, hourly ad costs'!X25=-9999,'Summary, PPI''s'!X25="."),".",(('Summary, hourly ad costs'!H25/'Summary, hourly ad costs'!X25)*100/('Summary, hourly ad costs'!H$11/'Summary, hourly ad costs'!X$11))/('Summary, PPI''s'!X25))</f>
        <v>1.1131774483184251</v>
      </c>
      <c r="BV25" s="4">
        <f>IF(OR('Summary, hourly ad costs'!Y25=-9999,'Summary, PPI''s'!Y25="."),".",(('Summary, hourly ad costs'!I25/'Summary, hourly ad costs'!Y25)*100/('Summary, hourly ad costs'!I$11/'Summary, hourly ad costs'!Y$11))/('Summary, PPI''s'!Y25))</f>
        <v>0.785775268651558</v>
      </c>
      <c r="BW25" s="4">
        <f>IF(OR('Summary, hourly ad costs'!Z25=-9999,'Summary, PPI''s'!Z25="."),".",(('Summary, hourly ad costs'!J25/'Summary, hourly ad costs'!Z25)*100/('Summary, hourly ad costs'!J$11/'Summary, hourly ad costs'!Z$11))/('Summary, PPI''s'!Z25))</f>
        <v>0.81945231976588062</v>
      </c>
      <c r="BX25" s="4">
        <f>IF(OR('Summary, hourly ad costs'!AA25=-9999,'Summary, PPI''s'!AA25="."),".",(('Summary, hourly ad costs'!K25/'Summary, hourly ad costs'!AA25)*100/('Summary, hourly ad costs'!K$11/'Summary, hourly ad costs'!AA$11))/('Summary, PPI''s'!AA25))</f>
        <v>1.6164868098723135</v>
      </c>
      <c r="BY25" s="4" t="str">
        <f>IF(OR('Summary, hourly ad costs'!AB25=-9999,'Summary, PPI''s'!AB25="."),".",(('Summary, hourly ad costs'!L25/'Summary, hourly ad costs'!AB25)*100/('Summary, hourly ad costs'!L$11/'Summary, hourly ad costs'!AB$11))/('Summary, PPI''s'!AB25))</f>
        <v>.</v>
      </c>
      <c r="BZ25" s="4" t="str">
        <f>IF(OR('Summary, hourly ad costs'!AC25=-9999,'Summary, PPI''s'!AC25="."),".",(('Summary, hourly ad costs'!M25/'Summary, hourly ad costs'!AC25)*100/('Summary, hourly ad costs'!M$11/'Summary, hourly ad costs'!AC$11))/('Summary, PPI''s'!AC25))</f>
        <v>.</v>
      </c>
      <c r="CA25" s="4" t="str">
        <f>IF(OR('Summary, hourly ad costs'!AD25=-9999,'Summary, PPI''s'!AD25="."),".",(('Summary, hourly ad costs'!N25/'Summary, hourly ad costs'!AD25)*100/('Summary, hourly ad costs'!N$11/'Summary, hourly ad costs'!AD$11))/('Summary, PPI''s'!AD25))</f>
        <v>.</v>
      </c>
      <c r="CB25" s="4" t="str">
        <f>IF(OR('Summary, hourly ad costs'!AE25=-9999,'Summary, PPI''s'!AE25="."),".",(('Summary, hourly ad costs'!O25/'Summary, hourly ad costs'!AE25)*100/('Summary, hourly ad costs'!O$11/'Summary, hourly ad costs'!AE$11))/('Summary, PPI''s'!AE25))</f>
        <v>.</v>
      </c>
      <c r="CC25" s="4" t="str">
        <f>IF(OR('Summary, hourly ad costs'!AF25=-9999,'Summary, PPI''s'!AF25="."),".",(('Summary, hourly ad costs'!P25/'Summary, hourly ad costs'!AF25)*100/('Summary, hourly ad costs'!P$11/'Summary, hourly ad costs'!AF$11))/('Summary, PPI''s'!AF25))</f>
        <v>.</v>
      </c>
      <c r="CE25" s="4">
        <f t="shared" si="51"/>
        <v>-3.0967334123840118E-2</v>
      </c>
      <c r="CF25" s="4" t="str">
        <f t="shared" si="52"/>
        <v>.</v>
      </c>
      <c r="CG25" s="4" t="str">
        <f t="shared" si="53"/>
        <v>.</v>
      </c>
      <c r="CH25" s="4">
        <f t="shared" si="54"/>
        <v>1.2511595027863143E-2</v>
      </c>
      <c r="CI25" s="4">
        <f t="shared" si="55"/>
        <v>1.4321905214426778E-2</v>
      </c>
      <c r="CJ25" s="4" t="str">
        <f t="shared" si="56"/>
        <v>.</v>
      </c>
      <c r="CK25" s="4">
        <f t="shared" si="57"/>
        <v>9.9430220639407096E-5</v>
      </c>
      <c r="CL25" s="4">
        <f t="shared" si="58"/>
        <v>8.3975646016310357E-2</v>
      </c>
      <c r="CM25" s="4">
        <f t="shared" si="59"/>
        <v>9.3849857751879151E-2</v>
      </c>
      <c r="CN25" s="4">
        <f t="shared" si="60"/>
        <v>5.6252818273966998E-2</v>
      </c>
      <c r="CO25" s="4">
        <f t="shared" si="61"/>
        <v>0.35722204053966888</v>
      </c>
      <c r="CP25" s="4">
        <f t="shared" si="61"/>
        <v>4.4560188503405346E-2</v>
      </c>
      <c r="CQ25" s="4" t="str">
        <f t="shared" si="62"/>
        <v>.</v>
      </c>
      <c r="CR25" s="4" t="str">
        <f t="shared" si="63"/>
        <v>.</v>
      </c>
      <c r="CS25" s="4" t="str">
        <f t="shared" si="64"/>
        <v>.</v>
      </c>
      <c r="CU25" s="5">
        <f>IF(CU24=".", ".", IF('Summary, PPI''s'!R25=".",IF(OR('Summary, hourly ad costs'!R25=-9999,'Summary, hourly ad costs'!R25=0), ".", 'Predicted PPIs'!CU24*('Summary, hourly ad costs'!B25/'Summary, hourly ad costs'!R25)/('Summary, hourly ad costs'!B24/'Summary, hourly ad costs'!R24)/(1-CE24)), 'Summary, PPI''s'!R25))</f>
        <v>94.947986129634586</v>
      </c>
      <c r="CV25" s="5">
        <f>IF(CV24=".", ".", IF('Summary, PPI''s'!S25=".",IF(OR('Summary, hourly ad costs'!S25=-9999,'Summary, hourly ad costs'!S25=0), ".", 'Predicted PPIs'!CV24*('Summary, hourly ad costs'!C25/'Summary, hourly ad costs'!S25)/('Summary, hourly ad costs'!C24/'Summary, hourly ad costs'!S24)/(1-CF24)), 'Summary, PPI''s'!S25))</f>
        <v>94.947986129634586</v>
      </c>
      <c r="CW25" s="5">
        <f>IF(CW24=".", ".", IF('Summary, PPI''s'!T25=".",IF(OR('Summary, hourly ad costs'!T25=-9999,'Summary, hourly ad costs'!T25=0), ".", 'Predicted PPIs'!CW24*('Summary, hourly ad costs'!D25/'Summary, hourly ad costs'!T25)/('Summary, hourly ad costs'!D24/'Summary, hourly ad costs'!T24)/(1-CG24)), 'Summary, PPI''s'!T25))</f>
        <v>82.372778980218484</v>
      </c>
      <c r="CX25" s="5">
        <f>IF(CX24=".", ".", IF('Summary, PPI''s'!U25=".",IF(OR('Summary, hourly ad costs'!U25=-9999,'Summary, hourly ad costs'!U25=0), ".", 'Predicted PPIs'!CX24*('Summary, hourly ad costs'!E25/'Summary, hourly ad costs'!U25)/('Summary, hourly ad costs'!E24/'Summary, hourly ad costs'!U24)/(1-CH24)), 'Summary, PPI''s'!U25))</f>
        <v>68.371620764056331</v>
      </c>
      <c r="CY25" s="5">
        <f>IF(CY24=".", ".", IF('Summary, PPI''s'!V25=".",IF(OR('Summary, hourly ad costs'!V25=-9999,'Summary, hourly ad costs'!V25=0), ".", 'Predicted PPIs'!CY24*('Summary, hourly ad costs'!F25/'Summary, hourly ad costs'!V25)/('Summary, hourly ad costs'!F24/'Summary, hourly ad costs'!V24)/(1-CI24)), 'Summary, PPI''s'!V25))</f>
        <v>60.622348531652875</v>
      </c>
      <c r="CZ25" s="5">
        <f>IF(CZ24=".", ".", IF('Summary, PPI''s'!W25=".",IF(OR('Summary, hourly ad costs'!W25=-9999,'Summary, hourly ad costs'!W25=0), ".", 'Predicted PPIs'!CZ24*('Summary, hourly ad costs'!G25/'Summary, hourly ad costs'!W25)/('Summary, hourly ad costs'!G24/'Summary, hourly ad costs'!W24)/(1-CJ24)), 'Summary, PPI''s'!W25))</f>
        <v>67.897252441134214</v>
      </c>
      <c r="DA25" s="5">
        <f>IF(DA24=".", ".", IF('Summary, PPI''s'!X25=".",IF(OR('Summary, hourly ad costs'!X25=-9999,'Summary, hourly ad costs'!X25=0), ".", 'Predicted PPIs'!DA24*('Summary, hourly ad costs'!H25/'Summary, hourly ad costs'!X25)/('Summary, hourly ad costs'!H24/'Summary, hourly ad costs'!X24)/(1-CK24)), 'Summary, PPI''s'!X25))</f>
        <v>63.244999999999997</v>
      </c>
      <c r="DB25" s="5">
        <f>IF(DB24=".", ".", IF('Summary, PPI''s'!Y25=".",IF(OR('Summary, hourly ad costs'!Y25=-9999,'Summary, hourly ad costs'!Y25=0), ".", 'Predicted PPIs'!DB24*('Summary, hourly ad costs'!I25/'Summary, hourly ad costs'!Y25)/('Summary, hourly ad costs'!I24/'Summary, hourly ad costs'!Y24)/(1-CL24)), 'Summary, PPI''s'!Y25))</f>
        <v>85.831978990426563</v>
      </c>
      <c r="DC25" s="5">
        <f>IF(DC24=".", ".", IF('Summary, PPI''s'!Z25=".",IF(OR('Summary, hourly ad costs'!Z25=-9999,'Summary, hourly ad costs'!Z25=0), ".", 'Predicted PPIs'!DC24*('Summary, hourly ad costs'!J25/'Summary, hourly ad costs'!Z25)/('Summary, hourly ad costs'!J24/'Summary, hourly ad costs'!Z24)/(1-CM24)), 'Summary, PPI''s'!Z25))</f>
        <v>86.995212941545418</v>
      </c>
      <c r="DD25" s="5">
        <f>IF(DD24=".", ".", IF('Summary, PPI''s'!AA25=".",IF(OR('Summary, hourly ad costs'!AA25=-9999,'Summary, hourly ad costs'!AA25=0), ".", 'Predicted PPIs'!DD24*('Summary, hourly ad costs'!K25/'Summary, hourly ad costs'!AA25)/('Summary, hourly ad costs'!K24/'Summary, hourly ad costs'!AA24)/(1-CN24)), 'Summary, PPI''s'!AA25))</f>
        <v>57.99195758340646</v>
      </c>
      <c r="DE25" s="5">
        <f>IF(DE24=".", ".", IF('Summary, PPI''s'!AB25=".",IF(OR('Summary, hourly ad costs'!AB25=-9999,'Summary, hourly ad costs'!AB25=0), ".", 'Predicted PPIs'!DE24*('Summary, hourly ad costs'!L25/'Summary, hourly ad costs'!AB25)/('Summary, hourly ad costs'!L24/'Summary, hourly ad costs'!AB24)/(1-CO24)), 'Summary, PPI''s'!AB25))</f>
        <v>151.94649683148685</v>
      </c>
      <c r="DF25" s="5">
        <f>IF(DF24=".", ".", IF('Summary, PPI''s'!AC25=".",IF(OR('Summary, hourly ad costs'!AC25=-9999,'Summary, hourly ad costs'!AC25=0), ".", 'Predicted PPIs'!DF24*('Summary, hourly ad costs'!M25/'Summary, hourly ad costs'!AC25)/('Summary, hourly ad costs'!M24/'Summary, hourly ad costs'!AC24)/(1-CP24)), 'Summary, PPI''s'!AC25))</f>
        <v>266.80042111650954</v>
      </c>
      <c r="DG25" s="5">
        <f>IF(DG24=".", ".", IF('Summary, PPI''s'!AD25=".",IF(OR('Summary, hourly ad costs'!AD25=-9999,'Summary, hourly ad costs'!AD25=0), ".", 'Predicted PPIs'!DG24*('Summary, hourly ad costs'!N25/'Summary, hourly ad costs'!AD25)/('Summary, hourly ad costs'!N24/'Summary, hourly ad costs'!AD24)/(1-CQ24)), 'Summary, PPI''s'!AD25))</f>
        <v>80.854875863834152</v>
      </c>
      <c r="DH25" s="5">
        <f>IF(DH24=".", ".", IF('Summary, PPI''s'!AE25=".",IF(OR('Summary, hourly ad costs'!AE25=-9999,'Summary, hourly ad costs'!AE25=0), ".", 'Predicted PPIs'!DH24*('Summary, hourly ad costs'!O25/'Summary, hourly ad costs'!AE25)/('Summary, hourly ad costs'!O24/'Summary, hourly ad costs'!AE24)/(1-CR24)), 'Summary, PPI''s'!AE25))</f>
        <v>60.975000000000001</v>
      </c>
      <c r="DI25" s="5">
        <f>IF(DI24=".", ".", IF('Summary, PPI''s'!AF25=".",IF(OR('Summary, hourly ad costs'!AF25=-9999,'Summary, hourly ad costs'!AF25=0), ".", 'Predicted PPIs'!DI24*('Summary, hourly ad costs'!P25/'Summary, hourly ad costs'!AF25)/('Summary, hourly ad costs'!P24/'Summary, hourly ad costs'!AF24)/(1-CS24)), 'Summary, PPI''s'!AF25))</f>
        <v>69.539000000000001</v>
      </c>
      <c r="DK25" s="4">
        <v>58.213999999999999</v>
      </c>
      <c r="DM25" s="5">
        <f t="shared" si="16"/>
        <v>-3.6369622683006142E-2</v>
      </c>
      <c r="DN25" s="5">
        <f t="shared" si="17"/>
        <v>-3.6369622683006142E-2</v>
      </c>
      <c r="DO25" s="5">
        <f t="shared" si="18"/>
        <v>-2.9968701942631015E-2</v>
      </c>
      <c r="DP25" s="5">
        <f t="shared" si="19"/>
        <v>-4.5780511874058405E-3</v>
      </c>
      <c r="DQ25" s="5">
        <f t="shared" si="20"/>
        <v>1.4986935794989442E-2</v>
      </c>
      <c r="DR25" s="5">
        <f t="shared" si="21"/>
        <v>-3.3420187090664744E-3</v>
      </c>
      <c r="DS25" s="5">
        <f t="shared" si="22"/>
        <v>-2.4091763981513137E-2</v>
      </c>
      <c r="DT25" s="5">
        <f t="shared" si="23"/>
        <v>-2.9562003645114077E-2</v>
      </c>
      <c r="DU25" s="5">
        <f t="shared" si="24"/>
        <v>-3.7249686637624735E-2</v>
      </c>
      <c r="DV25" s="5">
        <f t="shared" si="25"/>
        <v>-1.3680997239749471E-2</v>
      </c>
      <c r="DW25" s="5">
        <f t="shared" si="26"/>
        <v>-0.25828912237781365</v>
      </c>
      <c r="DX25" s="5">
        <f t="shared" si="27"/>
        <v>0.30121040103220253</v>
      </c>
      <c r="DY25" s="5">
        <f t="shared" si="28"/>
        <v>-3.0293829973388697E-2</v>
      </c>
      <c r="DZ25" s="5">
        <f t="shared" si="29"/>
        <v>-2.6579113743985139E-2</v>
      </c>
      <c r="EA25" s="5">
        <f t="shared" si="30"/>
        <v>-1.7330859919026387E-2</v>
      </c>
      <c r="EC25" s="1">
        <f t="shared" si="35"/>
        <v>94.947986129634586</v>
      </c>
      <c r="ED25" s="1">
        <f t="shared" si="36"/>
        <v>94.947986129634586</v>
      </c>
      <c r="EE25" s="1">
        <f t="shared" si="37"/>
        <v>82.372778980218484</v>
      </c>
      <c r="EF25" s="1">
        <f t="shared" si="38"/>
        <v>68.371620764056331</v>
      </c>
      <c r="EG25" s="1">
        <f t="shared" si="39"/>
        <v>60.622348531652875</v>
      </c>
      <c r="EH25" s="1">
        <f t="shared" si="40"/>
        <v>67.897252441134214</v>
      </c>
      <c r="EI25" s="1">
        <f t="shared" si="41"/>
        <v>63.244999999999997</v>
      </c>
      <c r="EJ25" s="1">
        <f t="shared" si="42"/>
        <v>85.831978990426563</v>
      </c>
      <c r="EK25" s="1">
        <f t="shared" si="43"/>
        <v>86.995212941545418</v>
      </c>
      <c r="EL25" s="1">
        <f t="shared" si="44"/>
        <v>57.99195758340646</v>
      </c>
      <c r="EM25" s="1">
        <f t="shared" si="45"/>
        <v>151.94649683148685</v>
      </c>
      <c r="EN25" s="1">
        <f t="shared" si="46"/>
        <v>266.80042111650954</v>
      </c>
      <c r="EO25" s="1">
        <f t="shared" si="47"/>
        <v>80.854875863834152</v>
      </c>
      <c r="EP25" s="1">
        <f t="shared" si="48"/>
        <v>60.975000000000001</v>
      </c>
      <c r="EQ25" s="1">
        <f t="shared" si="49"/>
        <v>69.539000000000001</v>
      </c>
      <c r="ES25" s="1">
        <f>IF(EF$26=".", 0, 'Summary, PPI''s'!E25)+IF(EG$26=".", 0, 'Summary, PPI''s'!F25)+IF(EH$26=".", 0, 'Summary, PPI''s'!G25)+IF(EI$26=".", 0, 'Summary, PPI''s'!H25)+IF(EJ$26=".", 0, 'Summary, PPI''s'!I25)+IF(EK$26=".", 0, 'Summary, PPI''s'!J25)+IF(EL$26=".", 0, 'Summary, PPI''s'!K25)+IF(EM$26=".", 0, 'Summary, PPI''s'!L25)+IF(EN$26=".", 0, 'Summary, PPI''s'!M25)+IF(EC$26=".", 0, 'Summary, PPI''s'!B25)+IF(ED$26=".", 0, 'Summary, PPI''s'!C25)+IF(EE$26=".", 0, 'Summary, PPI''s'!D25)+IF(EO$26=".", 0, 'Summary, PPI''s'!N25)+IF(EP$26=".", 0, 'Summary, PPI''s'!O25)+IF(EQ$26=".", 0, 'Summary, PPI''s'!P25)</f>
        <v>215964291.79465219</v>
      </c>
      <c r="ET25" s="1">
        <f>'Summary, hourly ad costs'!E25+'Summary, hourly ad costs'!F25+'Summary, hourly ad costs'!H25+'Summary, hourly ad costs'!I25+'Summary, hourly ad costs'!J25+'Summary, hourly ad costs'!K25+'Summary, hourly ad costs'!L25+'Summary, hourly ad costs'!M25+'Summary, hourly ad costs'!B25</f>
        <v>108457097.98402809</v>
      </c>
      <c r="EV25" s="13">
        <f>EV24*IF(EF$26=".", 1, (EF25/EF24)^(('Summary, PPI''s'!$E25+'Summary, PPI''s'!$E24)/('Predicted PPIs'!ES25+'Predicted PPIs'!ES24)))*IF(EG$26=".", 1, (EG25/EG24)^(('Summary, PPI''s'!$F25+'Summary, PPI''s'!$F24)/('Predicted PPIs'!ES25+'Predicted PPIs'!ES24)))*IF(EH$26=".", 1, (EH25/EH24)^(('Summary, PPI''s'!$G25+'Summary, PPI''s'!$G24)/('Predicted PPIs'!ES25+'Predicted PPIs'!ES24)))*IF(EI$26=".", 1, (EI25/EI24)^(('Summary, PPI''s'!$H25+'Summary, PPI''s'!$H24)/('Predicted PPIs'!ES25+'Predicted PPIs'!ES24)))*IF(EJ$26=".", 1, (EJ25/EJ24)^(('Summary, PPI''s'!$I25+'Summary, PPI''s'!$I24)/('Predicted PPIs'!ES25+'Predicted PPIs'!ES24)))*IF(EK$26=".", 1, (EK25/EK24)^(('Summary, PPI''s'!$J25+'Summary, PPI''s'!$J24)/('Predicted PPIs'!ES25+'Predicted PPIs'!ES24)))*IF(EL$26=".", 1, (EL25/EL24)^(('Summary, PPI''s'!$K25+'Summary, PPI''s'!$K24)/('Predicted PPIs'!ES25+'Predicted PPIs'!ES24)))*IF(EM$26=".", 1, (EM25/EM24)^(('Summary, PPI''s'!$L25+'Summary, PPI''s'!$L24)/('Predicted PPIs'!ES25+'Predicted PPIs'!ES24)))*IF(EN$26=".", 1, (EN25/EN24)^(('Summary, PPI''s'!$M25+'Summary, PPI''s'!$M24)/('Predicted PPIs'!ES25+'Predicted PPIs'!ES24)))*IF(EC$26=".", 1, (EC25/EC24)^(('Summary, PPI''s'!$B25+'Summary, PPI''s'!$B24)/('Predicted PPIs'!ES25+'Predicted PPIs'!ES24)))*IF(ED$26=".", 1, (ED25/ED24)^(('Summary, PPI''s'!$C25+'Summary, PPI''s'!$C24)/('Predicted PPIs'!ES25+'Predicted PPIs'!ES24)))*IF(EE$26=".", 1, (EE25/EE24)^(('Summary, PPI''s'!$D25+'Summary, PPI''s'!$D24)/('Predicted PPIs'!ES25+'Predicted PPIs'!ES24)))*IF(EO$26=".", 1, (EO25/EO24)^(('Summary, PPI''s'!$N25+'Summary, PPI''s'!$N24)/('Predicted PPIs'!ES25+'Predicted PPIs'!ES24)))*IF(EP$26=".", 1, (EP25/EP24)^(('Summary, PPI''s'!$O25+'Summary, PPI''s'!$O24)/('Predicted PPIs'!ES25+'Predicted PPIs'!ES24)))*IF(EQ$26=".", 1, (EQ25/EQ24)^(('Summary, PPI''s'!$P25+'Summary, PPI''s'!$P24)/('Predicted PPIs'!ES25+'Predicted PPIs'!ES24)))</f>
        <v>86.433422434632973</v>
      </c>
      <c r="EW25" s="13">
        <f>EW24*IF(EF$26=".", 1, (EF25/EF24)^(('Summary, PPI''s'!$E25+'Summary, PPI''s'!$E24)/('Predicted PPIs'!ET25+'Predicted PPIs'!ET24)))*IF(EG$26=".", 1, (EG25/EG24)^(('Summary, PPI''s'!$F25+'Summary, PPI''s'!$F24)/('Predicted PPIs'!ET25+'Predicted PPIs'!ET24)))*IF(EH$26=".", 1, (EH25/EH24)^(('Summary, PPI''s'!$G25+'Summary, PPI''s'!$G24)/('Predicted PPIs'!ET25+'Predicted PPIs'!ET24)))*IF(EK$26=".", 1, (EK25/EK24)^(('Summary, PPI''s'!$J25+'Summary, PPI''s'!$J24)/('Predicted PPIs'!ET25+'Predicted PPIs'!ET24)))*IF(EL$26=".", 1, (EL25/EL24)^(('Summary, PPI''s'!$K25+'Summary, PPI''s'!$K24)/('Predicted PPIs'!ET25+'Predicted PPIs'!ET24)))*IF(EM$26=".", 1, (EM25/EM24)^(('Summary, PPI''s'!$L25+'Summary, PPI''s'!$L24)/('Predicted PPIs'!ET25+'Predicted PPIs'!ET24)))*IF(EN$26=".", 1, (EN25/EN24)^(('Summary, PPI''s'!$M25+'Summary, PPI''s'!$M24)/('Predicted PPIs'!ET25+'Predicted PPIs'!ET24)))*IF(EC$26=".", 1, (EC25/EC24)^(('Summary, PPI''s'!$B25+'Summary, PPI''s'!$B24)/('Predicted PPIs'!ET25+'Predicted PPIs'!ET24)))</f>
        <v>96.665835348417104</v>
      </c>
      <c r="EY25" s="2"/>
    </row>
    <row r="26" spans="1:155" x14ac:dyDescent="0.3">
      <c r="A26" s="4">
        <v>1997</v>
      </c>
      <c r="B26" s="10">
        <f>IF(B25=".", ".", IF('Summary, PPI''s'!R26=".",IF(OR('Summary, hourly ad costs'!R26=-9999,'Summary, hourly ad costs'!R26=0), ".", 'Predicted PPIs'!B25*('Summary, hourly ad costs'!B26/'Summary, hourly ad costs'!R26)/('Summary, hourly ad costs'!B25/'Summary, hourly ad costs'!R25)), 'Summary, PPI''s'!R26))</f>
        <v>94.147772739397155</v>
      </c>
      <c r="C26" s="10">
        <f>IF(C25=".", ".", IF('Summary, PPI''s'!S26=".",IF(OR('Summary, hourly ad costs'!S26=-9999,'Summary, hourly ad costs'!S26=0), ".", 'Predicted PPIs'!C25*('Summary, hourly ad costs'!C26/'Summary, hourly ad costs'!S26)/('Summary, hourly ad costs'!C25/'Summary, hourly ad costs'!S25)), 'Summary, PPI''s'!S26))</f>
        <v>94.147772739397155</v>
      </c>
      <c r="D26" s="10">
        <f>IF(D25=".", ".", IF('Summary, PPI''s'!T26=".",IF(OR('Summary, hourly ad costs'!T26=-9999,'Summary, hourly ad costs'!T26=0), ".", 'Predicted PPIs'!D25*('Summary, hourly ad costs'!D26/'Summary, hourly ad costs'!T26)/('Summary, hourly ad costs'!D25/'Summary, hourly ad costs'!T25)), 'Summary, PPI''s'!T26))</f>
        <v>81.139578194996744</v>
      </c>
      <c r="E26" s="10">
        <f>IF(E25=".", ".", IF('Summary, PPI''s'!U26=".",IF(OR('Summary, hourly ad costs'!U26=-9999,'Summary, hourly ad costs'!U26=0), ".", 'Predicted PPIs'!E25*('Summary, hourly ad costs'!E26/'Summary, hourly ad costs'!U26)/('Summary, hourly ad costs'!E25/'Summary, hourly ad costs'!U25)), 'Summary, PPI''s'!U26))</f>
        <v>65.63015611118162</v>
      </c>
      <c r="F26" s="10">
        <f>IF(F25=".", ".", IF('Summary, PPI''s'!V26=".",IF(OR('Summary, hourly ad costs'!V26=-9999,'Summary, hourly ad costs'!V26=0), ".", 'Predicted PPIs'!F25*('Summary, hourly ad costs'!F26/'Summary, hourly ad costs'!V26)/('Summary, hourly ad costs'!F25/'Summary, hourly ad costs'!V25)), 'Summary, PPI''s'!V26))</f>
        <v>57.069895794719727</v>
      </c>
      <c r="G26" s="10">
        <f>IF(G25=".", ".", IF('Summary, PPI''s'!W26=".",IF(OR('Summary, hourly ad costs'!W26=-9999,'Summary, hourly ad costs'!W26=0), ".", 'Predicted PPIs'!G25*('Summary, hourly ad costs'!G26/'Summary, hourly ad costs'!W26)/('Summary, hourly ad costs'!G25/'Summary, hourly ad costs'!W25)), 'Summary, PPI''s'!W26))</f>
        <v>65.093980001759377</v>
      </c>
      <c r="H26" s="10">
        <f>IF(H25=".", ".", IF('Summary, PPI''s'!X26=".",IF(OR('Summary, hourly ad costs'!X26=-9999,'Summary, hourly ad costs'!X26=0), ".", 'Predicted PPIs'!H25*('Summary, hourly ad costs'!H26/'Summary, hourly ad costs'!X26)/('Summary, hourly ad costs'!H25/'Summary, hourly ad costs'!X25)), 'Summary, PPI''s'!X26))</f>
        <v>61.923000000000002</v>
      </c>
      <c r="I26" s="10">
        <f>IF(I25=".", ".", IF('Summary, PPI''s'!Y26=".",IF(OR('Summary, hourly ad costs'!Y26=-9999,'Summary, hourly ad costs'!Y26=0), ".", 'Predicted PPIs'!I25*('Summary, hourly ad costs'!I26/'Summary, hourly ad costs'!Y26)/('Summary, hourly ad costs'!I25/'Summary, hourly ad costs'!Y25)), 'Summary, PPI''s'!Y26))</f>
        <v>84.511558034519837</v>
      </c>
      <c r="J26" s="10">
        <f>IF(J25=".", ".", IF('Summary, PPI''s'!Z26=".",IF(OR('Summary, hourly ad costs'!Z26=-9999,'Summary, hourly ad costs'!Z26=0), ".", 'Predicted PPIs'!J25*('Summary, hourly ad costs'!J26/'Summary, hourly ad costs'!Z26)/('Summary, hourly ad costs'!J25/'Summary, hourly ad costs'!Z25)), 'Summary, PPI''s'!Z26))</f>
        <v>86.340878195546807</v>
      </c>
      <c r="K26" s="10">
        <f>IF(K25=".", ".", IF('Summary, PPI''s'!AA26=".",IF(OR('Summary, hourly ad costs'!AA26=-9999,'Summary, hourly ad costs'!AA26=0), ".", 'Predicted PPIs'!K25*('Summary, hourly ad costs'!K26/'Summary, hourly ad costs'!AA26)/('Summary, hourly ad costs'!K25/'Summary, hourly ad costs'!AA25)), 'Summary, PPI''s'!AA26))</f>
        <v>56.180440933433331</v>
      </c>
      <c r="L26" s="10">
        <f>IF(L25=".", ".", IF('Summary, PPI''s'!AB26=".",IF(OR('Summary, hourly ad costs'!AB26=-9999,'Summary, hourly ad costs'!AB26=0), ".", 'Predicted PPIs'!L25*('Summary, hourly ad costs'!L26/'Summary, hourly ad costs'!AB26)/('Summary, hourly ad costs'!L25/'Summary, hourly ad costs'!AB25)), 'Summary, PPI''s'!AB26))</f>
        <v>64.137685189050998</v>
      </c>
      <c r="M26" s="10">
        <f>IF(M25=".", ".", IF('Summary, PPI''s'!AC26=".",IF(OR('Summary, hourly ad costs'!AC26=-9999,'Summary, hourly ad costs'!AC26=0), ".", 'Predicted PPIs'!M25*('Summary, hourly ad costs'!M26/'Summary, hourly ad costs'!AC26)/('Summary, hourly ad costs'!M25/'Summary, hourly ad costs'!AC25)), 'Summary, PPI''s'!AC26))</f>
        <v>16.56614398213588</v>
      </c>
      <c r="N26" s="10">
        <f>IF(N25=".", ".", IF('Summary, PPI''s'!AD26=".",IF(OR('Summary, hourly ad costs'!AD26=-9999,'Summary, hourly ad costs'!AD26=0), ".", 'Predicted PPIs'!N25*('Summary, hourly ad costs'!N26/'Summary, hourly ad costs'!AD26)/('Summary, hourly ad costs'!N25/'Summary, hourly ad costs'!AD25)), 'Summary, PPI''s'!AD26))</f>
        <v>79.671103148195584</v>
      </c>
      <c r="O26" s="10">
        <f>IF(O25=".", ".", IF('Summary, PPI''s'!AE26=".",IF(OR('Summary, hourly ad costs'!AE26=-9999,'Summary, hourly ad costs'!AE26=0), ".", 'Predicted PPIs'!O25*('Summary, hourly ad costs'!O26/'Summary, hourly ad costs'!AE26)/('Summary, hourly ad costs'!O25/'Summary, hourly ad costs'!AE25)), 'Summary, PPI''s'!AE26))</f>
        <v>59.853000000000002</v>
      </c>
      <c r="P26" s="10">
        <f>IF(P25=".", ".", IF('Summary, PPI''s'!AF26=".",IF(OR('Summary, hourly ad costs'!AF26=-9999,'Summary, hourly ad costs'!AF26=0), ".", 'Predicted PPIs'!P25*('Summary, hourly ad costs'!P26/'Summary, hourly ad costs'!AF26)/('Summary, hourly ad costs'!P25/'Summary, hourly ad costs'!AF25)), 'Summary, PPI''s'!AF26))</f>
        <v>67.617000000000004</v>
      </c>
      <c r="R26" s="1">
        <f>IF(E$26=".", 0, 'Summary, PPI''s'!E26)+IF(F$26=".", 0, 'Summary, PPI''s'!F26)+IF(G$26=".", 0, 'Summary, PPI''s'!G26)+IF(H$26=".", 0, 'Summary, PPI''s'!H26)+IF(I$26=".", 0, 'Summary, PPI''s'!I26)+IF(J$26=".", 0, 'Summary, PPI''s'!J26)+IF(K$26=".", 0, 'Summary, PPI''s'!K26)+IF(L$26=".", 0, 'Summary, PPI''s'!L26)+IF(M$26=".", 0, 'Summary, PPI''s'!M26)+IF(B$26=".", 0, 'Summary, PPI''s'!B26)+IF(C$26=".", 0, 'Summary, PPI''s'!C26)+IF(D$26=".", 0, 'Summary, PPI''s'!D26)+IF(N$26=".", 0, 'Summary, PPI''s'!N26)+IF(O$26=".", 0, 'Summary, PPI''s'!O26)+IF(P$26=".", 0, 'Summary, PPI''s'!P26)</f>
        <v>201163065.96802002</v>
      </c>
      <c r="S26" s="1">
        <f>IF(E$36=".", 0, 'Summary, PPI''s'!E26)+IF(F$36=".", 0, 'Summary, PPI''s'!F26)+IF(G$36=".", 0, 'Summary, PPI''s'!G26)+IF(H$36=".", 0, 'Summary, PPI''s'!H26)+IF(I$36=".", 0, 'Summary, PPI''s'!I26)+IF(J$36=".", 0, 'Summary, PPI''s'!J26)+IF(K$36=".", 0, 'Summary, PPI''s'!K26)+IF(L$36=".", 0, 'Summary, PPI''s'!L26)+IF(M$36=".", 0, 'Summary, PPI''s'!M26)+IF(B$36=".", 0, 'Summary, PPI''s'!B26)+IF(C$36=".", 0, 'Summary, PPI''s'!C26)+IF(D$36=".", 0, 'Summary, PPI''s'!D26)+IF(N$36=".", 0, 'Summary, PPI''s'!N26)+IF(O$36=".", 0, 'Summary, PPI''s'!O26)+IF(P$36=".", 0, 'Summary, PPI''s'!P26)</f>
        <v>200318367.51476169</v>
      </c>
      <c r="T26" s="1">
        <f>IF(E$46=".", 0, 'Summary, PPI''s'!E26)+IF(F$46=".", 0, 'Summary, PPI''s'!F26)+IF(G$46=".", 0, 'Summary, PPI''s'!G26)+IF(H$46=".", 0, 'Summary, PPI''s'!H26)+IF(I$46=".", 0, 'Summary, PPI''s'!I26)+IF(J$46=".", 0, 'Summary, PPI''s'!J26)+IF(K$46=".", 0, 'Summary, PPI''s'!K26)+IF(L$46=".", 0, 'Summary, PPI''s'!L26)+IF(M$46=".", 0, 'Summary, PPI''s'!M26)+IF(B$46=".", 0, 'Summary, PPI''s'!B26)+IF(C$46=".", 0, 'Summary, PPI''s'!C26)+IF(D$46=".", 0, 'Summary, PPI''s'!D26)+IF(N$46=".", 0, 'Summary, PPI''s'!N26)+IF(O$46=".", 0, 'Summary, PPI''s'!O26)+IF(P$46=".", 0, 'Summary, PPI''s'!P26)</f>
        <v>134489875.39115107</v>
      </c>
      <c r="U26" s="1">
        <f>IF(E$60=".", 0, 'Summary, PPI''s'!E26)+IF(F$60=".", 0, 'Summary, PPI''s'!F26)+IF(G$60=".", 0, 'Summary, PPI''s'!G26)+IF(H$60=".", 0, 'Summary, PPI''s'!H26)+IF(I$60=".", 0, 'Summary, PPI''s'!I26)+IF(J$60=".", 0, 'Summary, PPI''s'!J26)+IF(K$60=".", 0, 'Summary, PPI''s'!K26)+IF(L$60=".", 0, 'Summary, PPI''s'!L26)+IF(M$60=".", 0, 'Summary, PPI''s'!M26)+IF(B$60=".", 0, 'Summary, PPI''s'!B26)+IF(C$60=".", 0, 'Summary, PPI''s'!C26)+IF(D$60=".", 0, 'Summary, PPI''s'!D26)+IF(N$60=".", 0, 'Summary, PPI''s'!N26)+IF(O$60=".", 0, 'Summary, PPI''s'!O26)+IF(P$60=".", 0, 'Summary, PPI''s'!P26)</f>
        <v>112263400.70148496</v>
      </c>
      <c r="V26" s="1">
        <f>IF(E$73=".", 0, 'Summary, PPI''s'!E26)+IF(F$73=".", 0, 'Summary, PPI''s'!F26)+IF(G$73=".", 0, 'Summary, PPI''s'!G26)+IF(H$73=".", 0, 'Summary, PPI''s'!H26)+IF(I$73=".", 0, 'Summary, PPI''s'!I26)+IF(J$73=".", 0, 'Summary, PPI''s'!J26)+IF(K$73=".", 0, 'Summary, PPI''s'!K26)+IF(L$73=".", 0, 'Summary, PPI''s'!L26)+IF(M$73=".", 0, 'Summary, PPI''s'!M26)+IF(B$73=".", 0, 'Summary, PPI''s'!B26)+IF(C$73=".", 0, 'Summary, PPI''s'!C26)+IF(D$73=".", 0, 'Summary, PPI''s'!D26)+IF(N$73=".", 0, 'Summary, PPI''s'!N26)+IF(O$73=".", 0, 'Summary, PPI''s'!O26)+IF(P$73=".", 0, 'Summary, PPI''s'!P26)</f>
        <v>87964762.360496357</v>
      </c>
      <c r="W26" s="1">
        <f>IF(E$94=".",0,'Summary, PPI''s'!E26)+IF(F$94=".",0,'Summary, PPI''s'!F26)+IF(G$94=".",0,'Summary, PPI''s'!G26)+IF(H$94=".",0,'Summary, PPI''s'!H26)+IF(I$94=".",0,'Summary, PPI''s'!I26)+IF(J$94=".",0,'Summary, PPI''s'!J26)+IF(K$94=".",0,'Summary, PPI''s'!K26)+IF(L$94=".",0,'Summary, PPI''s'!L26)+IF(M$94=".",0,'Summary, PPI''s'!M26)+IF(B$94=".",0,'Summary, PPI''s'!B26)+IF(C$94=".",0,'Summary, PPI''s'!C26)+IF(D$94=".",0,'Summary, PPI''s'!D26)+IF(N$94=".",0,'Summary, PPI''s'!N26)+IF(O$94=".",0,'Summary, PPI''s'!O26)+IF(P$94=".",0,'Summary, PPI''s'!P26)</f>
        <v>64646745.691730015</v>
      </c>
      <c r="X26" s="1">
        <f>IF(E$123=".", 0, 'Summary, PPI''s'!E26)+IF(F$123=".", 0, 'Summary, PPI''s'!F26)+IF(G$123=".", 0, 'Summary, PPI''s'!G26)+IF(H$123=".", 0, 'Summary, PPI''s'!H26)+IF(I$123=".", 0, 'Summary, PPI''s'!I26)+IF(J$123=".", 0, 'Summary, PPI''s'!J26)+IF(K$123=".", 0, 'Summary, PPI''s'!K26)+IF(L$123=".", 0, 'Summary, PPI''s'!L26)+IF(M$123=".", 0, 'Summary, PPI''s'!M26)+IF(B$123=".", 0, 'Summary, PPI''s'!B26)+IF(C$123=".", 0, 'Summary, PPI''s'!C26)+IF(D$123=".", 0, 'Summary, PPI''s'!D26)+IF(N$123=".", 0, 'Summary, PPI''s'!N26)+IF(O$123=".", 0, 'Summary, PPI''s'!O26)+IF(P$123=".", 0, 'Summary, PPI''s'!P26)</f>
        <v>54802231.735461272</v>
      </c>
      <c r="Z26" s="4">
        <f>Z25*IF(E$26=".", 1, (E26/E25)^(('Summary, PPI''s'!$E26+'Summary, PPI''s'!$E25)/('Predicted PPIs'!R26+'Predicted PPIs'!R25)))*IF(F$26=".", 1, (F26/F25)^(('Summary, PPI''s'!$F26+'Summary, PPI''s'!$F25)/('Predicted PPIs'!R26+'Predicted PPIs'!R25)))*IF(G$26=".", 1, (G26/G25)^(('Summary, PPI''s'!$G26+'Summary, PPI''s'!$G25)/('Predicted PPIs'!R26+'Predicted PPIs'!R25)))*IF(H$26=".", 1, (H26/H25)^(('Summary, PPI''s'!$H26+'Summary, PPI''s'!$H25)/('Predicted PPIs'!R26+'Predicted PPIs'!R25)))*IF(I$26=".", 1, (I26/I25)^(('Summary, PPI''s'!$I26+'Summary, PPI''s'!$I25)/('Predicted PPIs'!R26+'Predicted PPIs'!R25)))*IF(J$26=".", 1, (J26/J25)^(('Summary, PPI''s'!$J26+'Summary, PPI''s'!$J25)/('Predicted PPIs'!R26+'Predicted PPIs'!R25)))*IF(K$26=".", 1, (K26/K25)^(('Summary, PPI''s'!$K26+'Summary, PPI''s'!$K25)/('Predicted PPIs'!R26+'Predicted PPIs'!R25)))*IF(L$26=".", 1, (L26/L25)^(('Summary, PPI''s'!$L26+'Summary, PPI''s'!$L25)/('Predicted PPIs'!R26+'Predicted PPIs'!R25)))*IF(M$26=".", 1, (M26/M25)^(('Summary, PPI''s'!$M26+'Summary, PPI''s'!$M25)/('Predicted PPIs'!R26+'Predicted PPIs'!R25)))*IF(B$26=".", 1, (B26/B25)^(('Summary, PPI''s'!$B26+'Summary, PPI''s'!$B25)/('Predicted PPIs'!R26+'Predicted PPIs'!R25)))*IF(C$26=".", 1, (C26/C25)^(('Summary, PPI''s'!$C26+'Summary, PPI''s'!$C25)/('Predicted PPIs'!R26+'Predicted PPIs'!R25)))*IF(D$26=".", 1, (D26/D25)^(('Summary, PPI''s'!$D26+'Summary, PPI''s'!$D25)/('Predicted PPIs'!R26+'Predicted PPIs'!R25)))*IF(N$26=".", 1, (N26/N25)^(('Summary, PPI''s'!$N26+'Summary, PPI''s'!$N25)/('Predicted PPIs'!R26+'Predicted PPIs'!R25)))*IF(O$26=".", 1, (O26/O25)^(('Summary, PPI''s'!$O26+'Summary, PPI''s'!$O25)/('Predicted PPIs'!R26+'Predicted PPIs'!R25)))*IF(P$26=".", 1, (P26/P25)^(('Summary, PPI''s'!$P26+'Summary, PPI''s'!$P25)/('Predicted PPIs'!R26+'Predicted PPIs'!R25)))</f>
        <v>80.127121383146985</v>
      </c>
      <c r="AA26" s="4">
        <f>AA25*IF(E$36=".", 1, (E26/E25)^(('Summary, PPI''s'!$E26+'Summary, PPI''s'!$E25)/('Predicted PPIs'!S26+'Predicted PPIs'!S25)))*IF(F$36=".", 1, (F26/F25)^(('Summary, PPI''s'!$F26+'Summary, PPI''s'!$F25)/('Predicted PPIs'!S26+'Predicted PPIs'!S25)))*IF(G$36=".", 1, (G26/G25)^(('Summary, PPI''s'!$G26+'Summary, PPI''s'!$G25)/('Predicted PPIs'!S26+'Predicted PPIs'!S25)))*IF(H$36=".", 1, (H26/H25)^(('Summary, PPI''s'!$H26+'Summary, PPI''s'!$H25)/('Predicted PPIs'!S26+'Predicted PPIs'!S25)))*IF(I$36=".", 1, (I26/I25)^(('Summary, PPI''s'!$I26+'Summary, PPI''s'!$I25)/('Predicted PPIs'!S26+'Predicted PPIs'!S25)))*IF(J$36=".", 1, (J26/J25)^(('Summary, PPI''s'!$J26+'Summary, PPI''s'!$J25)/('Predicted PPIs'!S26+'Predicted PPIs'!S25)))*IF(K$36=".", 1, (K26/K25)^(('Summary, PPI''s'!$K26+'Summary, PPI''s'!$K25)/('Predicted PPIs'!S26+'Predicted PPIs'!S25)))*IF(L$36=".", 1, (L26/L25)^(('Summary, PPI''s'!$L26+'Summary, PPI''s'!$L25)/('Predicted PPIs'!S26+'Predicted PPIs'!S25)))*IF(M$36=".", 1, (M26/M25)^(('Summary, PPI''s'!$M26+'Summary, PPI''s'!$M25)/('Predicted PPIs'!S26+'Predicted PPIs'!S25)))*IF(B$36=".", 1, (B26/B25)^(('Summary, PPI''s'!$B26+'Summary, PPI''s'!$B25)/('Predicted PPIs'!S26+'Predicted PPIs'!S25)))*IF(C$36=".", 1, (C26/C25)^(('Summary, PPI''s'!$C26+'Summary, PPI''s'!$C25)/('Predicted PPIs'!S26+'Predicted PPIs'!S25)))*IF(D$36=".", 1, (D26/D25)^(('Summary, PPI''s'!$D26+'Summary, PPI''s'!$D25)/('Predicted PPIs'!S26+'Predicted PPIs'!S25)))*IF(N$36=".", 1, (N26/N25)^(('Summary, PPI''s'!$N26+'Summary, PPI''s'!$N25)/('Predicted PPIs'!S26+'Predicted PPIs'!S25)))*IF(O$36=".", 1, (O26/O25)^(('Summary, PPI''s'!$O26+'Summary, PPI''s'!$O25)/('Predicted PPIs'!S26+'Predicted PPIs'!S25)))*IF(P$36=".", 1, (P26/P25)^(('Summary, PPI''s'!$P26+'Summary, PPI''s'!$P25)/('Predicted PPIs'!S26+'Predicted PPIs'!S25)))</f>
        <v>71.090410693037853</v>
      </c>
      <c r="AB26" s="4">
        <f>AB25*IF(E$46=".", 1, (E26/E25)^(('Summary, PPI''s'!$E26+'Summary, PPI''s'!$E25)/('Predicted PPIs'!T26+'Predicted PPIs'!T25)))*IF(F$46=".", 1, (F26/F25)^(('Summary, PPI''s'!$F26+'Summary, PPI''s'!$F25)/('Predicted PPIs'!T26+'Predicted PPIs'!T25)))*IF(G$46=".", 1, (G26/G25)^(('Summary, PPI''s'!$G26+'Summary, PPI''s'!$G25)/('Predicted PPIs'!T26+'Predicted PPIs'!T25)))*IF(H$46=".", 1, (H26/H25)^(('Summary, PPI''s'!$H26+'Summary, PPI''s'!$H25)/('Predicted PPIs'!T26+'Predicted PPIs'!T25)))*IF(I$46=".", 1, (I26/I25)^(('Summary, PPI''s'!$I26+'Summary, PPI''s'!$I25)/('Predicted PPIs'!T26+'Predicted PPIs'!T25)))*IF(J$46=".", 1, (J26/J25)^(('Summary, PPI''s'!$J26+'Summary, PPI''s'!$J25)/('Predicted PPIs'!T26+'Predicted PPIs'!T25)))*IF(K$46=".", 1, (K26/K25)^(('Summary, PPI''s'!$K26+'Summary, PPI''s'!$K25)/('Predicted PPIs'!T26+'Predicted PPIs'!T25)))*IF(L$46=".", 1, (L26/L25)^(('Summary, PPI''s'!$L26+'Summary, PPI''s'!$L25)/('Predicted PPIs'!T26+'Predicted PPIs'!T25)))*IF(M$46=".", 1, (M26/M25)^(('Summary, PPI''s'!$M26+'Summary, PPI''s'!$M25)/('Predicted PPIs'!T26+'Predicted PPIs'!T25)))*IF(B$46=".", 1, (B26/B25)^(('Summary, PPI''s'!$B26+'Summary, PPI''s'!$B25)/('Predicted PPIs'!T26+'Predicted PPIs'!T25)))*IF(C$46=".", 1, (C26/C25)^(('Summary, PPI''s'!$C26+'Summary, PPI''s'!$C25)/('Predicted PPIs'!T26+'Predicted PPIs'!T25)))*IF(D$46=".", 1, (D26/D25)^(('Summary, PPI''s'!$D26+'Summary, PPI''s'!$D25)/('Predicted PPIs'!T26+'Predicted PPIs'!T25)))*IF(N$46=".", 1, (N26/N25)^(('Summary, PPI''s'!$N26+'Summary, PPI''s'!$N25)/('Predicted PPIs'!T26+'Predicted PPIs'!T25)))*IF(O$46=".", 1, (O26/O25)^(('Summary, PPI''s'!$O26+'Summary, PPI''s'!$O25)/('Predicted PPIs'!T26+'Predicted PPIs'!T25)))*IF(P$46=".", 1, (P26/P25)^(('Summary, PPI''s'!$P26+'Summary, PPI''s'!$P25)/('Predicted PPIs'!T26+'Predicted PPIs'!T25)))</f>
        <v>69.813886498755096</v>
      </c>
      <c r="AC26" s="4">
        <f>AC25*IF(E$60=".",1,(E26/E25)^(('Summary, PPI''s'!$E26+'Summary, PPI''s'!$E25)/('Predicted PPIs'!U26+'Predicted PPIs'!U25)))*IF(F$60=".",1,(F26/F25)^(('Summary, PPI''s'!$F26+'Summary, PPI''s'!$F25)/('Predicted PPIs'!U26+'Predicted PPIs'!U25)))*IF(G$60=".",1,(G26/G25)^(('Summary, PPI''s'!$G26+'Summary, PPI''s'!$G25)/('Predicted PPIs'!U26+'Predicted PPIs'!U25)))*IF(H$60=".",1,(H26/H25)^(('Summary, PPI''s'!$H26+'Summary, PPI''s'!$H25)/('Predicted PPIs'!U26+'Predicted PPIs'!U25)))*IF(I$60=".",1,(I26/I25)^(('Summary, PPI''s'!$I26+'Summary, PPI''s'!$I25)/('Predicted PPIs'!U26+'Predicted PPIs'!U25)))*IF(J$60=".",1,(J26/J25)^(('Summary, PPI''s'!$J26+'Summary, PPI''s'!$J25)/('Predicted PPIs'!U26+'Predicted PPIs'!U25)))*IF(K$60=".",1,(K26/K25)^(('Summary, PPI''s'!$K26+'Summary, PPI''s'!$K25)/('Predicted PPIs'!U26+'Predicted PPIs'!U25)))*IF(L$60=".",1,(L26/L25)^(('Summary, PPI''s'!$L26+'Summary, PPI''s'!$L25)/('Predicted PPIs'!U26+'Predicted PPIs'!U25)))*IF(M$60=".",1,(M26/M25)^(('Summary, PPI''s'!$M26+'Summary, PPI''s'!$M25)/('Predicted PPIs'!U26+'Predicted PPIs'!U25)))*IF(B$60=".",1,(B26/B25)^(('Summary, PPI''s'!$B26+'Summary, PPI''s'!$B25)/('Predicted PPIs'!U26+'Predicted PPIs'!U25)))*IF(C$60=".",1,(C26/C25)^(('Summary, PPI''s'!$C26+'Summary, PPI''s'!$C25)/('Predicted PPIs'!U26+'Predicted PPIs'!U25)))*IF(D$60=".",1,(D26/D25)^(('Summary, PPI''s'!$D26+'Summary, PPI''s'!$D25)/('Predicted PPIs'!U26+'Predicted PPIs'!U25)))*IF(N$60=".",1,(N26/N25)^(('Summary, PPI''s'!$N26+'Summary, PPI''s'!$N25)/('Predicted PPIs'!U26+'Predicted PPIs'!U25)))*IF(O$60=".",1,(O26/O25)^(('Summary, PPI''s'!$O26+'Summary, PPI''s'!$O25)/('Predicted PPIs'!U26+'Predicted PPIs'!U25)))*IF(P$60=".",1,(P26/P25)^(('Summary, PPI''s'!$P26+'Summary, PPI''s'!$P25)/('Predicted PPIs'!U26+'Predicted PPIs'!U25)))</f>
        <v>76.798532339545133</v>
      </c>
      <c r="AD26" s="4">
        <f>AD25*IF(E$73=".", 1, (E26/E25)^(('Summary, PPI''s'!$E26+'Summary, PPI''s'!$E25)/('Predicted PPIs'!V26+'Predicted PPIs'!V25)))*IF(F$73=".", 1, (F26/F25)^(('Summary, PPI''s'!$F26+'Summary, PPI''s'!$F25)/('Predicted PPIs'!V26+'Predicted PPIs'!V25)))*IF(G$73=".", 1, (G26/G25)^(('Summary, PPI''s'!$G26+'Summary, PPI''s'!$G25)/('Predicted PPIs'!V26+'Predicted PPIs'!V25)))*IF(H$73=".", 1, (H26/H25)^(('Summary, PPI''s'!$H26+'Summary, PPI''s'!$H25)/('Predicted PPIs'!V26+'Predicted PPIs'!V25)))*IF(I$73=".", 1, (I26/I25)^(('Summary, PPI''s'!$I26+'Summary, PPI''s'!$I25)/('Predicted PPIs'!V26+'Predicted PPIs'!V25)))*IF(J$73=".", 1, (J26/J25)^(('Summary, PPI''s'!$J26+'Summary, PPI''s'!$J25)/('Predicted PPIs'!V26+'Predicted PPIs'!V25)))*IF(K$73=".", 1, (K26/K25)^(('Summary, PPI''s'!$K26+'Summary, PPI''s'!$K25)/('Predicted PPIs'!V26+'Predicted PPIs'!V25)))*IF(L$73=".", 1, (L26/L25)^(('Summary, PPI''s'!$L26+'Summary, PPI''s'!$L25)/('Predicted PPIs'!V26+'Predicted PPIs'!V25)))*IF(M$73=".", 1, (M26/M25)^(('Summary, PPI''s'!$M26+'Summary, PPI''s'!$M25)/('Predicted PPIs'!V26+'Predicted PPIs'!V25)))*IF(B$73=".", 1, (B26/B25)^(('Summary, PPI''s'!$B26+'Summary, PPI''s'!$B25)/('Predicted PPIs'!V26+'Predicted PPIs'!V25)))*IF(C$73=".", 1, (C26/C25)^(('Summary, PPI''s'!$C26+'Summary, PPI''s'!$C25)/('Predicted PPIs'!V26+'Predicted PPIs'!V25)))*IF(D$73=".", 1, (D26/D25)^(('Summary, PPI''s'!$D26+'Summary, PPI''s'!$D25)/('Predicted PPIs'!V26+'Predicted PPIs'!V25)))*IF(N$73=".", 1, (N26/N25)^(('Summary, PPI''s'!$N26+'Summary, PPI''s'!$N25)/('Predicted PPIs'!V26+'Predicted PPIs'!V25)))*IF(O$73=".", 1, (O26/O25)^(('Summary, PPI''s'!$O26+'Summary, PPI''s'!$O25)/('Predicted PPIs'!V26+'Predicted PPIs'!V25)))*IF(P$73=".", 1, (P26/P25)^(('Summary, PPI''s'!$P26+'Summary, PPI''s'!$P25)/('Predicted PPIs'!V26+'Predicted PPIs'!V25)))</f>
        <v>76.526045811475598</v>
      </c>
      <c r="AE26" s="4">
        <f>AE25*IF(E$94=".", 1, (E26/E25)^(('Summary, PPI''s'!$E26+'Summary, PPI''s'!$E25)/('Predicted PPIs'!W26+'Predicted PPIs'!W25)))*IF(F$94=".", 1, (F26/F25)^(('Summary, PPI''s'!$F26+'Summary, PPI''s'!$F25)/('Predicted PPIs'!W26+'Predicted PPIs'!W25)))*IF(G$94=".", 1, (G26/G25)^(('Summary, PPI''s'!$G26+'Summary, PPI''s'!$G25)/('Predicted PPIs'!W26+'Predicted PPIs'!W25)))*IF(H$94=".", 1, (H26/H25)^(('Summary, PPI''s'!$H26+'Summary, PPI''s'!$H25)/('Predicted PPIs'!W26+'Predicted PPIs'!W25)))*IF(I$94=".", 1, (I26/I25)^(('Summary, PPI''s'!$I26+'Summary, PPI''s'!$I25)/('Predicted PPIs'!W26+'Predicted PPIs'!W25)))*IF(J$94=".", 1, (J26/J25)^(('Summary, PPI''s'!$J26+'Summary, PPI''s'!$J25)/('Predicted PPIs'!W26+'Predicted PPIs'!W25)))*IF(K$94=".", 1, (K26/K25)^(('Summary, PPI''s'!$K26+'Summary, PPI''s'!$K25)/('Predicted PPIs'!W26+'Predicted PPIs'!W25)))*IF(L$94=".", 1, (L26/L25)^(('Summary, PPI''s'!$L26+'Summary, PPI''s'!$L25)/('Predicted PPIs'!W26+'Predicted PPIs'!W25)))*IF(M$94=".", 1, (M26/M25)^(('Summary, PPI''s'!$M26+'Summary, PPI''s'!$M25)/('Predicted PPIs'!W26+'Predicted PPIs'!W25)))*IF(B$94=".", 1, (B26/B25)^(('Summary, PPI''s'!$B26+'Summary, PPI''s'!$B25)/('Predicted PPIs'!W26+'Predicted PPIs'!W25)))*IF(C$94=".", 1, (C26/C25)^(('Summary, PPI''s'!$C26+'Summary, PPI''s'!$C25)/('Predicted PPIs'!W26+'Predicted PPIs'!W25)))*IF(D$94=".", 1, (D26/D25)^(('Summary, PPI''s'!$D26+'Summary, PPI''s'!$D25)/('Predicted PPIs'!W26+'Predicted PPIs'!W25)))*IF(N$94=".", 1, (N26/N25)^(('Summary, PPI''s'!$N26+'Summary, PPI''s'!$N25)/('Predicted PPIs'!W26+'Predicted PPIs'!W25)))*IF(O$94=".", 1, (O26/O25)^(('Summary, PPI''s'!$O26+'Summary, PPI''s'!$O25)/('Predicted PPIs'!W26+'Predicted PPIs'!W25)))*IF(P$94=".", 1, (P26/P25)^(('Summary, PPI''s'!$P26+'Summary, PPI''s'!$P25)/('Predicted PPIs'!W26+'Predicted PPIs'!W25)))</f>
        <v>69.660417896479117</v>
      </c>
      <c r="AF26" s="4">
        <f>AF25*IF(E$123=".", 1, (E26/E25)^(('Summary, PPI''s'!$E26+'Summary, PPI''s'!$E25)/('Predicted PPIs'!X26+'Predicted PPIs'!X25)))*IF(F$123=".", 1, (F26/F25)^(('Summary, PPI''s'!$F26+'Summary, PPI''s'!$F25)/('Predicted PPIs'!X26+'Predicted PPIs'!X25)))*IF(G$123=".", 1, (G26/G25)^(('Summary, PPI''s'!$G26+'Summary, PPI''s'!$G25)/('Predicted PPIs'!X26+'Predicted PPIs'!X25)))*IF(H$123=".", 1, (H26/H25)^(('Summary, PPI''s'!$H26+'Summary, PPI''s'!$H25)/('Predicted PPIs'!X26+'Predicted PPIs'!X25)))*IF(I$123=".", 1, (I26/I25)^(('Summary, PPI''s'!$I26+'Summary, PPI''s'!$I25)/('Predicted PPIs'!X26+'Predicted PPIs'!X25)))*IF(J$123=".", 1, (J26/J25)^(('Summary, PPI''s'!$J26+'Summary, PPI''s'!$J25)/('Predicted PPIs'!X26+'Predicted PPIs'!X25)))*IF(K$123=".", 1, (K26/K25)^(('Summary, PPI''s'!$K26+'Summary, PPI''s'!$K25)/('Predicted PPIs'!X26+'Predicted PPIs'!X25)))*IF(L$123=".", 1, (L26/L25)^(('Summary, PPI''s'!$L26+'Summary, PPI''s'!$L25)/('Predicted PPIs'!X26+'Predicted PPIs'!X25)))*IF(M$123=".", 1, (M26/M25)^(('Summary, PPI''s'!$M26+'Summary, PPI''s'!$M25)/('Predicted PPIs'!X26+'Predicted PPIs'!X25)))*IF(B$123=".", 1, (B26/B25)^(('Summary, PPI''s'!$B26+'Summary, PPI''s'!$B25)/('Predicted PPIs'!X26+'Predicted PPIs'!X25)))*IF(C$123=".", 1, (C26/C25)^(('Summary, PPI''s'!$C26+'Summary, PPI''s'!$C25)/('Predicted PPIs'!X26+'Predicted PPIs'!X25)))*IF(D$123=".", 1, (D26/D25)^(('Summary, PPI''s'!$D26+'Summary, PPI''s'!$D25)/('Predicted PPIs'!X26+'Predicted PPIs'!X25)))*IF(N$123=".", 1, (N26/N25)^(('Summary, PPI''s'!$N26+'Summary, PPI''s'!$N25)/('Predicted PPIs'!X26+'Predicted PPIs'!X25)))*IF(O$123=".", 1, (O26/O25)^(('Summary, PPI''s'!$O26+'Summary, PPI''s'!$O25)/('Predicted PPIs'!X26+'Predicted PPIs'!X25)))*IF(P$123=".", 1, (P26/P25)^(('Summary, PPI''s'!$P26+'Summary, PPI''s'!$P25)/('Predicted PPIs'!X26+'Predicted PPIs'!X25)))</f>
        <v>64.535706291310476</v>
      </c>
      <c r="AH26" s="13">
        <f t="shared" si="32"/>
        <v>80.127121383146999</v>
      </c>
      <c r="AJ26" s="4">
        <v>5536.8</v>
      </c>
      <c r="AK26" s="4">
        <v>-0.41399999999999998</v>
      </c>
      <c r="AL26" s="4">
        <v>-629.50900000000001</v>
      </c>
      <c r="AM26" s="4">
        <v>-9.6359999999999992</v>
      </c>
      <c r="AN26" s="4">
        <v>6296.2</v>
      </c>
      <c r="AO26" s="4">
        <v>1518.4</v>
      </c>
      <c r="AP26" s="4">
        <f>707.546+0.008+0.16+8.278-762.267</f>
        <v>-46.274999999999977</v>
      </c>
      <c r="AQ26" s="4">
        <f>513.279+9.388+8.098+22.191-802.544</f>
        <v>-249.58799999999997</v>
      </c>
      <c r="AR26" s="4">
        <v>-21.068000000000001</v>
      </c>
      <c r="AS26" s="4">
        <v>-46.098999999999997</v>
      </c>
      <c r="AT26" s="4">
        <v>74.477999999999994</v>
      </c>
      <c r="AU26" s="4">
        <v>71.367000000000004</v>
      </c>
      <c r="AV26" s="4">
        <v>68.703000000000003</v>
      </c>
      <c r="AW26" s="4">
        <v>53.290999999999997</v>
      </c>
      <c r="AX26" s="4">
        <v>69.239999999999995</v>
      </c>
      <c r="AY26" s="4">
        <v>85.599000000000004</v>
      </c>
      <c r="AZ26" s="4">
        <v>49.354999999999997</v>
      </c>
      <c r="BA26" s="4">
        <v>75.200999999999993</v>
      </c>
      <c r="BB26" s="4">
        <v>100.545</v>
      </c>
      <c r="BC26" s="4">
        <v>89.248000000000005</v>
      </c>
      <c r="BG26" s="4">
        <f t="shared" si="50"/>
        <v>72.059711153572721</v>
      </c>
      <c r="BI26" s="4">
        <f>BI$13*'[2]Ordinary Experience'!$D$400/'[2]Ordinary Experience'!$D$413</f>
        <v>271414068.36799753</v>
      </c>
      <c r="BJ26" s="4">
        <f>'[2]Ordinary Experience'!$E$400</f>
        <v>21.429951064095057</v>
      </c>
      <c r="BL26" s="4">
        <f t="shared" si="0"/>
        <v>85.25873147626686</v>
      </c>
      <c r="BM26" s="4">
        <f t="shared" si="34"/>
        <v>4.2868044179294795E-2</v>
      </c>
      <c r="BO26" s="4">
        <f>IF(OR('Summary, hourly ad costs'!R26=-9999,'Summary, PPI''s'!R26="."),".",(('Summary, hourly ad costs'!B26/'Summary, hourly ad costs'!R26)*100/('Summary, hourly ad costs'!B$11/'Summary, hourly ad costs'!R$11))/('Summary, PPI''s'!R26))</f>
        <v>0.84166161882926671</v>
      </c>
      <c r="BP26" s="4" t="str">
        <f>IF(OR('Summary, hourly ad costs'!S26=-9999,'Summary, PPI''s'!S26="."),".",(('Summary, hourly ad costs'!C26/'Summary, hourly ad costs'!S26)*100/('Summary, hourly ad costs'!C$11/'Summary, hourly ad costs'!S$11))/('Summary, PPI''s'!S26))</f>
        <v>.</v>
      </c>
      <c r="BQ26" s="4" t="str">
        <f>IF(OR('Summary, hourly ad costs'!T26=-9999,'Summary, PPI''s'!T26="."),".",(('Summary, hourly ad costs'!D26/'Summary, hourly ad costs'!T26)*100/('Summary, hourly ad costs'!D$11/'Summary, hourly ad costs'!T$11))/('Summary, PPI''s'!T26))</f>
        <v>.</v>
      </c>
      <c r="BR26" s="4">
        <f>IF(OR('Summary, hourly ad costs'!U26=-9999,'Summary, PPI''s'!U26="."),".",(('Summary, hourly ad costs'!E26/'Summary, hourly ad costs'!U26)*100/('Summary, hourly ad costs'!E$11/'Summary, hourly ad costs'!U$11))/('Summary, PPI''s'!U26))</f>
        <v>1.9303873972794827</v>
      </c>
      <c r="BS26" s="4">
        <f>IF(OR('Summary, hourly ad costs'!V26=-9999,'Summary, PPI''s'!V26="."),".",(('Summary, hourly ad costs'!F26/'Summary, hourly ad costs'!V26)*100/('Summary, hourly ad costs'!F$11/'Summary, hourly ad costs'!V$11))/('Summary, PPI''s'!V26))</f>
        <v>1.9205823527008421</v>
      </c>
      <c r="BT26" s="4" t="str">
        <f>IF(OR('Summary, hourly ad costs'!W26=-9999,'Summary, PPI''s'!W26="."),".",(('Summary, hourly ad costs'!G26/'Summary, hourly ad costs'!W26)*100/('Summary, hourly ad costs'!G$11/'Summary, hourly ad costs'!W$11))/('Summary, PPI''s'!W26))</f>
        <v>.</v>
      </c>
      <c r="BU26" s="4">
        <f>IF(OR('Summary, hourly ad costs'!X26=-9999,'Summary, PPI''s'!X26="."),".",(('Summary, hourly ad costs'!H26/'Summary, hourly ad costs'!X26)*100/('Summary, hourly ad costs'!H$11/'Summary, hourly ad costs'!X$11))/('Summary, PPI''s'!X26))</f>
        <v>1.1130667758433166</v>
      </c>
      <c r="BV26" s="4">
        <f>IF(OR('Summary, hourly ad costs'!Y26=-9999,'Summary, PPI''s'!Y26="."),".",(('Summary, hourly ad costs'!I26/'Summary, hourly ad costs'!Y26)*100/('Summary, hourly ad costs'!I$11/'Summary, hourly ad costs'!Y$11))/('Summary, PPI''s'!Y26))</f>
        <v>0.72490122037274496</v>
      </c>
      <c r="BW26" s="4">
        <f>IF(OR('Summary, hourly ad costs'!Z26=-9999,'Summary, PPI''s'!Z26="."),".",(('Summary, hourly ad costs'!J26/'Summary, hourly ad costs'!Z26)*100/('Summary, hourly ad costs'!J$11/'Summary, hourly ad costs'!Z$11))/('Summary, PPI''s'!Z26))</f>
        <v>0.74914515365943313</v>
      </c>
      <c r="BX26" s="4">
        <f>IF(OR('Summary, hourly ad costs'!AA26=-9999,'Summary, PPI''s'!AA26="."),".",(('Summary, hourly ad costs'!K26/'Summary, hourly ad costs'!AA26)*100/('Summary, hourly ad costs'!K$11/'Summary, hourly ad costs'!AA$11))/('Summary, PPI''s'!AA26))</f>
        <v>1.5303976300994211</v>
      </c>
      <c r="BY26" s="4" t="str">
        <f>IF(OR('Summary, hourly ad costs'!AB26=-9999,'Summary, PPI''s'!AB26="."),".",(('Summary, hourly ad costs'!L26/'Summary, hourly ad costs'!AB26)*100/('Summary, hourly ad costs'!L$11/'Summary, hourly ad costs'!AB$11))/('Summary, PPI''s'!AB26))</f>
        <v>.</v>
      </c>
      <c r="BZ26" s="4" t="str">
        <f>IF(OR('Summary, hourly ad costs'!AC26=-9999,'Summary, PPI''s'!AC26="."),".",(('Summary, hourly ad costs'!M26/'Summary, hourly ad costs'!AC26)*100/('Summary, hourly ad costs'!M$11/'Summary, hourly ad costs'!AC$11))/('Summary, PPI''s'!AC26))</f>
        <v>.</v>
      </c>
      <c r="CA26" s="4" t="str">
        <f>IF(OR('Summary, hourly ad costs'!AD26=-9999,'Summary, PPI''s'!AD26="."),".",(('Summary, hourly ad costs'!N26/'Summary, hourly ad costs'!AD26)*100/('Summary, hourly ad costs'!N$11/'Summary, hourly ad costs'!AD$11))/('Summary, PPI''s'!AD26))</f>
        <v>.</v>
      </c>
      <c r="CB26" s="4" t="str">
        <f>IF(OR('Summary, hourly ad costs'!AE26=-9999,'Summary, PPI''s'!AE26="."),".",(('Summary, hourly ad costs'!O26/'Summary, hourly ad costs'!AE26)*100/('Summary, hourly ad costs'!O$11/'Summary, hourly ad costs'!AE$11))/('Summary, PPI''s'!AE26))</f>
        <v>.</v>
      </c>
      <c r="CC26" s="4" t="str">
        <f>IF(OR('Summary, hourly ad costs'!AF26=-9999,'Summary, PPI''s'!AF26="."),".",(('Summary, hourly ad costs'!P26/'Summary, hourly ad costs'!AF26)*100/('Summary, hourly ad costs'!P$11/'Summary, hourly ad costs'!AF$11))/('Summary, PPI''s'!AF26))</f>
        <v>.</v>
      </c>
      <c r="CE26" s="4">
        <f t="shared" si="51"/>
        <v>-2.1538103170435585E-2</v>
      </c>
      <c r="CF26" s="4" t="str">
        <f t="shared" si="52"/>
        <v>.</v>
      </c>
      <c r="CG26" s="4" t="str">
        <f t="shared" si="53"/>
        <v>.</v>
      </c>
      <c r="CH26" s="4">
        <f t="shared" si="54"/>
        <v>5.2920707689099178E-2</v>
      </c>
      <c r="CI26" s="4">
        <f t="shared" si="55"/>
        <v>6.4961209201550796E-2</v>
      </c>
      <c r="CJ26" s="4" t="str">
        <f t="shared" si="56"/>
        <v>.</v>
      </c>
      <c r="CK26" s="4">
        <f t="shared" si="57"/>
        <v>-1.10357816108686E-4</v>
      </c>
      <c r="CL26" s="4">
        <f t="shared" si="58"/>
        <v>3.5047596344621068E-2</v>
      </c>
      <c r="CM26" s="4">
        <f t="shared" si="59"/>
        <v>-2.8495767497923929E-2</v>
      </c>
      <c r="CN26" s="4">
        <f t="shared" si="60"/>
        <v>-1.3219433835841565E-3</v>
      </c>
      <c r="CO26" s="4">
        <f t="shared" si="61"/>
        <v>0.27579811888282557</v>
      </c>
      <c r="CP26" s="4">
        <f t="shared" si="61"/>
        <v>7.7376625180899578E-2</v>
      </c>
      <c r="CQ26" s="4" t="str">
        <f t="shared" si="62"/>
        <v>.</v>
      </c>
      <c r="CR26" s="4" t="str">
        <f t="shared" si="63"/>
        <v>.</v>
      </c>
      <c r="CS26" s="4" t="str">
        <f t="shared" si="64"/>
        <v>.</v>
      </c>
      <c r="CU26" s="5">
        <f>IF(CU25=".", ".", IF('Summary, PPI''s'!R26=".",IF(OR('Summary, hourly ad costs'!R26=-9999,'Summary, hourly ad costs'!R26=0), ".", 'Predicted PPIs'!CU25*('Summary, hourly ad costs'!B26/'Summary, hourly ad costs'!R26)/('Summary, hourly ad costs'!B25/'Summary, hourly ad costs'!R25)/(1-CE25)), 'Summary, PPI''s'!R26))</f>
        <v>94.147772739397155</v>
      </c>
      <c r="CV26" s="5">
        <f>IF(CV25=".", ".", IF('Summary, PPI''s'!S26=".",IF(OR('Summary, hourly ad costs'!S26=-9999,'Summary, hourly ad costs'!S26=0), ".", 'Predicted PPIs'!CV25*('Summary, hourly ad costs'!C26/'Summary, hourly ad costs'!S26)/('Summary, hourly ad costs'!C25/'Summary, hourly ad costs'!S25)/(1-CF25)), 'Summary, PPI''s'!S26))</f>
        <v>94.147772739397155</v>
      </c>
      <c r="CW26" s="5">
        <f>IF(CW25=".", ".", IF('Summary, PPI''s'!T26=".",IF(OR('Summary, hourly ad costs'!T26=-9999,'Summary, hourly ad costs'!T26=0), ".", 'Predicted PPIs'!CW25*('Summary, hourly ad costs'!D26/'Summary, hourly ad costs'!T26)/('Summary, hourly ad costs'!D25/'Summary, hourly ad costs'!T25)/(1-CG25)), 'Summary, PPI''s'!T26))</f>
        <v>81.139578194996744</v>
      </c>
      <c r="CX26" s="5">
        <f>IF(CX25=".", ".", IF('Summary, PPI''s'!U26=".",IF(OR('Summary, hourly ad costs'!U26=-9999,'Summary, hourly ad costs'!U26=0), ".", 'Predicted PPIs'!CX25*('Summary, hourly ad costs'!E26/'Summary, hourly ad costs'!U26)/('Summary, hourly ad costs'!E25/'Summary, hourly ad costs'!U25)/(1-CH25)), 'Summary, PPI''s'!U26))</f>
        <v>65.63015611118162</v>
      </c>
      <c r="CY26" s="5">
        <f>IF(CY25=".", ".", IF('Summary, PPI''s'!V26=".",IF(OR('Summary, hourly ad costs'!V26=-9999,'Summary, hourly ad costs'!V26=0), ".", 'Predicted PPIs'!CY25*('Summary, hourly ad costs'!F26/'Summary, hourly ad costs'!V26)/('Summary, hourly ad costs'!F25/'Summary, hourly ad costs'!V25)/(1-CI25)), 'Summary, PPI''s'!V26))</f>
        <v>57.069895794719727</v>
      </c>
      <c r="CZ26" s="5">
        <f>IF(CZ25=".", ".", IF('Summary, PPI''s'!W26=".",IF(OR('Summary, hourly ad costs'!W26=-9999,'Summary, hourly ad costs'!W26=0), ".", 'Predicted PPIs'!CZ25*('Summary, hourly ad costs'!G26/'Summary, hourly ad costs'!W26)/('Summary, hourly ad costs'!G25/'Summary, hourly ad costs'!W25)/(1-CJ25)), 'Summary, PPI''s'!W26))</f>
        <v>65.093980001759377</v>
      </c>
      <c r="DA26" s="5">
        <f>IF(DA25=".", ".", IF('Summary, PPI''s'!X26=".",IF(OR('Summary, hourly ad costs'!X26=-9999,'Summary, hourly ad costs'!X26=0), ".", 'Predicted PPIs'!DA25*('Summary, hourly ad costs'!H26/'Summary, hourly ad costs'!X26)/('Summary, hourly ad costs'!H25/'Summary, hourly ad costs'!X25)/(1-CK25)), 'Summary, PPI''s'!X26))</f>
        <v>61.923000000000002</v>
      </c>
      <c r="DB26" s="5">
        <f>IF(DB25=".", ".", IF('Summary, PPI''s'!Y26=".",IF(OR('Summary, hourly ad costs'!Y26=-9999,'Summary, hourly ad costs'!Y26=0), ".", 'Predicted PPIs'!DB25*('Summary, hourly ad costs'!I26/'Summary, hourly ad costs'!Y26)/('Summary, hourly ad costs'!I25/'Summary, hourly ad costs'!Y25)/(1-CL25)), 'Summary, PPI''s'!Y26))</f>
        <v>84.511558034519837</v>
      </c>
      <c r="DC26" s="5">
        <f>IF(DC25=".", ".", IF('Summary, PPI''s'!Z26=".",IF(OR('Summary, hourly ad costs'!Z26=-9999,'Summary, hourly ad costs'!Z26=0), ".", 'Predicted PPIs'!DC25*('Summary, hourly ad costs'!J26/'Summary, hourly ad costs'!Z26)/('Summary, hourly ad costs'!J25/'Summary, hourly ad costs'!Z25)/(1-CM25)), 'Summary, PPI''s'!Z26))</f>
        <v>86.340878195546807</v>
      </c>
      <c r="DD26" s="5">
        <f>IF(DD25=".", ".", IF('Summary, PPI''s'!AA26=".",IF(OR('Summary, hourly ad costs'!AA26=-9999,'Summary, hourly ad costs'!AA26=0), ".", 'Predicted PPIs'!DD25*('Summary, hourly ad costs'!K26/'Summary, hourly ad costs'!AA26)/('Summary, hourly ad costs'!K25/'Summary, hourly ad costs'!AA25)/(1-CN25)), 'Summary, PPI''s'!AA26))</f>
        <v>56.180440933433331</v>
      </c>
      <c r="DE26" s="5">
        <f>IF(DE25=".", ".", IF('Summary, PPI''s'!AB26=".",IF(OR('Summary, hourly ad costs'!AB26=-9999,'Summary, hourly ad costs'!AB26=0), ".", 'Predicted PPIs'!DE25*('Summary, hourly ad costs'!L26/'Summary, hourly ad costs'!AB26)/('Summary, hourly ad costs'!L25/'Summary, hourly ad costs'!AB25)/(1-CO25)), 'Summary, PPI''s'!AB26))</f>
        <v>195.74506348001248</v>
      </c>
      <c r="DF26" s="5">
        <f>IF(DF25=".", ".", IF('Summary, PPI''s'!AC26=".",IF(OR('Summary, hourly ad costs'!AC26=-9999,'Summary, hourly ad costs'!AC26=0), ".", 'Predicted PPIs'!DF25*('Summary, hourly ad costs'!M26/'Summary, hourly ad costs'!AC26)/('Summary, hourly ad costs'!M25/'Summary, hourly ad costs'!AC25)/(1-CP25)), 'Summary, PPI''s'!AC26))</f>
        <v>195.91773869501819</v>
      </c>
      <c r="DG26" s="5">
        <f>IF(DG25=".", ".", IF('Summary, PPI''s'!AD26=".",IF(OR('Summary, hourly ad costs'!AD26=-9999,'Summary, hourly ad costs'!AD26=0), ".", 'Predicted PPIs'!DG25*('Summary, hourly ad costs'!N26/'Summary, hourly ad costs'!AD26)/('Summary, hourly ad costs'!N25/'Summary, hourly ad costs'!AD25)/(1-CQ25)), 'Summary, PPI''s'!AD26))</f>
        <v>79.671103148195584</v>
      </c>
      <c r="DH26" s="5">
        <f>IF(DH25=".", ".", IF('Summary, PPI''s'!AE26=".",IF(OR('Summary, hourly ad costs'!AE26=-9999,'Summary, hourly ad costs'!AE26=0), ".", 'Predicted PPIs'!DH25*('Summary, hourly ad costs'!O26/'Summary, hourly ad costs'!AE26)/('Summary, hourly ad costs'!O25/'Summary, hourly ad costs'!AE25)/(1-CR25)), 'Summary, PPI''s'!AE26))</f>
        <v>59.853000000000002</v>
      </c>
      <c r="DI26" s="5">
        <f>IF(DI25=".", ".", IF('Summary, PPI''s'!AF26=".",IF(OR('Summary, hourly ad costs'!AF26=-9999,'Summary, hourly ad costs'!AF26=0), ".", 'Predicted PPIs'!DI25*('Summary, hourly ad costs'!P26/'Summary, hourly ad costs'!AF26)/('Summary, hourly ad costs'!P25/'Summary, hourly ad costs'!AF25)/(1-CS25)), 'Summary, PPI''s'!AF26))</f>
        <v>67.617000000000004</v>
      </c>
      <c r="DK26" s="4">
        <v>55.624000000000002</v>
      </c>
      <c r="DM26" s="5">
        <f t="shared" ref="DM26:DM45" si="65">IF(OR(CU26=".", CU27="."), ".",(CU26/$DK26)/(CU27/$DK27)-1)</f>
        <v>-4.3972537652102295E-2</v>
      </c>
      <c r="DN26" s="5">
        <f t="shared" ref="DN26:DN45" si="66">IF(OR(CV26=".", CV27="."), ".",(CV26/$DK26)/(CV27/$DK27)-1)</f>
        <v>-4.3972537652102295E-2</v>
      </c>
      <c r="DO26" s="5">
        <f t="shared" ref="DO26:DO45" si="67">IF(OR(CW26=".", CW27="."), ".",(CW26/$DK26)/(CW27/$DK27)-1)</f>
        <v>-2.3768668164932283E-2</v>
      </c>
      <c r="DP26" s="5">
        <f t="shared" ref="DP26:DP45" si="68">IF(OR(CX26=".", CX27="."), ".",(CX26/$DK26)/(CX27/$DK27)-1)</f>
        <v>1.4918406129837969E-3</v>
      </c>
      <c r="DQ26" s="5">
        <f t="shared" ref="DQ26:DQ45" si="69">IF(OR(CY26=".", CY27="."), ".",(CY26/$DK26)/(CY27/$DK27)-1)</f>
        <v>-3.0166779203606442E-3</v>
      </c>
      <c r="DR26" s="5">
        <f t="shared" ref="DR26:DR45" si="70">IF(OR(CZ26=".", CZ27="."), ".",(CZ26/$DK26)/(CZ27/$DK27)-1)</f>
        <v>-6.8040305234733367E-3</v>
      </c>
      <c r="DS26" s="5">
        <f t="shared" ref="DS26:DS45" si="71">IF(OR(DA26=".", DA27="."), ".",(DA26/$DK26)/(DA27/$DK27)-1)</f>
        <v>-1.349583313225311E-2</v>
      </c>
      <c r="DT26" s="5">
        <f t="shared" ref="DT26:DT45" si="72">IF(OR(DB26=".", DB27="."), ".",(DB26/$DK26)/(DB27/$DK27)-1)</f>
        <v>1.428795698759755E-2</v>
      </c>
      <c r="DU26" s="5">
        <f t="shared" ref="DU26:DU45" si="73">IF(OR(DC26=".", DC27="."), ".",(DC26/$DK26)/(DC27/$DK27)-1)</f>
        <v>3.0982184594785522E-2</v>
      </c>
      <c r="DV26" s="5">
        <f t="shared" ref="DV26:DV45" si="74">IF(OR(DD26=".", DD27="."), ".",(DD26/$DK26)/(DD27/$DK27)-1)</f>
        <v>5.2167489841438819E-2</v>
      </c>
      <c r="DW26" s="4">
        <f>_xlfn.FORECAST.LINEAR($BM26,DW$4:DW$25,$BM$4:$BM$25)</f>
        <v>-0.14237911405379822</v>
      </c>
      <c r="DX26" s="4">
        <f>_xlfn.FORECAST.LINEAR($BM26,DX$4:DX$25,$BM$4:$BM$25)</f>
        <v>8.8272106435651976E-2</v>
      </c>
      <c r="DY26" s="5">
        <f t="shared" ref="DY26:DY35" si="75">IF(OR(DG26=".", DG27="."), ".",(DG26/$DK26)/(DG27/$DK27)-1)</f>
        <v>-2.091490872954449E-2</v>
      </c>
      <c r="DZ26" s="5">
        <f t="shared" ref="DZ26:DZ35" si="76">IF(OR(DH26=".", DH27="."), ".",(DH26/$DK26)/(DH27/$DK27)-1)</f>
        <v>-1.3813068235599468E-2</v>
      </c>
      <c r="EA26" s="5">
        <f t="shared" ref="EA26:EA35" si="77">IF(OR(DI26=".", DI27="."), ".",(DI26/$DK26)/(DI27/$DK27)-1)</f>
        <v>-1.9335770712707312E-2</v>
      </c>
      <c r="EC26" s="1">
        <f t="shared" si="35"/>
        <v>94.147772739397155</v>
      </c>
      <c r="ED26" s="1">
        <f t="shared" si="36"/>
        <v>94.147772739397155</v>
      </c>
      <c r="EE26" s="1">
        <f t="shared" si="37"/>
        <v>81.139578194996744</v>
      </c>
      <c r="EF26" s="1">
        <f t="shared" si="38"/>
        <v>65.63015611118162</v>
      </c>
      <c r="EG26" s="1">
        <f t="shared" si="39"/>
        <v>57.069895794719727</v>
      </c>
      <c r="EH26" s="1">
        <f t="shared" si="40"/>
        <v>65.093980001759377</v>
      </c>
      <c r="EI26" s="1">
        <f t="shared" si="41"/>
        <v>61.923000000000002</v>
      </c>
      <c r="EJ26" s="1">
        <f t="shared" si="42"/>
        <v>84.511558034519837</v>
      </c>
      <c r="EK26" s="1">
        <f t="shared" si="43"/>
        <v>86.340878195546807</v>
      </c>
      <c r="EL26" s="1">
        <f t="shared" si="44"/>
        <v>56.180440933433331</v>
      </c>
      <c r="EM26" s="1">
        <f t="shared" si="45"/>
        <v>195.74506348001248</v>
      </c>
      <c r="EN26" s="1">
        <f t="shared" si="46"/>
        <v>195.91773869501819</v>
      </c>
      <c r="EO26" s="1">
        <f t="shared" si="47"/>
        <v>79.671103148195584</v>
      </c>
      <c r="EP26" s="1">
        <f t="shared" si="48"/>
        <v>59.853000000000002</v>
      </c>
      <c r="EQ26" s="1">
        <f t="shared" si="49"/>
        <v>67.617000000000004</v>
      </c>
      <c r="ES26" s="1">
        <f>IF(EF$26=".", 0, 'Summary, PPI''s'!E26)+IF(EG$26=".", 0, 'Summary, PPI''s'!F26)+IF(EH$26=".", 0, 'Summary, PPI''s'!G26)+IF(EI$26=".", 0, 'Summary, PPI''s'!H26)+IF(EJ$26=".", 0, 'Summary, PPI''s'!I26)+IF(EK$26=".", 0, 'Summary, PPI''s'!J26)+IF(EL$26=".", 0, 'Summary, PPI''s'!K26)+IF(EM$26=".", 0, 'Summary, PPI''s'!L26)+IF(EN$26=".", 0, 'Summary, PPI''s'!M26)+IF(EC$26=".", 0, 'Summary, PPI''s'!B26)+IF(ED$26=".", 0, 'Summary, PPI''s'!C26)+IF(EE$26=".", 0, 'Summary, PPI''s'!D26)+IF(EO$26=".", 0, 'Summary, PPI''s'!N26)+IF(EP$26=".", 0, 'Summary, PPI''s'!O26)+IF(EQ$26=".", 0, 'Summary, PPI''s'!P26)</f>
        <v>201163065.96802002</v>
      </c>
      <c r="ET26" s="1">
        <f>'Summary, hourly ad costs'!E26+'Summary, hourly ad costs'!F26+'Summary, hourly ad costs'!H26+'Summary, hourly ad costs'!I26+'Summary, hourly ad costs'!J26+'Summary, hourly ad costs'!K26+'Summary, hourly ad costs'!L26+'Summary, hourly ad costs'!M26+'Summary, hourly ad costs'!B26</f>
        <v>98999432.148174971</v>
      </c>
      <c r="EV26" s="13">
        <f>EV25*IF(EF$26=".", 1, (EF26/EF25)^(('Summary, PPI''s'!$E26+'Summary, PPI''s'!$E25)/('Predicted PPIs'!ES26+'Predicted PPIs'!ES25)))*IF(EG$26=".", 1, (EG26/EG25)^(('Summary, PPI''s'!$F26+'Summary, PPI''s'!$F25)/('Predicted PPIs'!ES26+'Predicted PPIs'!ES25)))*IF(EH$26=".", 1, (EH26/EH25)^(('Summary, PPI''s'!$G26+'Summary, PPI''s'!$G25)/('Predicted PPIs'!ES26+'Predicted PPIs'!ES25)))*IF(EI$26=".", 1, (EI26/EI25)^(('Summary, PPI''s'!$H26+'Summary, PPI''s'!$H25)/('Predicted PPIs'!ES26+'Predicted PPIs'!ES25)))*IF(EJ$26=".", 1, (EJ26/EJ25)^(('Summary, PPI''s'!$I26+'Summary, PPI''s'!$I25)/('Predicted PPIs'!ES26+'Predicted PPIs'!ES25)))*IF(EK$26=".", 1, (EK26/EK25)^(('Summary, PPI''s'!$J26+'Summary, PPI''s'!$J25)/('Predicted PPIs'!ES26+'Predicted PPIs'!ES25)))*IF(EL$26=".", 1, (EL26/EL25)^(('Summary, PPI''s'!$K26+'Summary, PPI''s'!$K25)/('Predicted PPIs'!ES26+'Predicted PPIs'!ES25)))*IF(EM$26=".", 1, (EM26/EM25)^(('Summary, PPI''s'!$L26+'Summary, PPI''s'!$L25)/('Predicted PPIs'!ES26+'Predicted PPIs'!ES25)))*IF(EN$26=".", 1, (EN26/EN25)^(('Summary, PPI''s'!$M26+'Summary, PPI''s'!$M25)/('Predicted PPIs'!ES26+'Predicted PPIs'!ES25)))*IF(EC$26=".", 1, (EC26/EC25)^(('Summary, PPI''s'!$B26+'Summary, PPI''s'!$B25)/('Predicted PPIs'!ES26+'Predicted PPIs'!ES25)))*IF(ED$26=".", 1, (ED26/ED25)^(('Summary, PPI''s'!$C26+'Summary, PPI''s'!$C25)/('Predicted PPIs'!ES26+'Predicted PPIs'!ES25)))*IF(EE$26=".", 1, (EE26/EE25)^(('Summary, PPI''s'!$D26+'Summary, PPI''s'!$D25)/('Predicted PPIs'!ES26+'Predicted PPIs'!ES25)))*IF(EO$26=".", 1, (EO26/EO25)^(('Summary, PPI''s'!$N26+'Summary, PPI''s'!$N25)/('Predicted PPIs'!ES26+'Predicted PPIs'!ES25)))*IF(EP$26=".", 1, (EP26/EP25)^(('Summary, PPI''s'!$O26+'Summary, PPI''s'!$O25)/('Predicted PPIs'!ES26+'Predicted PPIs'!ES25)))*IF(EQ$26=".", 1, (EQ26/EQ25)^(('Summary, PPI''s'!$P26+'Summary, PPI''s'!$P25)/('Predicted PPIs'!ES26+'Predicted PPIs'!ES25)))</f>
        <v>84.524685685209406</v>
      </c>
      <c r="EW26" s="13">
        <f>EW25*IF(EF$26=".", 1, (EF26/EF25)^(('Summary, PPI''s'!$E26+'Summary, PPI''s'!$E25)/('Predicted PPIs'!ET26+'Predicted PPIs'!ET25)))*IF(EG$26=".", 1, (EG26/EG25)^(('Summary, PPI''s'!$F26+'Summary, PPI''s'!$F25)/('Predicted PPIs'!ET26+'Predicted PPIs'!ET25)))*IF(EH$26=".", 1, (EH26/EH25)^(('Summary, PPI''s'!$G26+'Summary, PPI''s'!$G25)/('Predicted PPIs'!ET26+'Predicted PPIs'!ET25)))*IF(EK$26=".", 1, (EK26/EK25)^(('Summary, PPI''s'!$J26+'Summary, PPI''s'!$J25)/('Predicted PPIs'!ET26+'Predicted PPIs'!ET25)))*IF(EL$26=".", 1, (EL26/EL25)^(('Summary, PPI''s'!$K26+'Summary, PPI''s'!$K25)/('Predicted PPIs'!ET26+'Predicted PPIs'!ET25)))*IF(EM$26=".", 1, (EM26/EM25)^(('Summary, PPI''s'!$L26+'Summary, PPI''s'!$L25)/('Predicted PPIs'!ET26+'Predicted PPIs'!ET25)))*IF(EN$26=".", 1, (EN26/EN25)^(('Summary, PPI''s'!$M26+'Summary, PPI''s'!$M25)/('Predicted PPIs'!ET26+'Predicted PPIs'!ET25)))*IF(EC$26=".", 1, (EC26/EC25)^(('Summary, PPI''s'!$B26+'Summary, PPI''s'!$B25)/('Predicted PPIs'!ET26+'Predicted PPIs'!ET25)))</f>
        <v>93.751815841849137</v>
      </c>
      <c r="EY26" s="2"/>
    </row>
    <row r="27" spans="1:155" x14ac:dyDescent="0.3">
      <c r="A27" s="4">
        <v>1996</v>
      </c>
      <c r="B27" s="10">
        <f>IF(B26=".", ".", IF('Summary, PPI''s'!R27=".",IF(OR('Summary, hourly ad costs'!R27=-9999,'Summary, hourly ad costs'!R27=0), ".", 'Predicted PPIs'!B26*('Summary, hourly ad costs'!B27/'Summary, hourly ad costs'!R27)/('Summary, hourly ad costs'!B26/'Summary, hourly ad costs'!R26)), 'Summary, PPI''s'!R27))</f>
        <v>94.521205654841282</v>
      </c>
      <c r="C27" s="10">
        <f>IF(C26=".", ".", IF('Summary, PPI''s'!S27=".",IF(OR('Summary, hourly ad costs'!S27=-9999,'Summary, hourly ad costs'!S27=0), ".", 'Predicted PPIs'!C26*('Summary, hourly ad costs'!C27/'Summary, hourly ad costs'!S27)/('Summary, hourly ad costs'!C26/'Summary, hourly ad costs'!S26)), 'Summary, PPI''s'!S27))</f>
        <v>94.521205654841282</v>
      </c>
      <c r="D27" s="10">
        <f>IF(D26=".", ".", IF('Summary, PPI''s'!T27=".",IF(OR('Summary, hourly ad costs'!T27=-9999,'Summary, hourly ad costs'!T27=0), ".", 'Predicted PPIs'!D26*('Summary, hourly ad costs'!D27/'Summary, hourly ad costs'!T27)/('Summary, hourly ad costs'!D26/'Summary, hourly ad costs'!T26)), 'Summary, PPI''s'!T27))</f>
        <v>79.775507122363749</v>
      </c>
      <c r="E27" s="10">
        <f>IF(E26=".", ".", IF('Summary, PPI''s'!U27=".",IF(OR('Summary, hourly ad costs'!U27=-9999,'Summary, hourly ad costs'!U27=0), ".", 'Predicted PPIs'!E26*('Summary, hourly ad costs'!E27/'Summary, hourly ad costs'!U27)/('Summary, hourly ad costs'!E26/'Summary, hourly ad costs'!U26)), 'Summary, PPI''s'!U27))</f>
        <v>62.899268096628155</v>
      </c>
      <c r="F27" s="10">
        <f>IF(F26=".", ".", IF('Summary, PPI''s'!V27=".",IF(OR('Summary, hourly ad costs'!V27=-9999,'Summary, hourly ad costs'!V27=0), ".", 'Predicted PPIs'!F26*('Summary, hourly ad costs'!F27/'Summary, hourly ad costs'!V27)/('Summary, hourly ad costs'!F26/'Summary, hourly ad costs'!V26)), 'Summary, PPI''s'!V27))</f>
        <v>54.942542938341781</v>
      </c>
      <c r="G27" s="10">
        <f>IF(G26=".", ".", IF('Summary, PPI''s'!W27=".",IF(OR('Summary, hourly ad costs'!W27=-9999,'Summary, hourly ad costs'!W27=0), ".", 'Predicted PPIs'!G26*('Summary, hourly ad costs'!G27/'Summary, hourly ad costs'!W27)/('Summary, hourly ad costs'!G26/'Summary, hourly ad costs'!W26)), 'Summary, PPI''s'!W27))</f>
        <v>62.906489165176083</v>
      </c>
      <c r="H27" s="10">
        <f>IF(H26=".", ".", IF('Summary, PPI''s'!X27=".",IF(OR('Summary, hourly ad costs'!X27=-9999,'Summary, hourly ad costs'!X27=0), ".", 'Predicted PPIs'!H26*('Summary, hourly ad costs'!H27/'Summary, hourly ad costs'!X27)/('Summary, hourly ad costs'!H26/'Summary, hourly ad costs'!X26)), 'Summary, PPI''s'!X27))</f>
        <v>60.247999999999998</v>
      </c>
      <c r="I27" s="10">
        <f>IF(I26=".", ".", IF('Summary, PPI''s'!Y27=".",IF(OR('Summary, hourly ad costs'!Y27=-9999,'Summary, hourly ad costs'!Y27=0), ".", 'Predicted PPIs'!I26*('Summary, hourly ad costs'!I27/'Summary, hourly ad costs'!Y27)/('Summary, hourly ad costs'!I26/'Summary, hourly ad costs'!Y26)), 'Summary, PPI''s'!Y27))</f>
        <v>79.973188105651602</v>
      </c>
      <c r="J27" s="10">
        <f>IF(J26=".", ".", IF('Summary, PPI''s'!Z27=".",IF(OR('Summary, hourly ad costs'!Z27=-9999,'Summary, hourly ad costs'!Z27=0), ".", 'Predicted PPIs'!J26*('Summary, hourly ad costs'!J27/'Summary, hourly ad costs'!Z27)/('Summary, hourly ad costs'!J26/'Summary, hourly ad costs'!Z26)), 'Summary, PPI''s'!Z27))</f>
        <v>80.381271356959274</v>
      </c>
      <c r="K27" s="10">
        <f>IF(K26=".", ".", IF('Summary, PPI''s'!AA27=".",IF(OR('Summary, hourly ad costs'!AA27=-9999,'Summary, hourly ad costs'!AA27=0), ".", 'Predicted PPIs'!K26*('Summary, hourly ad costs'!K27/'Summary, hourly ad costs'!AA27)/('Summary, hourly ad costs'!K26/'Summary, hourly ad costs'!AA26)), 'Summary, PPI''s'!AA27))</f>
        <v>51.24952384525222</v>
      </c>
      <c r="L27" s="10">
        <f>IF(L26=".", ".", IF('Summary, PPI''s'!AB27=".",IF(OR('Summary, hourly ad costs'!AB27=-9999,'Summary, hourly ad costs'!AB27=0), ".", 'Predicted PPIs'!L26*('Summary, hourly ad costs'!L27/'Summary, hourly ad costs'!AB27)/('Summary, hourly ad costs'!L26/'Summary, hourly ad costs'!AB26)), 'Summary, PPI''s'!AB27))</f>
        <v>62.533446845709861</v>
      </c>
      <c r="M27" s="10">
        <f>IF(M26=".", ".", IF('Summary, PPI''s'!AC27=".",IF(OR('Summary, hourly ad costs'!AC27=-9999,'Summary, hourly ad costs'!AC27=0), ".", 'Predicted PPIs'!M26*('Summary, hourly ad costs'!M27/'Summary, hourly ad costs'!AC27)/('Summary, hourly ad costs'!M26/'Summary, hourly ad costs'!AC26)), 'Summary, PPI''s'!AC27))</f>
        <v>7.2790714269391223</v>
      </c>
      <c r="N27" s="10">
        <f>IF(N26=".", ".", IF('Summary, PPI''s'!AD27=".",IF(OR('Summary, hourly ad costs'!AD27=-9999,'Summary, hourly ad costs'!AD27=0), ".", 'Predicted PPIs'!N26*('Summary, hourly ad costs'!N27/'Summary, hourly ad costs'!AD27)/('Summary, hourly ad costs'!N26/'Summary, hourly ad costs'!AD26)), 'Summary, PPI''s'!AD27))</f>
        <v>78.103404146403889</v>
      </c>
      <c r="O27" s="10">
        <f>IF(O26=".", ".", IF('Summary, PPI''s'!AE27=".",IF(OR('Summary, hourly ad costs'!AE27=-9999,'Summary, hourly ad costs'!AE27=0), ".", 'Predicted PPIs'!O26*('Summary, hourly ad costs'!O27/'Summary, hourly ad costs'!AE27)/('Summary, hourly ad costs'!O26/'Summary, hourly ad costs'!AE26)), 'Summary, PPI''s'!AE27))</f>
        <v>58.252725548446072</v>
      </c>
      <c r="P27" s="10">
        <f>IF(P26=".", ".", IF('Summary, PPI''s'!AF27=".",IF(OR('Summary, hourly ad costs'!AF27=-9999,'Summary, hourly ad costs'!AF27=0), ".", 'Predicted PPIs'!P26*('Summary, hourly ad costs'!P27/'Summary, hourly ad costs'!AF27)/('Summary, hourly ad costs'!P26/'Summary, hourly ad costs'!AF26)), 'Summary, PPI''s'!AF27))</f>
        <v>66.179751798561171</v>
      </c>
      <c r="R27" s="1">
        <f>IF(E$26=".", 0, 'Summary, PPI''s'!E27)+IF(F$26=".", 0, 'Summary, PPI''s'!F27)+IF(G$26=".", 0, 'Summary, PPI''s'!G27)+IF(H$26=".", 0, 'Summary, PPI''s'!H27)+IF(I$26=".", 0, 'Summary, PPI''s'!I27)+IF(J$26=".", 0, 'Summary, PPI''s'!J27)+IF(K$26=".", 0, 'Summary, PPI''s'!K27)+IF(L$26=".", 0, 'Summary, PPI''s'!L27)+IF(M$26=".", 0, 'Summary, PPI''s'!M27)+IF(B$26=".", 0, 'Summary, PPI''s'!B27)+IF(C$26=".", 0, 'Summary, PPI''s'!C27)+IF(D$26=".", 0, 'Summary, PPI''s'!D27)+IF(N$26=".", 0, 'Summary, PPI''s'!N27)+IF(O$26=".", 0, 'Summary, PPI''s'!O27)+IF(P$26=".", 0, 'Summary, PPI''s'!P27)</f>
        <v>184262359.90210244</v>
      </c>
      <c r="S27" s="1">
        <f>IF(E$36=".", 0, 'Summary, PPI''s'!E27)+IF(F$36=".", 0, 'Summary, PPI''s'!F27)+IF(G$36=".", 0, 'Summary, PPI''s'!G27)+IF(H$36=".", 0, 'Summary, PPI''s'!H27)+IF(I$36=".", 0, 'Summary, PPI''s'!I27)+IF(J$36=".", 0, 'Summary, PPI''s'!J27)+IF(K$36=".", 0, 'Summary, PPI''s'!K27)+IF(L$36=".", 0, 'Summary, PPI''s'!L27)+IF(M$36=".", 0, 'Summary, PPI''s'!M27)+IF(B$36=".", 0, 'Summary, PPI''s'!B27)+IF(C$36=".", 0, 'Summary, PPI''s'!C27)+IF(D$36=".", 0, 'Summary, PPI''s'!D27)+IF(N$36=".", 0, 'Summary, PPI''s'!N27)+IF(O$36=".", 0, 'Summary, PPI''s'!O27)+IF(P$36=".", 0, 'Summary, PPI''s'!P27)</f>
        <v>184013700.04871771</v>
      </c>
      <c r="T27" s="1">
        <f>IF(E$46=".", 0, 'Summary, PPI''s'!E27)+IF(F$46=".", 0, 'Summary, PPI''s'!F27)+IF(G$46=".", 0, 'Summary, PPI''s'!G27)+IF(H$46=".", 0, 'Summary, PPI''s'!H27)+IF(I$46=".", 0, 'Summary, PPI''s'!I27)+IF(J$46=".", 0, 'Summary, PPI''s'!J27)+IF(K$46=".", 0, 'Summary, PPI''s'!K27)+IF(L$46=".", 0, 'Summary, PPI''s'!L27)+IF(M$46=".", 0, 'Summary, PPI''s'!M27)+IF(B$46=".", 0, 'Summary, PPI''s'!B27)+IF(C$46=".", 0, 'Summary, PPI''s'!C27)+IF(D$46=".", 0, 'Summary, PPI''s'!D27)+IF(N$46=".", 0, 'Summary, PPI''s'!N27)+IF(O$46=".", 0, 'Summary, PPI''s'!O27)+IF(P$46=".", 0, 'Summary, PPI''s'!P27)</f>
        <v>124964769.91672239</v>
      </c>
      <c r="U27" s="1">
        <f>IF(E$60=".", 0, 'Summary, PPI''s'!E27)+IF(F$60=".", 0, 'Summary, PPI''s'!F27)+IF(G$60=".", 0, 'Summary, PPI''s'!G27)+IF(H$60=".", 0, 'Summary, PPI''s'!H27)+IF(I$60=".", 0, 'Summary, PPI''s'!I27)+IF(J$60=".", 0, 'Summary, PPI''s'!J27)+IF(K$60=".", 0, 'Summary, PPI''s'!K27)+IF(L$60=".", 0, 'Summary, PPI''s'!L27)+IF(M$60=".", 0, 'Summary, PPI''s'!M27)+IF(B$60=".", 0, 'Summary, PPI''s'!B27)+IF(C$60=".", 0, 'Summary, PPI''s'!C27)+IF(D$60=".", 0, 'Summary, PPI''s'!D27)+IF(N$60=".", 0, 'Summary, PPI''s'!N27)+IF(O$60=".", 0, 'Summary, PPI''s'!O27)+IF(P$60=".", 0, 'Summary, PPI''s'!P27)</f>
        <v>105923537.44983096</v>
      </c>
      <c r="V27" s="1">
        <f>IF(E$73=".", 0, 'Summary, PPI''s'!E27)+IF(F$73=".", 0, 'Summary, PPI''s'!F27)+IF(G$73=".", 0, 'Summary, PPI''s'!G27)+IF(H$73=".", 0, 'Summary, PPI''s'!H27)+IF(I$73=".", 0, 'Summary, PPI''s'!I27)+IF(J$73=".", 0, 'Summary, PPI''s'!J27)+IF(K$73=".", 0, 'Summary, PPI''s'!K27)+IF(L$73=".", 0, 'Summary, PPI''s'!L27)+IF(M$73=".", 0, 'Summary, PPI''s'!M27)+IF(B$73=".", 0, 'Summary, PPI''s'!B27)+IF(C$73=".", 0, 'Summary, PPI''s'!C27)+IF(D$73=".", 0, 'Summary, PPI''s'!D27)+IF(N$73=".", 0, 'Summary, PPI''s'!N27)+IF(O$73=".", 0, 'Summary, PPI''s'!O27)+IF(P$73=".", 0, 'Summary, PPI''s'!P27)</f>
        <v>82446990.749869019</v>
      </c>
      <c r="W27" s="1">
        <f>IF(E$94=".",0,'Summary, PPI''s'!E27)+IF(F$94=".",0,'Summary, PPI''s'!F27)+IF(G$94=".",0,'Summary, PPI''s'!G27)+IF(H$94=".",0,'Summary, PPI''s'!H27)+IF(I$94=".",0,'Summary, PPI''s'!I27)+IF(J$94=".",0,'Summary, PPI''s'!J27)+IF(K$94=".",0,'Summary, PPI''s'!K27)+IF(L$94=".",0,'Summary, PPI''s'!L27)+IF(M$94=".",0,'Summary, PPI''s'!M27)+IF(B$94=".",0,'Summary, PPI''s'!B27)+IF(C$94=".",0,'Summary, PPI''s'!C27)+IF(D$94=".",0,'Summary, PPI''s'!D27)+IF(N$94=".",0,'Summary, PPI''s'!N27)+IF(O$94=".",0,'Summary, PPI''s'!O27)+IF(P$94=".",0,'Summary, PPI''s'!P27)</f>
        <v>59789448.804744966</v>
      </c>
      <c r="X27" s="1">
        <f>IF(E$123=".", 0, 'Summary, PPI''s'!E27)+IF(F$123=".", 0, 'Summary, PPI''s'!F27)+IF(G$123=".", 0, 'Summary, PPI''s'!G27)+IF(H$123=".", 0, 'Summary, PPI''s'!H27)+IF(I$123=".", 0, 'Summary, PPI''s'!I27)+IF(J$123=".", 0, 'Summary, PPI''s'!J27)+IF(K$123=".", 0, 'Summary, PPI''s'!K27)+IF(L$123=".", 0, 'Summary, PPI''s'!L27)+IF(M$123=".", 0, 'Summary, PPI''s'!M27)+IF(B$123=".", 0, 'Summary, PPI''s'!B27)+IF(C$123=".", 0, 'Summary, PPI''s'!C27)+IF(D$123=".", 0, 'Summary, PPI''s'!D27)+IF(N$123=".", 0, 'Summary, PPI''s'!N27)+IF(O$123=".", 0, 'Summary, PPI''s'!O27)+IF(P$123=".", 0, 'Summary, PPI''s'!P27)</f>
        <v>50787975.918309554</v>
      </c>
      <c r="Z27" s="4">
        <f>Z26*IF(E$26=".", 1, (E27/E26)^(('Summary, PPI''s'!$E27+'Summary, PPI''s'!$E26)/('Predicted PPIs'!R27+'Predicted PPIs'!R26)))*IF(F$26=".", 1, (F27/F26)^(('Summary, PPI''s'!$F27+'Summary, PPI''s'!$F26)/('Predicted PPIs'!R27+'Predicted PPIs'!R26)))*IF(G$26=".", 1, (G27/G26)^(('Summary, PPI''s'!$G27+'Summary, PPI''s'!$G26)/('Predicted PPIs'!R27+'Predicted PPIs'!R26)))*IF(H$26=".", 1, (H27/H26)^(('Summary, PPI''s'!$H27+'Summary, PPI''s'!$H26)/('Predicted PPIs'!R27+'Predicted PPIs'!R26)))*IF(I$26=".", 1, (I27/I26)^(('Summary, PPI''s'!$I27+'Summary, PPI''s'!$I26)/('Predicted PPIs'!R27+'Predicted PPIs'!R26)))*IF(J$26=".", 1, (J27/J26)^(('Summary, PPI''s'!$J27+'Summary, PPI''s'!$J26)/('Predicted PPIs'!R27+'Predicted PPIs'!R26)))*IF(K$26=".", 1, (K27/K26)^(('Summary, PPI''s'!$K27+'Summary, PPI''s'!$K26)/('Predicted PPIs'!R27+'Predicted PPIs'!R26)))*IF(L$26=".", 1, (L27/L26)^(('Summary, PPI''s'!$L27+'Summary, PPI''s'!$L26)/('Predicted PPIs'!R27+'Predicted PPIs'!R26)))*IF(M$26=".", 1, (M27/M26)^(('Summary, PPI''s'!$M27+'Summary, PPI''s'!$M26)/('Predicted PPIs'!R27+'Predicted PPIs'!R26)))*IF(B$26=".", 1, (B27/B26)^(('Summary, PPI''s'!$B27+'Summary, PPI''s'!$B26)/('Predicted PPIs'!R27+'Predicted PPIs'!R26)))*IF(C$26=".", 1, (C27/C26)^(('Summary, PPI''s'!$C27+'Summary, PPI''s'!$C26)/('Predicted PPIs'!R27+'Predicted PPIs'!R26)))*IF(D$26=".", 1, (D27/D26)^(('Summary, PPI''s'!$D27+'Summary, PPI''s'!$D26)/('Predicted PPIs'!R27+'Predicted PPIs'!R26)))*IF(N$26=".", 1, (N27/N26)^(('Summary, PPI''s'!$N27+'Summary, PPI''s'!$N26)/('Predicted PPIs'!R27+'Predicted PPIs'!R26)))*IF(O$26=".", 1, (O27/O26)^(('Summary, PPI''s'!$O27+'Summary, PPI''s'!$O26)/('Predicted PPIs'!R27+'Predicted PPIs'!R26)))*IF(P$26=".", 1, (P27/P26)^(('Summary, PPI''s'!$P27+'Summary, PPI''s'!$P26)/('Predicted PPIs'!R27+'Predicted PPIs'!R26)))</f>
        <v>77.36823314531334</v>
      </c>
      <c r="AA27" s="4">
        <f>AA26*IF(E$36=".", 1, (E27/E26)^(('Summary, PPI''s'!$E27+'Summary, PPI''s'!$E26)/('Predicted PPIs'!S27+'Predicted PPIs'!S26)))*IF(F$36=".", 1, (F27/F26)^(('Summary, PPI''s'!$F27+'Summary, PPI''s'!$F26)/('Predicted PPIs'!S27+'Predicted PPIs'!S26)))*IF(G$36=".", 1, (G27/G26)^(('Summary, PPI''s'!$G27+'Summary, PPI''s'!$G26)/('Predicted PPIs'!S27+'Predicted PPIs'!S26)))*IF(H$36=".", 1, (H27/H26)^(('Summary, PPI''s'!$H27+'Summary, PPI''s'!$H26)/('Predicted PPIs'!S27+'Predicted PPIs'!S26)))*IF(I$36=".", 1, (I27/I26)^(('Summary, PPI''s'!$I27+'Summary, PPI''s'!$I26)/('Predicted PPIs'!S27+'Predicted PPIs'!S26)))*IF(J$36=".", 1, (J27/J26)^(('Summary, PPI''s'!$J27+'Summary, PPI''s'!$J26)/('Predicted PPIs'!S27+'Predicted PPIs'!S26)))*IF(K$36=".", 1, (K27/K26)^(('Summary, PPI''s'!$K27+'Summary, PPI''s'!$K26)/('Predicted PPIs'!S27+'Predicted PPIs'!S26)))*IF(L$36=".", 1, (L27/L26)^(('Summary, PPI''s'!$L27+'Summary, PPI''s'!$L26)/('Predicted PPIs'!S27+'Predicted PPIs'!S26)))*IF(M$36=".", 1, (M27/M26)^(('Summary, PPI''s'!$M27+'Summary, PPI''s'!$M26)/('Predicted PPIs'!S27+'Predicted PPIs'!S26)))*IF(B$36=".", 1, (B27/B26)^(('Summary, PPI''s'!$B27+'Summary, PPI''s'!$B26)/('Predicted PPIs'!S27+'Predicted PPIs'!S26)))*IF(C$36=".", 1, (C27/C26)^(('Summary, PPI''s'!$C27+'Summary, PPI''s'!$C26)/('Predicted PPIs'!S27+'Predicted PPIs'!S26)))*IF(D$36=".", 1, (D27/D26)^(('Summary, PPI''s'!$D27+'Summary, PPI''s'!$D26)/('Predicted PPIs'!S27+'Predicted PPIs'!S26)))*IF(N$36=".", 1, (N27/N26)^(('Summary, PPI''s'!$N27+'Summary, PPI''s'!$N26)/('Predicted PPIs'!S27+'Predicted PPIs'!S26)))*IF(O$36=".", 1, (O27/O26)^(('Summary, PPI''s'!$O27+'Summary, PPI''s'!$O26)/('Predicted PPIs'!S27+'Predicted PPIs'!S26)))*IF(P$36=".", 1, (P27/P26)^(('Summary, PPI''s'!$P27+'Summary, PPI''s'!$P26)/('Predicted PPIs'!S27+'Predicted PPIs'!S26)))</f>
        <v>68.640793507574628</v>
      </c>
      <c r="AB27" s="4">
        <f>AB26*IF(E$46=".", 1, (E27/E26)^(('Summary, PPI''s'!$E27+'Summary, PPI''s'!$E26)/('Predicted PPIs'!T27+'Predicted PPIs'!T26)))*IF(F$46=".", 1, (F27/F26)^(('Summary, PPI''s'!$F27+'Summary, PPI''s'!$F26)/('Predicted PPIs'!T27+'Predicted PPIs'!T26)))*IF(G$46=".", 1, (G27/G26)^(('Summary, PPI''s'!$G27+'Summary, PPI''s'!$G26)/('Predicted PPIs'!T27+'Predicted PPIs'!T26)))*IF(H$46=".", 1, (H27/H26)^(('Summary, PPI''s'!$H27+'Summary, PPI''s'!$H26)/('Predicted PPIs'!T27+'Predicted PPIs'!T26)))*IF(I$46=".", 1, (I27/I26)^(('Summary, PPI''s'!$I27+'Summary, PPI''s'!$I26)/('Predicted PPIs'!T27+'Predicted PPIs'!T26)))*IF(J$46=".", 1, (J27/J26)^(('Summary, PPI''s'!$J27+'Summary, PPI''s'!$J26)/('Predicted PPIs'!T27+'Predicted PPIs'!T26)))*IF(K$46=".", 1, (K27/K26)^(('Summary, PPI''s'!$K27+'Summary, PPI''s'!$K26)/('Predicted PPIs'!T27+'Predicted PPIs'!T26)))*IF(L$46=".", 1, (L27/L26)^(('Summary, PPI''s'!$L27+'Summary, PPI''s'!$L26)/('Predicted PPIs'!T27+'Predicted PPIs'!T26)))*IF(M$46=".", 1, (M27/M26)^(('Summary, PPI''s'!$M27+'Summary, PPI''s'!$M26)/('Predicted PPIs'!T27+'Predicted PPIs'!T26)))*IF(B$46=".", 1, (B27/B26)^(('Summary, PPI''s'!$B27+'Summary, PPI''s'!$B26)/('Predicted PPIs'!T27+'Predicted PPIs'!T26)))*IF(C$46=".", 1, (C27/C26)^(('Summary, PPI''s'!$C27+'Summary, PPI''s'!$C26)/('Predicted PPIs'!T27+'Predicted PPIs'!T26)))*IF(D$46=".", 1, (D27/D26)^(('Summary, PPI''s'!$D27+'Summary, PPI''s'!$D26)/('Predicted PPIs'!T27+'Predicted PPIs'!T26)))*IF(N$46=".", 1, (N27/N26)^(('Summary, PPI''s'!$N27+'Summary, PPI''s'!$N26)/('Predicted PPIs'!T27+'Predicted PPIs'!T26)))*IF(O$46=".", 1, (O27/O26)^(('Summary, PPI''s'!$O27+'Summary, PPI''s'!$O26)/('Predicted PPIs'!T27+'Predicted PPIs'!T26)))*IF(P$46=".", 1, (P27/P26)^(('Summary, PPI''s'!$P27+'Summary, PPI''s'!$P26)/('Predicted PPIs'!T27+'Predicted PPIs'!T26)))</f>
        <v>66.91769650433811</v>
      </c>
      <c r="AC27" s="4">
        <f>AC26*IF(E$60=".",1,(E27/E26)^(('Summary, PPI''s'!$E27+'Summary, PPI''s'!$E26)/('Predicted PPIs'!U27+'Predicted PPIs'!U26)))*IF(F$60=".",1,(F27/F26)^(('Summary, PPI''s'!$F27+'Summary, PPI''s'!$F26)/('Predicted PPIs'!U27+'Predicted PPIs'!U26)))*IF(G$60=".",1,(G27/G26)^(('Summary, PPI''s'!$G27+'Summary, PPI''s'!$G26)/('Predicted PPIs'!U27+'Predicted PPIs'!U26)))*IF(H$60=".",1,(H27/H26)^(('Summary, PPI''s'!$H27+'Summary, PPI''s'!$H26)/('Predicted PPIs'!U27+'Predicted PPIs'!U26)))*IF(I$60=".",1,(I27/I26)^(('Summary, PPI''s'!$I27+'Summary, PPI''s'!$I26)/('Predicted PPIs'!U27+'Predicted PPIs'!U26)))*IF(J$60=".",1,(J27/J26)^(('Summary, PPI''s'!$J27+'Summary, PPI''s'!$J26)/('Predicted PPIs'!U27+'Predicted PPIs'!U26)))*IF(K$60=".",1,(K27/K26)^(('Summary, PPI''s'!$K27+'Summary, PPI''s'!$K26)/('Predicted PPIs'!U27+'Predicted PPIs'!U26)))*IF(L$60=".",1,(L27/L26)^(('Summary, PPI''s'!$L27+'Summary, PPI''s'!$L26)/('Predicted PPIs'!U27+'Predicted PPIs'!U26)))*IF(M$60=".",1,(M27/M26)^(('Summary, PPI''s'!$M27+'Summary, PPI''s'!$M26)/('Predicted PPIs'!U27+'Predicted PPIs'!U26)))*IF(B$60=".",1,(B27/B26)^(('Summary, PPI''s'!$B27+'Summary, PPI''s'!$B26)/('Predicted PPIs'!U27+'Predicted PPIs'!U26)))*IF(C$60=".",1,(C27/C26)^(('Summary, PPI''s'!$C27+'Summary, PPI''s'!$C26)/('Predicted PPIs'!U27+'Predicted PPIs'!U26)))*IF(D$60=".",1,(D27/D26)^(('Summary, PPI''s'!$D27+'Summary, PPI''s'!$D26)/('Predicted PPIs'!U27+'Predicted PPIs'!U26)))*IF(N$60=".",1,(N27/N26)^(('Summary, PPI''s'!$N27+'Summary, PPI''s'!$N26)/('Predicted PPIs'!U27+'Predicted PPIs'!U26)))*IF(O$60=".",1,(O27/O26)^(('Summary, PPI''s'!$O27+'Summary, PPI''s'!$O26)/('Predicted PPIs'!U27+'Predicted PPIs'!U26)))*IF(P$60=".",1,(P27/P26)^(('Summary, PPI''s'!$P27+'Summary, PPI''s'!$P26)/('Predicted PPIs'!U27+'Predicted PPIs'!U26)))</f>
        <v>73.759736773169905</v>
      </c>
      <c r="AD27" s="4">
        <f>AD26*IF(E$73=".", 1, (E27/E26)^(('Summary, PPI''s'!$E27+'Summary, PPI''s'!$E26)/('Predicted PPIs'!V27+'Predicted PPIs'!V26)))*IF(F$73=".", 1, (F27/F26)^(('Summary, PPI''s'!$F27+'Summary, PPI''s'!$F26)/('Predicted PPIs'!V27+'Predicted PPIs'!V26)))*IF(G$73=".", 1, (G27/G26)^(('Summary, PPI''s'!$G27+'Summary, PPI''s'!$G26)/('Predicted PPIs'!V27+'Predicted PPIs'!V26)))*IF(H$73=".", 1, (H27/H26)^(('Summary, PPI''s'!$H27+'Summary, PPI''s'!$H26)/('Predicted PPIs'!V27+'Predicted PPIs'!V26)))*IF(I$73=".", 1, (I27/I26)^(('Summary, PPI''s'!$I27+'Summary, PPI''s'!$I26)/('Predicted PPIs'!V27+'Predicted PPIs'!V26)))*IF(J$73=".", 1, (J27/J26)^(('Summary, PPI''s'!$J27+'Summary, PPI''s'!$J26)/('Predicted PPIs'!V27+'Predicted PPIs'!V26)))*IF(K$73=".", 1, (K27/K26)^(('Summary, PPI''s'!$K27+'Summary, PPI''s'!$K26)/('Predicted PPIs'!V27+'Predicted PPIs'!V26)))*IF(L$73=".", 1, (L27/L26)^(('Summary, PPI''s'!$L27+'Summary, PPI''s'!$L26)/('Predicted PPIs'!V27+'Predicted PPIs'!V26)))*IF(M$73=".", 1, (M27/M26)^(('Summary, PPI''s'!$M27+'Summary, PPI''s'!$M26)/('Predicted PPIs'!V27+'Predicted PPIs'!V26)))*IF(B$73=".", 1, (B27/B26)^(('Summary, PPI''s'!$B27+'Summary, PPI''s'!$B26)/('Predicted PPIs'!V27+'Predicted PPIs'!V26)))*IF(C$73=".", 1, (C27/C26)^(('Summary, PPI''s'!$C27+'Summary, PPI''s'!$C26)/('Predicted PPIs'!V27+'Predicted PPIs'!V26)))*IF(D$73=".", 1, (D27/D26)^(('Summary, PPI''s'!$D27+'Summary, PPI''s'!$D26)/('Predicted PPIs'!V27+'Predicted PPIs'!V26)))*IF(N$73=".", 1, (N27/N26)^(('Summary, PPI''s'!$N27+'Summary, PPI''s'!$N26)/('Predicted PPIs'!V27+'Predicted PPIs'!V26)))*IF(O$73=".", 1, (O27/O26)^(('Summary, PPI''s'!$O27+'Summary, PPI''s'!$O26)/('Predicted PPIs'!V27+'Predicted PPIs'!V26)))*IF(P$73=".", 1, (P27/P26)^(('Summary, PPI''s'!$P27+'Summary, PPI''s'!$P26)/('Predicted PPIs'!V27+'Predicted PPIs'!V26)))</f>
        <v>72.971025179076648</v>
      </c>
      <c r="AE27" s="4">
        <f>AE26*IF(E$94=".", 1, (E27/E26)^(('Summary, PPI''s'!$E27+'Summary, PPI''s'!$E26)/('Predicted PPIs'!W27+'Predicted PPIs'!W26)))*IF(F$94=".", 1, (F27/F26)^(('Summary, PPI''s'!$F27+'Summary, PPI''s'!$F26)/('Predicted PPIs'!W27+'Predicted PPIs'!W26)))*IF(G$94=".", 1, (G27/G26)^(('Summary, PPI''s'!$G27+'Summary, PPI''s'!$G26)/('Predicted PPIs'!W27+'Predicted PPIs'!W26)))*IF(H$94=".", 1, (H27/H26)^(('Summary, PPI''s'!$H27+'Summary, PPI''s'!$H26)/('Predicted PPIs'!W27+'Predicted PPIs'!W26)))*IF(I$94=".", 1, (I27/I26)^(('Summary, PPI''s'!$I27+'Summary, PPI''s'!$I26)/('Predicted PPIs'!W27+'Predicted PPIs'!W26)))*IF(J$94=".", 1, (J27/J26)^(('Summary, PPI''s'!$J27+'Summary, PPI''s'!$J26)/('Predicted PPIs'!W27+'Predicted PPIs'!W26)))*IF(K$94=".", 1, (K27/K26)^(('Summary, PPI''s'!$K27+'Summary, PPI''s'!$K26)/('Predicted PPIs'!W27+'Predicted PPIs'!W26)))*IF(L$94=".", 1, (L27/L26)^(('Summary, PPI''s'!$L27+'Summary, PPI''s'!$L26)/('Predicted PPIs'!W27+'Predicted PPIs'!W26)))*IF(M$94=".", 1, (M27/M26)^(('Summary, PPI''s'!$M27+'Summary, PPI''s'!$M26)/('Predicted PPIs'!W27+'Predicted PPIs'!W26)))*IF(B$94=".", 1, (B27/B26)^(('Summary, PPI''s'!$B27+'Summary, PPI''s'!$B26)/('Predicted PPIs'!W27+'Predicted PPIs'!W26)))*IF(C$94=".", 1, (C27/C26)^(('Summary, PPI''s'!$C27+'Summary, PPI''s'!$C26)/('Predicted PPIs'!W27+'Predicted PPIs'!W26)))*IF(D$94=".", 1, (D27/D26)^(('Summary, PPI''s'!$D27+'Summary, PPI''s'!$D26)/('Predicted PPIs'!W27+'Predicted PPIs'!W26)))*IF(N$94=".", 1, (N27/N26)^(('Summary, PPI''s'!$N27+'Summary, PPI''s'!$N26)/('Predicted PPIs'!W27+'Predicted PPIs'!W26)))*IF(O$94=".", 1, (O27/O26)^(('Summary, PPI''s'!$O27+'Summary, PPI''s'!$O26)/('Predicted PPIs'!W27+'Predicted PPIs'!W26)))*IF(P$94=".", 1, (P27/P26)^(('Summary, PPI''s'!$P27+'Summary, PPI''s'!$P26)/('Predicted PPIs'!W27+'Predicted PPIs'!W26)))</f>
        <v>67.014806706074665</v>
      </c>
      <c r="AF27" s="4">
        <f>AF26*IF(E$123=".", 1, (E27/E26)^(('Summary, PPI''s'!$E27+'Summary, PPI''s'!$E26)/('Predicted PPIs'!X27+'Predicted PPIs'!X26)))*IF(F$123=".", 1, (F27/F26)^(('Summary, PPI''s'!$F27+'Summary, PPI''s'!$F26)/('Predicted PPIs'!X27+'Predicted PPIs'!X26)))*IF(G$123=".", 1, (G27/G26)^(('Summary, PPI''s'!$G27+'Summary, PPI''s'!$G26)/('Predicted PPIs'!X27+'Predicted PPIs'!X26)))*IF(H$123=".", 1, (H27/H26)^(('Summary, PPI''s'!$H27+'Summary, PPI''s'!$H26)/('Predicted PPIs'!X27+'Predicted PPIs'!X26)))*IF(I$123=".", 1, (I27/I26)^(('Summary, PPI''s'!$I27+'Summary, PPI''s'!$I26)/('Predicted PPIs'!X27+'Predicted PPIs'!X26)))*IF(J$123=".", 1, (J27/J26)^(('Summary, PPI''s'!$J27+'Summary, PPI''s'!$J26)/('Predicted PPIs'!X27+'Predicted PPIs'!X26)))*IF(K$123=".", 1, (K27/K26)^(('Summary, PPI''s'!$K27+'Summary, PPI''s'!$K26)/('Predicted PPIs'!X27+'Predicted PPIs'!X26)))*IF(L$123=".", 1, (L27/L26)^(('Summary, PPI''s'!$L27+'Summary, PPI''s'!$L26)/('Predicted PPIs'!X27+'Predicted PPIs'!X26)))*IF(M$123=".", 1, (M27/M26)^(('Summary, PPI''s'!$M27+'Summary, PPI''s'!$M26)/('Predicted PPIs'!X27+'Predicted PPIs'!X26)))*IF(B$123=".", 1, (B27/B26)^(('Summary, PPI''s'!$B27+'Summary, PPI''s'!$B26)/('Predicted PPIs'!X27+'Predicted PPIs'!X26)))*IF(C$123=".", 1, (C27/C26)^(('Summary, PPI''s'!$C27+'Summary, PPI''s'!$C26)/('Predicted PPIs'!X27+'Predicted PPIs'!X26)))*IF(D$123=".", 1, (D27/D26)^(('Summary, PPI''s'!$D27+'Summary, PPI''s'!$D26)/('Predicted PPIs'!X27+'Predicted PPIs'!X26)))*IF(N$123=".", 1, (N27/N26)^(('Summary, PPI''s'!$N27+'Summary, PPI''s'!$N26)/('Predicted PPIs'!X27+'Predicted PPIs'!X26)))*IF(O$123=".", 1, (O27/O26)^(('Summary, PPI''s'!$O27+'Summary, PPI''s'!$O26)/('Predicted PPIs'!X27+'Predicted PPIs'!X26)))*IF(P$123=".", 1, (P27/P26)^(('Summary, PPI''s'!$P27+'Summary, PPI''s'!$P26)/('Predicted PPIs'!X27+'Predicted PPIs'!X26)))</f>
        <v>62.267589103768323</v>
      </c>
      <c r="AH27" s="13">
        <f t="shared" si="32"/>
        <v>77.366119278244582</v>
      </c>
      <c r="AJ27" s="4">
        <v>5244.6</v>
      </c>
      <c r="AK27" s="4">
        <v>-0.44700000000000001</v>
      </c>
      <c r="AL27" s="4">
        <v>-592.87</v>
      </c>
      <c r="AM27" s="4">
        <v>-9.7590000000000003</v>
      </c>
      <c r="AN27" s="4">
        <v>5895.4</v>
      </c>
      <c r="AO27" s="4">
        <v>1399.7</v>
      </c>
      <c r="AP27" s="4">
        <f>('[3]1996'!$I$14+'[3]1996'!$I$69+'[3]1996'!$I$71-'[3]1996'!$I$73)*0.001</f>
        <v>-50.078000000000003</v>
      </c>
      <c r="AQ27" s="4">
        <f>('[3]1996'!$AY$56+'[3]1996'!$AY$69+'[3]1996'!$AY$71-'[3]1996'!$AY$73)*0.001</f>
        <v>-237.76300000000001</v>
      </c>
      <c r="AR27" s="4">
        <v>-17.390999999999998</v>
      </c>
      <c r="AS27" s="4">
        <v>-44.274999999999999</v>
      </c>
      <c r="AT27" s="4">
        <v>73.203999999999994</v>
      </c>
      <c r="AU27" s="4">
        <v>67.287999999999997</v>
      </c>
      <c r="AV27" s="4">
        <v>66.757999999999996</v>
      </c>
      <c r="AW27" s="4">
        <v>55.593000000000004</v>
      </c>
      <c r="AX27" s="4">
        <v>68.774000000000001</v>
      </c>
      <c r="AY27" s="4">
        <v>85.45</v>
      </c>
      <c r="AZ27" s="4">
        <v>47.54</v>
      </c>
      <c r="BA27" s="4">
        <v>72.998000000000005</v>
      </c>
      <c r="BB27" s="4">
        <v>101.661</v>
      </c>
      <c r="BC27" s="4">
        <v>88.233000000000004</v>
      </c>
      <c r="BG27" s="4">
        <f t="shared" si="50"/>
        <v>68.240378965998559</v>
      </c>
      <c r="BI27" s="4">
        <f>BI$13*'[2]Ordinary Experience'!$D$399/'[2]Ordinary Experience'!$D$413</f>
        <v>268080896.7146962</v>
      </c>
      <c r="BJ27" s="4">
        <f>'[2]Ordinary Experience'!$E$399</f>
        <v>21.439944064560791</v>
      </c>
      <c r="BL27" s="4">
        <f t="shared" si="0"/>
        <v>81.754093389027815</v>
      </c>
      <c r="BM27" s="4">
        <f t="shared" si="34"/>
        <v>3.5418334052606637E-2</v>
      </c>
      <c r="BO27" s="4">
        <f>IF(OR('Summary, hourly ad costs'!R27=-9999,'Summary, PPI''s'!R27="."),".",(('Summary, hourly ad costs'!B27/'Summary, hourly ad costs'!R27)*100/('Summary, hourly ad costs'!B$11/'Summary, hourly ad costs'!R$11))/('Summary, PPI''s'!R27))</f>
        <v>0.86018844633239044</v>
      </c>
      <c r="BP27" s="4" t="str">
        <f>IF(OR('Summary, hourly ad costs'!S27=-9999,'Summary, PPI''s'!S27="."),".",(('Summary, hourly ad costs'!C27/'Summary, hourly ad costs'!S27)*100/('Summary, hourly ad costs'!C$11/'Summary, hourly ad costs'!S$11))/('Summary, PPI''s'!S27))</f>
        <v>.</v>
      </c>
      <c r="BQ27" s="4" t="str">
        <f>IF(OR('Summary, hourly ad costs'!T27=-9999,'Summary, PPI''s'!T27="."),".",(('Summary, hourly ad costs'!D27/'Summary, hourly ad costs'!T27)*100/('Summary, hourly ad costs'!D$11/'Summary, hourly ad costs'!T$11))/('Summary, PPI''s'!T27))</f>
        <v>.</v>
      </c>
      <c r="BR27" s="4">
        <f>IF(OR('Summary, hourly ad costs'!U27=-9999,'Summary, PPI''s'!U27="."),".",(('Summary, hourly ad costs'!E27/'Summary, hourly ad costs'!U27)*100/('Summary, hourly ad costs'!E$11/'Summary, hourly ad costs'!U$11))/('Summary, PPI''s'!U27))</f>
        <v>1.833364452975957</v>
      </c>
      <c r="BS27" s="4">
        <f>IF(OR('Summary, hourly ad costs'!V27=-9999,'Summary, PPI''s'!V27="."),".",(('Summary, hourly ad costs'!F27/'Summary, hourly ad costs'!V27)*100/('Summary, hourly ad costs'!F$11/'Summary, hourly ad costs'!V$11))/('Summary, PPI''s'!V27))</f>
        <v>1.8034293982790122</v>
      </c>
      <c r="BT27" s="4" t="str">
        <f>IF(OR('Summary, hourly ad costs'!W27=-9999,'Summary, PPI''s'!W27="."),".",(('Summary, hourly ad costs'!G27/'Summary, hourly ad costs'!W27)*100/('Summary, hourly ad costs'!G$11/'Summary, hourly ad costs'!W$11))/('Summary, PPI''s'!W27))</f>
        <v>.</v>
      </c>
      <c r="BU27" s="4">
        <f>IF(OR('Summary, hourly ad costs'!X27=-9999,'Summary, PPI''s'!X27="."),".",(('Summary, hourly ad costs'!H27/'Summary, hourly ad costs'!X27)*100/('Summary, hourly ad costs'!H$11/'Summary, hourly ad costs'!X$11))/('Summary, PPI''s'!X27))</f>
        <v>1.1131896250192486</v>
      </c>
      <c r="BV27" s="4">
        <f>IF(OR('Summary, hourly ad costs'!Y27=-9999,'Summary, PPI''s'!Y27="."),".",(('Summary, hourly ad costs'!I27/'Summary, hourly ad costs'!Y27)*100/('Summary, hourly ad costs'!I$11/'Summary, hourly ad costs'!Y$11))/('Summary, PPI''s'!Y27))</f>
        <v>0.70035544542377515</v>
      </c>
      <c r="BW27" s="4">
        <f>IF(OR('Summary, hourly ad costs'!Z27=-9999,'Summary, PPI''s'!Z27="."),".",(('Summary, hourly ad costs'!J27/'Summary, hourly ad costs'!Z27)*100/('Summary, hourly ad costs'!J$11/'Summary, hourly ad costs'!Z$11))/('Summary, PPI''s'!Z27))</f>
        <v>0.77111877498468051</v>
      </c>
      <c r="BX27" s="4">
        <f>IF(OR('Summary, hourly ad costs'!AA27=-9999,'Summary, PPI''s'!AA27="."),".",(('Summary, hourly ad costs'!K27/'Summary, hourly ad costs'!AA27)*100/('Summary, hourly ad costs'!K$11/'Summary, hourly ad costs'!AA$11))/('Summary, PPI''s'!AA27))</f>
        <v>1.5324234070832643</v>
      </c>
      <c r="BY27" s="4" t="str">
        <f>IF(OR('Summary, hourly ad costs'!AB27=-9999,'Summary, PPI''s'!AB27="."),".",(('Summary, hourly ad costs'!L27/'Summary, hourly ad costs'!AB27)*100/('Summary, hourly ad costs'!L$11/'Summary, hourly ad costs'!AB$11))/('Summary, PPI''s'!AB27))</f>
        <v>.</v>
      </c>
      <c r="BZ27" s="4" t="str">
        <f>IF(OR('Summary, hourly ad costs'!AC27=-9999,'Summary, PPI''s'!AC27="."),".",(('Summary, hourly ad costs'!M27/'Summary, hourly ad costs'!AC27)*100/('Summary, hourly ad costs'!M$11/'Summary, hourly ad costs'!AC$11))/('Summary, PPI''s'!AC27))</f>
        <v>.</v>
      </c>
      <c r="CA27" s="4" t="str">
        <f>IF(OR('Summary, hourly ad costs'!AD27=-9999,'Summary, PPI''s'!AD27="."),".",(('Summary, hourly ad costs'!N27/'Summary, hourly ad costs'!AD27)*100/('Summary, hourly ad costs'!N$11/'Summary, hourly ad costs'!AD$11))/('Summary, PPI''s'!AD27))</f>
        <v>.</v>
      </c>
      <c r="CB27" s="4" t="str">
        <f>IF(OR('Summary, hourly ad costs'!AE27=-9999,'Summary, PPI''s'!AE27="."),".",(('Summary, hourly ad costs'!O27/'Summary, hourly ad costs'!AE27)*100/('Summary, hourly ad costs'!O$11/'Summary, hourly ad costs'!AE$11))/('Summary, PPI''s'!AE27))</f>
        <v>.</v>
      </c>
      <c r="CC27" s="4" t="str">
        <f>IF(OR('Summary, hourly ad costs'!AF27=-9999,'Summary, PPI''s'!AF27="."),".",(('Summary, hourly ad costs'!P27/'Summary, hourly ad costs'!AF27)*100/('Summary, hourly ad costs'!P$11/'Summary, hourly ad costs'!AF$11))/('Summary, PPI''s'!AF27))</f>
        <v>.</v>
      </c>
      <c r="CE27" s="4">
        <f t="shared" si="51"/>
        <v>-3.551689321655549E-2</v>
      </c>
      <c r="CF27" s="4" t="str">
        <f t="shared" si="52"/>
        <v>.</v>
      </c>
      <c r="CG27" s="4" t="str">
        <f t="shared" si="53"/>
        <v>.</v>
      </c>
      <c r="CH27" s="4">
        <f t="shared" si="54"/>
        <v>-2.0737618687146631E-3</v>
      </c>
      <c r="CI27" s="4">
        <f t="shared" si="55"/>
        <v>3.9254419967763576E-2</v>
      </c>
      <c r="CJ27" s="4" t="str">
        <f t="shared" si="56"/>
        <v>.</v>
      </c>
      <c r="CK27" s="4">
        <f t="shared" si="57"/>
        <v>1.2216978311752058E-4</v>
      </c>
      <c r="CL27" s="4">
        <f t="shared" si="58"/>
        <v>-3.7283843772883962E-4</v>
      </c>
      <c r="CM27" s="4">
        <f t="shared" si="59"/>
        <v>5.0212892322787361E-3</v>
      </c>
      <c r="CN27" s="4">
        <f t="shared" si="60"/>
        <v>5.1354009760178787E-2</v>
      </c>
      <c r="CO27" s="4">
        <f t="shared" si="61"/>
        <v>0.22685233219669393</v>
      </c>
      <c r="CP27" s="4">
        <f t="shared" si="61"/>
        <v>9.7103337880699692E-2</v>
      </c>
      <c r="CQ27" s="4" t="str">
        <f t="shared" si="62"/>
        <v>.</v>
      </c>
      <c r="CR27" s="4" t="str">
        <f t="shared" si="63"/>
        <v>.</v>
      </c>
      <c r="CS27" s="4" t="str">
        <f t="shared" si="64"/>
        <v>.</v>
      </c>
      <c r="CU27" s="5">
        <f>IF(CU26=".", ".", IF('Summary, PPI''s'!R27=".",IF(OR('Summary, hourly ad costs'!R27=-9999,'Summary, hourly ad costs'!R27=0), ".", 'Predicted PPIs'!CU26*('Summary, hourly ad costs'!B27/'Summary, hourly ad costs'!R27)/('Summary, hourly ad costs'!B26/'Summary, hourly ad costs'!R26)/(1-CE26)), 'Summary, PPI''s'!R27))</f>
        <v>94.521205654841282</v>
      </c>
      <c r="CV27" s="5">
        <f>IF(CV26=".", ".", IF('Summary, PPI''s'!S27=".",IF(OR('Summary, hourly ad costs'!S27=-9999,'Summary, hourly ad costs'!S27=0), ".", 'Predicted PPIs'!CV26*('Summary, hourly ad costs'!C27/'Summary, hourly ad costs'!S27)/('Summary, hourly ad costs'!C26/'Summary, hourly ad costs'!S26)/(1-CF26)), 'Summary, PPI''s'!S27))</f>
        <v>94.521205654841282</v>
      </c>
      <c r="CW27" s="5">
        <f>IF(CW26=".", ".", IF('Summary, PPI''s'!T27=".",IF(OR('Summary, hourly ad costs'!T27=-9999,'Summary, hourly ad costs'!T27=0), ".", 'Predicted PPIs'!CW26*('Summary, hourly ad costs'!D27/'Summary, hourly ad costs'!T27)/('Summary, hourly ad costs'!D26/'Summary, hourly ad costs'!T26)/(1-CG26)), 'Summary, PPI''s'!T27))</f>
        <v>79.775507122363749</v>
      </c>
      <c r="CX27" s="5">
        <f>IF(CX26=".", ".", IF('Summary, PPI''s'!U27=".",IF(OR('Summary, hourly ad costs'!U27=-9999,'Summary, hourly ad costs'!U27=0), ".", 'Predicted PPIs'!CX26*('Summary, hourly ad costs'!E27/'Summary, hourly ad costs'!U27)/('Summary, hourly ad costs'!E26/'Summary, hourly ad costs'!U26)/(1-CH26)), 'Summary, PPI''s'!U27))</f>
        <v>62.899268096628155</v>
      </c>
      <c r="CY27" s="5">
        <f>IF(CY26=".", ".", IF('Summary, PPI''s'!V27=".",IF(OR('Summary, hourly ad costs'!V27=-9999,'Summary, hourly ad costs'!V27=0), ".", 'Predicted PPIs'!CY26*('Summary, hourly ad costs'!F27/'Summary, hourly ad costs'!V27)/('Summary, hourly ad costs'!F26/'Summary, hourly ad costs'!V26)/(1-CI26)), 'Summary, PPI''s'!V27))</f>
        <v>54.942542938341781</v>
      </c>
      <c r="CZ27" s="5">
        <f>IF(CZ26=".", ".", IF('Summary, PPI''s'!W27=".",IF(OR('Summary, hourly ad costs'!W27=-9999,'Summary, hourly ad costs'!W27=0), ".", 'Predicted PPIs'!CZ26*('Summary, hourly ad costs'!G27/'Summary, hourly ad costs'!W27)/('Summary, hourly ad costs'!G26/'Summary, hourly ad costs'!W26)/(1-CJ26)), 'Summary, PPI''s'!W27))</f>
        <v>62.906489165176083</v>
      </c>
      <c r="DA27" s="5">
        <f>IF(DA26=".", ".", IF('Summary, PPI''s'!X27=".",IF(OR('Summary, hourly ad costs'!X27=-9999,'Summary, hourly ad costs'!X27=0), ".", 'Predicted PPIs'!DA26*('Summary, hourly ad costs'!H27/'Summary, hourly ad costs'!X27)/('Summary, hourly ad costs'!H26/'Summary, hourly ad costs'!X26)/(1-CK26)), 'Summary, PPI''s'!X27))</f>
        <v>60.247999999999998</v>
      </c>
      <c r="DB27" s="5">
        <f>IF(DB26=".", ".", IF('Summary, PPI''s'!Y27=".",IF(OR('Summary, hourly ad costs'!Y27=-9999,'Summary, hourly ad costs'!Y27=0), ".", 'Predicted PPIs'!DB26*('Summary, hourly ad costs'!I27/'Summary, hourly ad costs'!Y27)/('Summary, hourly ad costs'!I26/'Summary, hourly ad costs'!Y26)/(1-CL26)), 'Summary, PPI''s'!Y27))</f>
        <v>79.973188105651602</v>
      </c>
      <c r="DC27" s="5">
        <f>IF(DC26=".", ".", IF('Summary, PPI''s'!Z27=".",IF(OR('Summary, hourly ad costs'!Z27=-9999,'Summary, hourly ad costs'!Z27=0), ".", 'Predicted PPIs'!DC26*('Summary, hourly ad costs'!J27/'Summary, hourly ad costs'!Z27)/('Summary, hourly ad costs'!J26/'Summary, hourly ad costs'!Z26)/(1-CM26)), 'Summary, PPI''s'!Z27))</f>
        <v>80.381271356959274</v>
      </c>
      <c r="DD27" s="5">
        <f>IF(DD26=".", ".", IF('Summary, PPI''s'!AA27=".",IF(OR('Summary, hourly ad costs'!AA27=-9999,'Summary, hourly ad costs'!AA27=0), ".", 'Predicted PPIs'!DD26*('Summary, hourly ad costs'!K27/'Summary, hourly ad costs'!AA27)/('Summary, hourly ad costs'!K26/'Summary, hourly ad costs'!AA26)/(1-CN26)), 'Summary, PPI''s'!AA27))</f>
        <v>51.24952384525222</v>
      </c>
      <c r="DE27" s="5">
        <f>IF(DE26=".", ".", IF('Summary, PPI''s'!AB27=".",IF(OR('Summary, hourly ad costs'!AB27=-9999,'Summary, hourly ad costs'!AB27=0), ".", 'Predicted PPIs'!DE26*('Summary, hourly ad costs'!L27/'Summary, hourly ad costs'!AB27)/('Summary, hourly ad costs'!L26/'Summary, hourly ad costs'!AB26)/(1-CO26)), 'Summary, PPI''s'!AB27))</f>
        <v>263.53011758789734</v>
      </c>
      <c r="DF27" s="5">
        <f>IF(DF26=".", ".", IF('Summary, PPI''s'!AC27=".",IF(OR('Summary, hourly ad costs'!AC27=-9999,'Summary, hourly ad costs'!AC27=0), ".", 'Predicted PPIs'!DF26*('Summary, hourly ad costs'!M27/'Summary, hourly ad costs'!AC27)/('Summary, hourly ad costs'!M26/'Summary, hourly ad costs'!AC26)/(1-CP26)), 'Summary, PPI''s'!AC27))</f>
        <v>93.304771892413626</v>
      </c>
      <c r="DG27" s="5">
        <f>IF(DG26=".", ".", IF('Summary, PPI''s'!AD27=".",IF(OR('Summary, hourly ad costs'!AD27=-9999,'Summary, hourly ad costs'!AD27=0), ".", 'Predicted PPIs'!DG26*('Summary, hourly ad costs'!N27/'Summary, hourly ad costs'!AD27)/('Summary, hourly ad costs'!N26/'Summary, hourly ad costs'!AD26)/(1-CQ26)), 'Summary, PPI''s'!AD27))</f>
        <v>78.103404146403889</v>
      </c>
      <c r="DH27" s="5">
        <f>IF(DH26=".", ".", IF('Summary, PPI''s'!AE27=".",IF(OR('Summary, hourly ad costs'!AE27=-9999,'Summary, hourly ad costs'!AE27=0), ".", 'Predicted PPIs'!DH26*('Summary, hourly ad costs'!O27/'Summary, hourly ad costs'!AE27)/('Summary, hourly ad costs'!O26/'Summary, hourly ad costs'!AE26)/(1-CR26)), 'Summary, PPI''s'!AE27))</f>
        <v>58.252725548446072</v>
      </c>
      <c r="DI27" s="5">
        <f>IF(DI26=".", ".", IF('Summary, PPI''s'!AF27=".",IF(OR('Summary, hourly ad costs'!AF27=-9999,'Summary, hourly ad costs'!AF27=0), ".", 'Predicted PPIs'!DI26*('Summary, hourly ad costs'!P27/'Summary, hourly ad costs'!AF27)/('Summary, hourly ad costs'!P26/'Summary, hourly ad costs'!AF26)/(1-CS26)), 'Summary, PPI''s'!AF27))</f>
        <v>66.179751798561171</v>
      </c>
      <c r="DK27" s="4">
        <v>53.389000000000003</v>
      </c>
      <c r="DM27" s="5">
        <f t="shared" si="65"/>
        <v>-1.783164438938234E-2</v>
      </c>
      <c r="DN27" s="5">
        <f t="shared" si="66"/>
        <v>-1.783164438938234E-2</v>
      </c>
      <c r="DO27" s="5">
        <f t="shared" si="67"/>
        <v>-1.9970468279523645E-2</v>
      </c>
      <c r="DP27" s="5">
        <f t="shared" si="68"/>
        <v>3.1093456287579091E-2</v>
      </c>
      <c r="DQ27" s="5">
        <f t="shared" si="69"/>
        <v>-1.7742738339394437E-2</v>
      </c>
      <c r="DR27" s="5">
        <f t="shared" si="70"/>
        <v>-4.8596193424994549E-3</v>
      </c>
      <c r="DS27" s="5">
        <f t="shared" si="71"/>
        <v>8.7342133924541709E-3</v>
      </c>
      <c r="DT27" s="5">
        <f t="shared" si="72"/>
        <v>5.3832711891854457E-2</v>
      </c>
      <c r="DU27" s="5">
        <f t="shared" si="73"/>
        <v>4.9869527828896754E-2</v>
      </c>
      <c r="DV27" s="5">
        <f t="shared" si="74"/>
        <v>1.9295625997051591E-2</v>
      </c>
      <c r="DW27" s="4">
        <f t="shared" ref="DW27:DX58" si="78">_xlfn.FORECAST.LINEAR($BM27,DW$4:DW$25,$BM$4:$BM$25)</f>
        <v>-0.12076717111113888</v>
      </c>
      <c r="DX27" s="4">
        <f t="shared" si="78"/>
        <v>4.8175952679085393E-2</v>
      </c>
      <c r="DY27" s="5">
        <f t="shared" si="75"/>
        <v>-2.4857576984807173E-2</v>
      </c>
      <c r="DZ27" s="5">
        <f t="shared" si="76"/>
        <v>9.481236569633511E-3</v>
      </c>
      <c r="EA27" s="5">
        <f t="shared" si="77"/>
        <v>-7.7879175286270641E-3</v>
      </c>
      <c r="EC27" s="1">
        <f t="shared" si="35"/>
        <v>94.521205654841282</v>
      </c>
      <c r="ED27" s="1">
        <f t="shared" si="36"/>
        <v>94.521205654841282</v>
      </c>
      <c r="EE27" s="1">
        <f t="shared" si="37"/>
        <v>79.775507122363749</v>
      </c>
      <c r="EF27" s="1">
        <f t="shared" si="38"/>
        <v>62.899268096628155</v>
      </c>
      <c r="EG27" s="1">
        <f t="shared" si="39"/>
        <v>54.942542938341781</v>
      </c>
      <c r="EH27" s="1">
        <f t="shared" si="40"/>
        <v>62.906489165176083</v>
      </c>
      <c r="EI27" s="1">
        <f t="shared" si="41"/>
        <v>60.247999999999998</v>
      </c>
      <c r="EJ27" s="1">
        <f t="shared" si="42"/>
        <v>79.973188105651602</v>
      </c>
      <c r="EK27" s="1">
        <f t="shared" si="43"/>
        <v>80.381271356959274</v>
      </c>
      <c r="EL27" s="1">
        <f t="shared" si="44"/>
        <v>51.24952384525222</v>
      </c>
      <c r="EM27" s="1">
        <f t="shared" si="45"/>
        <v>263.53011758789734</v>
      </c>
      <c r="EN27" s="1">
        <f t="shared" si="46"/>
        <v>93.304771892413626</v>
      </c>
      <c r="EO27" s="1">
        <f t="shared" si="47"/>
        <v>78.103404146403889</v>
      </c>
      <c r="EP27" s="1">
        <f t="shared" si="48"/>
        <v>58.252725548446072</v>
      </c>
      <c r="EQ27" s="1">
        <f t="shared" si="49"/>
        <v>66.179751798561171</v>
      </c>
      <c r="ES27" s="1">
        <f>IF(EF$26=".", 0, 'Summary, PPI''s'!E27)+IF(EG$26=".", 0, 'Summary, PPI''s'!F27)+IF(EH$26=".", 0, 'Summary, PPI''s'!G27)+IF(EI$26=".", 0, 'Summary, PPI''s'!H27)+IF(EJ$26=".", 0, 'Summary, PPI''s'!I27)+IF(EK$26=".", 0, 'Summary, PPI''s'!J27)+IF(EL$26=".", 0, 'Summary, PPI''s'!K27)+IF(EM$26=".", 0, 'Summary, PPI''s'!L27)+IF(EN$26=".", 0, 'Summary, PPI''s'!M27)+IF(EC$26=".", 0, 'Summary, PPI''s'!B27)+IF(ED$26=".", 0, 'Summary, PPI''s'!C27)+IF(EE$26=".", 0, 'Summary, PPI''s'!D27)+IF(EO$26=".", 0, 'Summary, PPI''s'!N27)+IF(EP$26=".", 0, 'Summary, PPI''s'!O27)+IF(EQ$26=".", 0, 'Summary, PPI''s'!P27)</f>
        <v>184262359.90210244</v>
      </c>
      <c r="ET27" s="1">
        <f>'Summary, hourly ad costs'!E27+'Summary, hourly ad costs'!F27+'Summary, hourly ad costs'!H27+'Summary, hourly ad costs'!I27+'Summary, hourly ad costs'!J27+'Summary, hourly ad costs'!K27+'Summary, hourly ad costs'!L27+'Summary, hourly ad costs'!M27+'Summary, hourly ad costs'!B27</f>
        <v>91244905.860753596</v>
      </c>
      <c r="EV27" s="13">
        <f>EV26*IF(EF$26=".", 1, (EF27/EF26)^(('Summary, PPI''s'!$E27+'Summary, PPI''s'!$E26)/('Predicted PPIs'!ES27+'Predicted PPIs'!ES26)))*IF(EG$26=".", 1, (EG27/EG26)^(('Summary, PPI''s'!$F27+'Summary, PPI''s'!$F26)/('Predicted PPIs'!ES27+'Predicted PPIs'!ES26)))*IF(EH$26=".", 1, (EH27/EH26)^(('Summary, PPI''s'!$G27+'Summary, PPI''s'!$G26)/('Predicted PPIs'!ES27+'Predicted PPIs'!ES26)))*IF(EI$26=".", 1, (EI27/EI26)^(('Summary, PPI''s'!$H27+'Summary, PPI''s'!$H26)/('Predicted PPIs'!ES27+'Predicted PPIs'!ES26)))*IF(EJ$26=".", 1, (EJ27/EJ26)^(('Summary, PPI''s'!$I27+'Summary, PPI''s'!$I26)/('Predicted PPIs'!ES27+'Predicted PPIs'!ES26)))*IF(EK$26=".", 1, (EK27/EK26)^(('Summary, PPI''s'!$J27+'Summary, PPI''s'!$J26)/('Predicted PPIs'!ES27+'Predicted PPIs'!ES26)))*IF(EL$26=".", 1, (EL27/EL26)^(('Summary, PPI''s'!$K27+'Summary, PPI''s'!$K26)/('Predicted PPIs'!ES27+'Predicted PPIs'!ES26)))*IF(EM$26=".", 1, (EM27/EM26)^(('Summary, PPI''s'!$L27+'Summary, PPI''s'!$L26)/('Predicted PPIs'!ES27+'Predicted PPIs'!ES26)))*IF(EN$26=".", 1, (EN27/EN26)^(('Summary, PPI''s'!$M27+'Summary, PPI''s'!$M26)/('Predicted PPIs'!ES27+'Predicted PPIs'!ES26)))*IF(EC$26=".", 1, (EC27/EC26)^(('Summary, PPI''s'!$B27+'Summary, PPI''s'!$B26)/('Predicted PPIs'!ES27+'Predicted PPIs'!ES26)))*IF(ED$26=".", 1, (ED27/ED26)^(('Summary, PPI''s'!$C27+'Summary, PPI''s'!$C26)/('Predicted PPIs'!ES27+'Predicted PPIs'!ES26)))*IF(EE$26=".", 1, (EE27/EE26)^(('Summary, PPI''s'!$D27+'Summary, PPI''s'!$D26)/('Predicted PPIs'!ES27+'Predicted PPIs'!ES26)))*IF(EO$26=".", 1, (EO27/EO26)^(('Summary, PPI''s'!$N27+'Summary, PPI''s'!$N26)/('Predicted PPIs'!ES27+'Predicted PPIs'!ES26)))*IF(EP$26=".", 1, (EP27/EP26)^(('Summary, PPI''s'!$O27+'Summary, PPI''s'!$O26)/('Predicted PPIs'!ES27+'Predicted PPIs'!ES26)))*IF(EQ$26=".", 1, (EQ27/EQ26)^(('Summary, PPI''s'!$P27+'Summary, PPI''s'!$P26)/('Predicted PPIs'!ES27+'Predicted PPIs'!ES26)))</f>
        <v>81.689118231775026</v>
      </c>
      <c r="EW27" s="13">
        <f>EW26*IF(EF$26=".", 1, (EF27/EF26)^(('Summary, PPI''s'!$E27+'Summary, PPI''s'!$E26)/('Predicted PPIs'!ET27+'Predicted PPIs'!ET26)))*IF(EG$26=".", 1, (EG27/EG26)^(('Summary, PPI''s'!$F27+'Summary, PPI''s'!$F26)/('Predicted PPIs'!ET27+'Predicted PPIs'!ET26)))*IF(EH$26=".", 1, (EH27/EH26)^(('Summary, PPI''s'!$G27+'Summary, PPI''s'!$G26)/('Predicted PPIs'!ET27+'Predicted PPIs'!ET26)))*IF(EK$26=".", 1, (EK27/EK26)^(('Summary, PPI''s'!$J27+'Summary, PPI''s'!$J26)/('Predicted PPIs'!ET27+'Predicted PPIs'!ET26)))*IF(EL$26=".", 1, (EL27/EL26)^(('Summary, PPI''s'!$K27+'Summary, PPI''s'!$K26)/('Predicted PPIs'!ET27+'Predicted PPIs'!ET26)))*IF(EM$26=".", 1, (EM27/EM26)^(('Summary, PPI''s'!$L27+'Summary, PPI''s'!$L26)/('Predicted PPIs'!ET27+'Predicted PPIs'!ET26)))*IF(EN$26=".", 1, (EN27/EN26)^(('Summary, PPI''s'!$M27+'Summary, PPI''s'!$M26)/('Predicted PPIs'!ET27+'Predicted PPIs'!ET26)))*IF(EC$26=".", 1, (EC27/EC26)^(('Summary, PPI''s'!$B27+'Summary, PPI''s'!$B26)/('Predicted PPIs'!ET27+'Predicted PPIs'!ET26)))</f>
        <v>89.303632757423657</v>
      </c>
      <c r="EY27" s="2"/>
    </row>
    <row r="28" spans="1:155" x14ac:dyDescent="0.3">
      <c r="A28" s="4">
        <v>1995</v>
      </c>
      <c r="B28" s="10">
        <f>IF(B27=".", ".", IF('Summary, PPI''s'!R28=".",IF(OR('Summary, hourly ad costs'!R28=-9999,'Summary, hourly ad costs'!R28=0), ".", 'Predicted PPIs'!B27*('Summary, hourly ad costs'!B28/'Summary, hourly ad costs'!R28)/('Summary, hourly ad costs'!B27/'Summary, hourly ad costs'!R27)), 'Summary, PPI''s'!R28))</f>
        <v>92.542011202987467</v>
      </c>
      <c r="C28" s="10">
        <f>IF(C27=".", ".", IF('Summary, PPI''s'!S28=".",IF(OR('Summary, hourly ad costs'!S28=-9999,'Summary, hourly ad costs'!S28=0), ".", 'Predicted PPIs'!C27*('Summary, hourly ad costs'!C28/'Summary, hourly ad costs'!S28)/('Summary, hourly ad costs'!C27/'Summary, hourly ad costs'!S27)), 'Summary, PPI''s'!S28))</f>
        <v>92.542011202987467</v>
      </c>
      <c r="D28" s="10">
        <f>IF(D27=".", ".", IF('Summary, PPI''s'!T28=".",IF(OR('Summary, hourly ad costs'!T28=-9999,'Summary, hourly ad costs'!T28=0), ".", 'Predicted PPIs'!D27*('Summary, hourly ad costs'!D28/'Summary, hourly ad costs'!T28)/('Summary, hourly ad costs'!D27/'Summary, hourly ad costs'!T27)), 'Summary, PPI''s'!T28))</f>
        <v>78.275532289726684</v>
      </c>
      <c r="E28" s="10">
        <f>IF(E27=".", ".", IF('Summary, PPI''s'!U28=".",IF(OR('Summary, hourly ad costs'!U28=-9999,'Summary, hourly ad costs'!U28=0), ".", 'Predicted PPIs'!E27*('Summary, hourly ad costs'!E28/'Summary, hourly ad costs'!U28)/('Summary, hourly ad costs'!E27/'Summary, hourly ad costs'!U27)), 'Summary, PPI''s'!U28))</f>
        <v>58.660151457460735</v>
      </c>
      <c r="F28" s="10">
        <f>IF(F27=".", ".", IF('Summary, PPI''s'!V28=".",IF(OR('Summary, hourly ad costs'!V28=-9999,'Summary, hourly ad costs'!V28=0), ".", 'Predicted PPIs'!F27*('Summary, hourly ad costs'!F28/'Summary, hourly ad costs'!V28)/('Summary, hourly ad costs'!F27/'Summary, hourly ad costs'!V27)), 'Summary, PPI''s'!V28))</f>
        <v>53.787223526504377</v>
      </c>
      <c r="G28" s="10">
        <f>IF(G27=".", ".", IF('Summary, PPI''s'!W28=".",IF(OR('Summary, hourly ad costs'!W28=-9999,'Summary, hourly ad costs'!W28=0), ".", 'Predicted PPIs'!G27*('Summary, hourly ad costs'!G28/'Summary, hourly ad costs'!W28)/('Summary, hourly ad costs'!G27/'Summary, hourly ad costs'!W27)), 'Summary, PPI''s'!W28))</f>
        <v>60.7864410755652</v>
      </c>
      <c r="H28" s="10">
        <f>IF(H27=".", ".", IF('Summary, PPI''s'!X28=".",IF(OR('Summary, hourly ad costs'!X28=-9999,'Summary, hourly ad costs'!X28=0), ".", 'Predicted PPIs'!H27*('Summary, hourly ad costs'!H28/'Summary, hourly ad costs'!X28)/('Summary, hourly ad costs'!H27/'Summary, hourly ad costs'!X27)), 'Summary, PPI''s'!X28))</f>
        <v>57.433</v>
      </c>
      <c r="I28" s="10">
        <f>IF(I27=".", ".", IF('Summary, PPI''s'!Y28=".",IF(OR('Summary, hourly ad costs'!Y28=-9999,'Summary, hourly ad costs'!Y28=0), ".", 'Predicted PPIs'!I27*('Summary, hourly ad costs'!I28/'Summary, hourly ad costs'!Y28)/('Summary, hourly ad costs'!I27/'Summary, hourly ad costs'!Y27)), 'Summary, PPI''s'!Y28))</f>
        <v>72.974033668048108</v>
      </c>
      <c r="J28" s="10">
        <f>IF(J27=".", ".", IF('Summary, PPI''s'!Z28=".",IF(OR('Summary, hourly ad costs'!Z28=-9999,'Summary, hourly ad costs'!Z28=0), ".", 'Predicted PPIs'!J27*('Summary, hourly ad costs'!J28/'Summary, hourly ad costs'!Z28)/('Summary, hourly ad costs'!J27/'Summary, hourly ad costs'!Z27)), 'Summary, PPI''s'!Z28))</f>
        <v>73.623279517546194</v>
      </c>
      <c r="K28" s="10">
        <f>IF(K27=".", ".", IF('Summary, PPI''s'!AA28=".",IF(OR('Summary, hourly ad costs'!AA28=-9999,'Summary, hourly ad costs'!AA28=0), ".", 'Predicted PPIs'!K27*('Summary, hourly ad costs'!K28/'Summary, hourly ad costs'!AA28)/('Summary, hourly ad costs'!K27/'Summary, hourly ad costs'!AA27)), 'Summary, PPI''s'!AA28))</f>
        <v>48.348754726868549</v>
      </c>
      <c r="L28" s="10" t="str">
        <f>IF(L27=".", ".", IF('Summary, PPI''s'!AB28=".",IF(OR('Summary, hourly ad costs'!AB28=-9999,'Summary, hourly ad costs'!AB28=0), ".", 'Predicted PPIs'!L27*('Summary, hourly ad costs'!L28/'Summary, hourly ad costs'!AB28)/('Summary, hourly ad costs'!L27/'Summary, hourly ad costs'!AB27)), 'Summary, PPI''s'!AB28))</f>
        <v>.</v>
      </c>
      <c r="M28" s="10" t="str">
        <f>IF(M27=".", ".", IF('Summary, PPI''s'!AC28=".",IF(OR('Summary, hourly ad costs'!AC28=-9999,'Summary, hourly ad costs'!AC28=0), ".", 'Predicted PPIs'!M27*('Summary, hourly ad costs'!M28/'Summary, hourly ad costs'!AC28)/('Summary, hourly ad costs'!M27/'Summary, hourly ad costs'!AC27)), 'Summary, PPI''s'!AC28))</f>
        <v>.</v>
      </c>
      <c r="N28" s="10">
        <f>IF(N27=".", ".", IF('Summary, PPI''s'!AD28=".",IF(OR('Summary, hourly ad costs'!AD28=-9999,'Summary, hourly ad costs'!AD28=0), ".", 'Predicted PPIs'!N27*('Summary, hourly ad costs'!N28/'Summary, hourly ad costs'!AD28)/('Summary, hourly ad costs'!N27/'Summary, hourly ad costs'!AD27)), 'Summary, PPI''s'!AD28))</f>
        <v>77.018938927540773</v>
      </c>
      <c r="O28" s="10">
        <f>IF(O27=".", ".", IF('Summary, PPI''s'!AE28=".",IF(OR('Summary, hourly ad costs'!AE28=-9999,'Summary, hourly ad costs'!AE28=0), ".", 'Predicted PPIs'!O27*('Summary, hourly ad costs'!O28/'Summary, hourly ad costs'!AE28)/('Summary, hourly ad costs'!O27/'Summary, hourly ad costs'!AE27)), 'Summary, PPI''s'!AE28))</f>
        <v>55.489858546617917</v>
      </c>
      <c r="P28" s="10">
        <f>IF(P27=".", ".", IF('Summary, PPI''s'!AF28=".",IF(OR('Summary, hourly ad costs'!AF28=-9999,'Summary, hourly ad costs'!AF28=0), ".", 'Predicted PPIs'!P27*('Summary, hourly ad costs'!P28/'Summary, hourly ad costs'!AF28)/('Summary, hourly ad costs'!P27/'Summary, hourly ad costs'!AF27)), 'Summary, PPI''s'!AF28))</f>
        <v>64.13812230215828</v>
      </c>
      <c r="R28" s="1">
        <f>IF(E$26=".", 0, 'Summary, PPI''s'!E28)+IF(F$26=".", 0, 'Summary, PPI''s'!F28)+IF(G$26=".", 0, 'Summary, PPI''s'!G28)+IF(H$26=".", 0, 'Summary, PPI''s'!H28)+IF(I$26=".", 0, 'Summary, PPI''s'!I28)+IF(J$26=".", 0, 'Summary, PPI''s'!J28)+IF(K$26=".", 0, 'Summary, PPI''s'!K28)+IF(L$26=".", 0, 'Summary, PPI''s'!L28)+IF(M$26=".", 0, 'Summary, PPI''s'!M28)+IF(B$26=".", 0, 'Summary, PPI''s'!B28)+IF(C$26=".", 0, 'Summary, PPI''s'!C28)+IF(D$26=".", 0, 'Summary, PPI''s'!D28)+IF(N$26=".", 0, 'Summary, PPI''s'!N28)+IF(O$26=".", 0, 'Summary, PPI''s'!O28)+IF(P$26=".", 0, 'Summary, PPI''s'!P28)</f>
        <v>170051069.81009248</v>
      </c>
      <c r="S28" s="1">
        <f>IF(E$36=".", 0, 'Summary, PPI''s'!E28)+IF(F$36=".", 0, 'Summary, PPI''s'!F28)+IF(G$36=".", 0, 'Summary, PPI''s'!G28)+IF(H$36=".", 0, 'Summary, PPI''s'!H28)+IF(I$36=".", 0, 'Summary, PPI''s'!I28)+IF(J$36=".", 0, 'Summary, PPI''s'!J28)+IF(K$36=".", 0, 'Summary, PPI''s'!K28)+IF(L$36=".", 0, 'Summary, PPI''s'!L28)+IF(M$36=".", 0, 'Summary, PPI''s'!M28)+IF(B$36=".", 0, 'Summary, PPI''s'!B28)+IF(C$36=".", 0, 'Summary, PPI''s'!C28)+IF(D$36=".", 0, 'Summary, PPI''s'!D28)+IF(N$36=".", 0, 'Summary, PPI''s'!N28)+IF(O$36=".", 0, 'Summary, PPI''s'!O28)+IF(P$36=".", 0, 'Summary, PPI''s'!P28)</f>
        <v>170051069.81009248</v>
      </c>
      <c r="T28" s="1">
        <f>IF(E$46=".", 0, 'Summary, PPI''s'!E28)+IF(F$46=".", 0, 'Summary, PPI''s'!F28)+IF(G$46=".", 0, 'Summary, PPI''s'!G28)+IF(H$46=".", 0, 'Summary, PPI''s'!H28)+IF(I$46=".", 0, 'Summary, PPI''s'!I28)+IF(J$46=".", 0, 'Summary, PPI''s'!J28)+IF(K$46=".", 0, 'Summary, PPI''s'!K28)+IF(L$46=".", 0, 'Summary, PPI''s'!L28)+IF(M$46=".", 0, 'Summary, PPI''s'!M28)+IF(B$46=".", 0, 'Summary, PPI''s'!B28)+IF(C$46=".", 0, 'Summary, PPI''s'!C28)+IF(D$46=".", 0, 'Summary, PPI''s'!D28)+IF(N$46=".", 0, 'Summary, PPI''s'!N28)+IF(O$46=".", 0, 'Summary, PPI''s'!O28)+IF(P$46=".", 0, 'Summary, PPI''s'!P28)</f>
        <v>117840292.56275827</v>
      </c>
      <c r="U28" s="1">
        <f>IF(E$60=".", 0, 'Summary, PPI''s'!E28)+IF(F$60=".", 0, 'Summary, PPI''s'!F28)+IF(G$60=".", 0, 'Summary, PPI''s'!G28)+IF(H$60=".", 0, 'Summary, PPI''s'!H28)+IF(I$60=".", 0, 'Summary, PPI''s'!I28)+IF(J$60=".", 0, 'Summary, PPI''s'!J28)+IF(K$60=".", 0, 'Summary, PPI''s'!K28)+IF(L$60=".", 0, 'Summary, PPI''s'!L28)+IF(M$60=".", 0, 'Summary, PPI''s'!M28)+IF(B$60=".", 0, 'Summary, PPI''s'!B28)+IF(C$60=".", 0, 'Summary, PPI''s'!C28)+IF(D$60=".", 0, 'Summary, PPI''s'!D28)+IF(N$60=".", 0, 'Summary, PPI''s'!N28)+IF(O$60=".", 0, 'Summary, PPI''s'!O28)+IF(P$60=".", 0, 'Summary, PPI''s'!P28)</f>
        <v>100942705.41672201</v>
      </c>
      <c r="V28" s="1">
        <f>IF(E$73=".", 0, 'Summary, PPI''s'!E28)+IF(F$73=".", 0, 'Summary, PPI''s'!F28)+IF(G$73=".", 0, 'Summary, PPI''s'!G28)+IF(H$73=".", 0, 'Summary, PPI''s'!H28)+IF(I$73=".", 0, 'Summary, PPI''s'!I28)+IF(J$73=".", 0, 'Summary, PPI''s'!J28)+IF(K$73=".", 0, 'Summary, PPI''s'!K28)+IF(L$73=".", 0, 'Summary, PPI''s'!L28)+IF(M$73=".", 0, 'Summary, PPI''s'!M28)+IF(B$73=".", 0, 'Summary, PPI''s'!B28)+IF(C$73=".", 0, 'Summary, PPI''s'!C28)+IF(D$73=".", 0, 'Summary, PPI''s'!D28)+IF(N$73=".", 0, 'Summary, PPI''s'!N28)+IF(O$73=".", 0, 'Summary, PPI''s'!O28)+IF(P$73=".", 0, 'Summary, PPI''s'!P28)</f>
        <v>78110642.562922597</v>
      </c>
      <c r="W28" s="1">
        <f>IF(E$94=".",0,'Summary, PPI''s'!E28)+IF(F$94=".",0,'Summary, PPI''s'!F28)+IF(G$94=".",0,'Summary, PPI''s'!G28)+IF(H$94=".",0,'Summary, PPI''s'!H28)+IF(I$94=".",0,'Summary, PPI''s'!I28)+IF(J$94=".",0,'Summary, PPI''s'!J28)+IF(K$94=".",0,'Summary, PPI''s'!K28)+IF(L$94=".",0,'Summary, PPI''s'!L28)+IF(M$94=".",0,'Summary, PPI''s'!M28)+IF(B$94=".",0,'Summary, PPI''s'!B28)+IF(C$94=".",0,'Summary, PPI''s'!C28)+IF(D$94=".",0,'Summary, PPI''s'!D28)+IF(N$94=".",0,'Summary, PPI''s'!N28)+IF(O$94=".",0,'Summary, PPI''s'!O28)+IF(P$94=".",0,'Summary, PPI''s'!P28)</f>
        <v>56597667.737128183</v>
      </c>
      <c r="X28" s="1">
        <f>IF(E$123=".", 0, 'Summary, PPI''s'!E28)+IF(F$123=".", 0, 'Summary, PPI''s'!F28)+IF(G$123=".", 0, 'Summary, PPI''s'!G28)+IF(H$123=".", 0, 'Summary, PPI''s'!H28)+IF(I$123=".", 0, 'Summary, PPI''s'!I28)+IF(J$123=".", 0, 'Summary, PPI''s'!J28)+IF(K$123=".", 0, 'Summary, PPI''s'!K28)+IF(L$123=".", 0, 'Summary, PPI''s'!L28)+IF(M$123=".", 0, 'Summary, PPI''s'!M28)+IF(B$123=".", 0, 'Summary, PPI''s'!B28)+IF(C$123=".", 0, 'Summary, PPI''s'!C28)+IF(D$123=".", 0, 'Summary, PPI''s'!D28)+IF(N$123=".", 0, 'Summary, PPI''s'!N28)+IF(O$123=".", 0, 'Summary, PPI''s'!O28)+IF(P$123=".", 0, 'Summary, PPI''s'!P28)</f>
        <v>48377549.988587067</v>
      </c>
      <c r="Z28" s="4" t="e">
        <f>Z27*IF(E$26=".", 1, (E28/E27)^(('Summary, PPI''s'!$E28+'Summary, PPI''s'!$E27)/('Predicted PPIs'!R28+'Predicted PPIs'!R27)))*IF(F$26=".", 1, (F28/F27)^(('Summary, PPI''s'!$F28+'Summary, PPI''s'!$F27)/('Predicted PPIs'!R28+'Predicted PPIs'!R27)))*IF(G$26=".", 1, (G28/G27)^(('Summary, PPI''s'!$G28+'Summary, PPI''s'!$G27)/('Predicted PPIs'!R28+'Predicted PPIs'!R27)))*IF(H$26=".", 1, (H28/H27)^(('Summary, PPI''s'!$H28+'Summary, PPI''s'!$H27)/('Predicted PPIs'!R28+'Predicted PPIs'!R27)))*IF(I$26=".", 1, (I28/I27)^(('Summary, PPI''s'!$I28+'Summary, PPI''s'!$I27)/('Predicted PPIs'!R28+'Predicted PPIs'!R27)))*IF(J$26=".", 1, (J28/J27)^(('Summary, PPI''s'!$J28+'Summary, PPI''s'!$J27)/('Predicted PPIs'!R28+'Predicted PPIs'!R27)))*IF(K$26=".", 1, (K28/K27)^(('Summary, PPI''s'!$K28+'Summary, PPI''s'!$K27)/('Predicted PPIs'!R28+'Predicted PPIs'!R27)))*IF(L$26=".", 1, (L28/L27)^(('Summary, PPI''s'!$L28+'Summary, PPI''s'!$L27)/('Predicted PPIs'!R28+'Predicted PPIs'!R27)))*IF(M$26=".", 1, (M28/M27)^(('Summary, PPI''s'!$M28+'Summary, PPI''s'!$M27)/('Predicted PPIs'!R28+'Predicted PPIs'!R27)))*IF(B$26=".", 1, (B28/B27)^(('Summary, PPI''s'!$B28+'Summary, PPI''s'!$B27)/('Predicted PPIs'!R28+'Predicted PPIs'!R27)))*IF(C$26=".", 1, (C28/C27)^(('Summary, PPI''s'!$C28+'Summary, PPI''s'!$C27)/('Predicted PPIs'!R28+'Predicted PPIs'!R27)))*IF(D$26=".", 1, (D28/D27)^(('Summary, PPI''s'!$D28+'Summary, PPI''s'!$D27)/('Predicted PPIs'!R28+'Predicted PPIs'!R27)))*IF(N$26=".", 1, (N28/N27)^(('Summary, PPI''s'!$N28+'Summary, PPI''s'!$N27)/('Predicted PPIs'!R28+'Predicted PPIs'!R27)))*IF(O$26=".", 1, (O28/O27)^(('Summary, PPI''s'!$O28+'Summary, PPI''s'!$O27)/('Predicted PPIs'!R28+'Predicted PPIs'!R27)))*IF(P$26=".", 1, (P28/P27)^(('Summary, PPI''s'!$P28+'Summary, PPI''s'!$P27)/('Predicted PPIs'!R28+'Predicted PPIs'!R27)))</f>
        <v>#VALUE!</v>
      </c>
      <c r="AA28" s="4">
        <f>AA27*IF(E$36=".", 1, (E28/E27)^(('Summary, PPI''s'!$E28+'Summary, PPI''s'!$E27)/('Predicted PPIs'!S28+'Predicted PPIs'!S27)))*IF(F$36=".", 1, (F28/F27)^(('Summary, PPI''s'!$F28+'Summary, PPI''s'!$F27)/('Predicted PPIs'!S28+'Predicted PPIs'!S27)))*IF(G$36=".", 1, (G28/G27)^(('Summary, PPI''s'!$G28+'Summary, PPI''s'!$G27)/('Predicted PPIs'!S28+'Predicted PPIs'!S27)))*IF(H$36=".", 1, (H28/H27)^(('Summary, PPI''s'!$H28+'Summary, PPI''s'!$H27)/('Predicted PPIs'!S28+'Predicted PPIs'!S27)))*IF(I$36=".", 1, (I28/I27)^(('Summary, PPI''s'!$I28+'Summary, PPI''s'!$I27)/('Predicted PPIs'!S28+'Predicted PPIs'!S27)))*IF(J$36=".", 1, (J28/J27)^(('Summary, PPI''s'!$J28+'Summary, PPI''s'!$J27)/('Predicted PPIs'!S28+'Predicted PPIs'!S27)))*IF(K$36=".", 1, (K28/K27)^(('Summary, PPI''s'!$K28+'Summary, PPI''s'!$K27)/('Predicted PPIs'!S28+'Predicted PPIs'!S27)))*IF(L$36=".", 1, (L28/L27)^(('Summary, PPI''s'!$L28+'Summary, PPI''s'!$L27)/('Predicted PPIs'!S28+'Predicted PPIs'!S27)))*IF(M$36=".", 1, (M28/M27)^(('Summary, PPI''s'!$M28+'Summary, PPI''s'!$M27)/('Predicted PPIs'!S28+'Predicted PPIs'!S27)))*IF(B$36=".", 1, (B28/B27)^(('Summary, PPI''s'!$B28+'Summary, PPI''s'!$B27)/('Predicted PPIs'!S28+'Predicted PPIs'!S27)))*IF(C$36=".", 1, (C28/C27)^(('Summary, PPI''s'!$C28+'Summary, PPI''s'!$C27)/('Predicted PPIs'!S28+'Predicted PPIs'!S27)))*IF(D$36=".", 1, (D28/D27)^(('Summary, PPI''s'!$D28+'Summary, PPI''s'!$D27)/('Predicted PPIs'!S28+'Predicted PPIs'!S27)))*IF(N$36=".", 1, (N28/N27)^(('Summary, PPI''s'!$N28+'Summary, PPI''s'!$N27)/('Predicted PPIs'!S28+'Predicted PPIs'!S27)))*IF(O$36=".", 1, (O28/O27)^(('Summary, PPI''s'!$O28+'Summary, PPI''s'!$O27)/('Predicted PPIs'!S28+'Predicted PPIs'!S27)))*IF(P$36=".", 1, (P28/P27)^(('Summary, PPI''s'!$P28+'Summary, PPI''s'!$P27)/('Predicted PPIs'!S28+'Predicted PPIs'!S27)))</f>
        <v>65.858724782562376</v>
      </c>
      <c r="AB28" s="4">
        <f>AB27*IF(E$46=".", 1, (E28/E27)^(('Summary, PPI''s'!$E28+'Summary, PPI''s'!$E27)/('Predicted PPIs'!T28+'Predicted PPIs'!T27)))*IF(F$46=".", 1, (F28/F27)^(('Summary, PPI''s'!$F28+'Summary, PPI''s'!$F27)/('Predicted PPIs'!T28+'Predicted PPIs'!T27)))*IF(G$46=".", 1, (G28/G27)^(('Summary, PPI''s'!$G28+'Summary, PPI''s'!$G27)/('Predicted PPIs'!T28+'Predicted PPIs'!T27)))*IF(H$46=".", 1, (H28/H27)^(('Summary, PPI''s'!$H28+'Summary, PPI''s'!$H27)/('Predicted PPIs'!T28+'Predicted PPIs'!T27)))*IF(I$46=".", 1, (I28/I27)^(('Summary, PPI''s'!$I28+'Summary, PPI''s'!$I27)/('Predicted PPIs'!T28+'Predicted PPIs'!T27)))*IF(J$46=".", 1, (J28/J27)^(('Summary, PPI''s'!$J28+'Summary, PPI''s'!$J27)/('Predicted PPIs'!T28+'Predicted PPIs'!T27)))*IF(K$46=".", 1, (K28/K27)^(('Summary, PPI''s'!$K28+'Summary, PPI''s'!$K27)/('Predicted PPIs'!T28+'Predicted PPIs'!T27)))*IF(L$46=".", 1, (L28/L27)^(('Summary, PPI''s'!$L28+'Summary, PPI''s'!$L27)/('Predicted PPIs'!T28+'Predicted PPIs'!T27)))*IF(M$46=".", 1, (M28/M27)^(('Summary, PPI''s'!$M28+'Summary, PPI''s'!$M27)/('Predicted PPIs'!T28+'Predicted PPIs'!T27)))*IF(B$46=".", 1, (B28/B27)^(('Summary, PPI''s'!$B28+'Summary, PPI''s'!$B27)/('Predicted PPIs'!T28+'Predicted PPIs'!T27)))*IF(C$46=".", 1, (C28/C27)^(('Summary, PPI''s'!$C28+'Summary, PPI''s'!$C27)/('Predicted PPIs'!T28+'Predicted PPIs'!T27)))*IF(D$46=".", 1, (D28/D27)^(('Summary, PPI''s'!$D28+'Summary, PPI''s'!$D27)/('Predicted PPIs'!T28+'Predicted PPIs'!T27)))*IF(N$46=".", 1, (N28/N27)^(('Summary, PPI''s'!$N28+'Summary, PPI''s'!$N27)/('Predicted PPIs'!T28+'Predicted PPIs'!T27)))*IF(O$46=".", 1, (O28/O27)^(('Summary, PPI''s'!$O28+'Summary, PPI''s'!$O27)/('Predicted PPIs'!T28+'Predicted PPIs'!T27)))*IF(P$46=".", 1, (P28/P27)^(('Summary, PPI''s'!$P28+'Summary, PPI''s'!$P27)/('Predicted PPIs'!T28+'Predicted PPIs'!T27)))</f>
        <v>63.409592644347512</v>
      </c>
      <c r="AC28" s="4">
        <f>AC27*IF(E$60=".",1,(E28/E27)^(('Summary, PPI''s'!$E28+'Summary, PPI''s'!$E27)/('Predicted PPIs'!U28+'Predicted PPIs'!U27)))*IF(F$60=".",1,(F28/F27)^(('Summary, PPI''s'!$F28+'Summary, PPI''s'!$F27)/('Predicted PPIs'!U28+'Predicted PPIs'!U27)))*IF(G$60=".",1,(G28/G27)^(('Summary, PPI''s'!$G28+'Summary, PPI''s'!$G27)/('Predicted PPIs'!U28+'Predicted PPIs'!U27)))*IF(H$60=".",1,(H28/H27)^(('Summary, PPI''s'!$H28+'Summary, PPI''s'!$H27)/('Predicted PPIs'!U28+'Predicted PPIs'!U27)))*IF(I$60=".",1,(I28/I27)^(('Summary, PPI''s'!$I28+'Summary, PPI''s'!$I27)/('Predicted PPIs'!U28+'Predicted PPIs'!U27)))*IF(J$60=".",1,(J28/J27)^(('Summary, PPI''s'!$J28+'Summary, PPI''s'!$J27)/('Predicted PPIs'!U28+'Predicted PPIs'!U27)))*IF(K$60=".",1,(K28/K27)^(('Summary, PPI''s'!$K28+'Summary, PPI''s'!$K27)/('Predicted PPIs'!U28+'Predicted PPIs'!U27)))*IF(L$60=".",1,(L28/L27)^(('Summary, PPI''s'!$L28+'Summary, PPI''s'!$L27)/('Predicted PPIs'!U28+'Predicted PPIs'!U27)))*IF(M$60=".",1,(M28/M27)^(('Summary, PPI''s'!$M28+'Summary, PPI''s'!$M27)/('Predicted PPIs'!U28+'Predicted PPIs'!U27)))*IF(B$60=".",1,(B28/B27)^(('Summary, PPI''s'!$B28+'Summary, PPI''s'!$B27)/('Predicted PPIs'!U28+'Predicted PPIs'!U27)))*IF(C$60=".",1,(C28/C27)^(('Summary, PPI''s'!$C28+'Summary, PPI''s'!$C27)/('Predicted PPIs'!U28+'Predicted PPIs'!U27)))*IF(D$60=".",1,(D28/D27)^(('Summary, PPI''s'!$D28+'Summary, PPI''s'!$D27)/('Predicted PPIs'!U28+'Predicted PPIs'!U27)))*IF(N$60=".",1,(N28/N27)^(('Summary, PPI''s'!$N28+'Summary, PPI''s'!$N27)/('Predicted PPIs'!U28+'Predicted PPIs'!U27)))*IF(O$60=".",1,(O28/O27)^(('Summary, PPI''s'!$O28+'Summary, PPI''s'!$O27)/('Predicted PPIs'!U28+'Predicted PPIs'!U27)))*IF(P$60=".",1,(P28/P27)^(('Summary, PPI''s'!$P28+'Summary, PPI''s'!$P27)/('Predicted PPIs'!U28+'Predicted PPIs'!U27)))</f>
        <v>69.752176711205621</v>
      </c>
      <c r="AD28" s="4">
        <f>AD27*IF(E$73=".", 1, (E28/E27)^(('Summary, PPI''s'!$E28+'Summary, PPI''s'!$E27)/('Predicted PPIs'!V28+'Predicted PPIs'!V27)))*IF(F$73=".", 1, (F28/F27)^(('Summary, PPI''s'!$F28+'Summary, PPI''s'!$F27)/('Predicted PPIs'!V28+'Predicted PPIs'!V27)))*IF(G$73=".", 1, (G28/G27)^(('Summary, PPI''s'!$G28+'Summary, PPI''s'!$G27)/('Predicted PPIs'!V28+'Predicted PPIs'!V27)))*IF(H$73=".", 1, (H28/H27)^(('Summary, PPI''s'!$H28+'Summary, PPI''s'!$H27)/('Predicted PPIs'!V28+'Predicted PPIs'!V27)))*IF(I$73=".", 1, (I28/I27)^(('Summary, PPI''s'!$I28+'Summary, PPI''s'!$I27)/('Predicted PPIs'!V28+'Predicted PPIs'!V27)))*IF(J$73=".", 1, (J28/J27)^(('Summary, PPI''s'!$J28+'Summary, PPI''s'!$J27)/('Predicted PPIs'!V28+'Predicted PPIs'!V27)))*IF(K$73=".", 1, (K28/K27)^(('Summary, PPI''s'!$K28+'Summary, PPI''s'!$K27)/('Predicted PPIs'!V28+'Predicted PPIs'!V27)))*IF(L$73=".", 1, (L28/L27)^(('Summary, PPI''s'!$L28+'Summary, PPI''s'!$L27)/('Predicted PPIs'!V28+'Predicted PPIs'!V27)))*IF(M$73=".", 1, (M28/M27)^(('Summary, PPI''s'!$M28+'Summary, PPI''s'!$M27)/('Predicted PPIs'!V28+'Predicted PPIs'!V27)))*IF(B$73=".", 1, (B28/B27)^(('Summary, PPI''s'!$B28+'Summary, PPI''s'!$B27)/('Predicted PPIs'!V28+'Predicted PPIs'!V27)))*IF(C$73=".", 1, (C28/C27)^(('Summary, PPI''s'!$C28+'Summary, PPI''s'!$C27)/('Predicted PPIs'!V28+'Predicted PPIs'!V27)))*IF(D$73=".", 1, (D28/D27)^(('Summary, PPI''s'!$D28+'Summary, PPI''s'!$D27)/('Predicted PPIs'!V28+'Predicted PPIs'!V27)))*IF(N$73=".", 1, (N28/N27)^(('Summary, PPI''s'!$N28+'Summary, PPI''s'!$N27)/('Predicted PPIs'!V28+'Predicted PPIs'!V27)))*IF(O$73=".", 1, (O28/O27)^(('Summary, PPI''s'!$O28+'Summary, PPI''s'!$O27)/('Predicted PPIs'!V28+'Predicted PPIs'!V27)))*IF(P$73=".", 1, (P28/P27)^(('Summary, PPI''s'!$P28+'Summary, PPI''s'!$P27)/('Predicted PPIs'!V28+'Predicted PPIs'!V27)))</f>
        <v>68.442740683732893</v>
      </c>
      <c r="AE28" s="4">
        <f>AE27*IF(E$94=".", 1, (E28/E27)^(('Summary, PPI''s'!$E28+'Summary, PPI''s'!$E27)/('Predicted PPIs'!W28+'Predicted PPIs'!W27)))*IF(F$94=".", 1, (F28/F27)^(('Summary, PPI''s'!$F28+'Summary, PPI''s'!$F27)/('Predicted PPIs'!W28+'Predicted PPIs'!W27)))*IF(G$94=".", 1, (G28/G27)^(('Summary, PPI''s'!$G28+'Summary, PPI''s'!$G27)/('Predicted PPIs'!W28+'Predicted PPIs'!W27)))*IF(H$94=".", 1, (H28/H27)^(('Summary, PPI''s'!$H28+'Summary, PPI''s'!$H27)/('Predicted PPIs'!W28+'Predicted PPIs'!W27)))*IF(I$94=".", 1, (I28/I27)^(('Summary, PPI''s'!$I28+'Summary, PPI''s'!$I27)/('Predicted PPIs'!W28+'Predicted PPIs'!W27)))*IF(J$94=".", 1, (J28/J27)^(('Summary, PPI''s'!$J28+'Summary, PPI''s'!$J27)/('Predicted PPIs'!W28+'Predicted PPIs'!W27)))*IF(K$94=".", 1, (K28/K27)^(('Summary, PPI''s'!$K28+'Summary, PPI''s'!$K27)/('Predicted PPIs'!W28+'Predicted PPIs'!W27)))*IF(L$94=".", 1, (L28/L27)^(('Summary, PPI''s'!$L28+'Summary, PPI''s'!$L27)/('Predicted PPIs'!W28+'Predicted PPIs'!W27)))*IF(M$94=".", 1, (M28/M27)^(('Summary, PPI''s'!$M28+'Summary, PPI''s'!$M27)/('Predicted PPIs'!W28+'Predicted PPIs'!W27)))*IF(B$94=".", 1, (B28/B27)^(('Summary, PPI''s'!$B28+'Summary, PPI''s'!$B27)/('Predicted PPIs'!W28+'Predicted PPIs'!W27)))*IF(C$94=".", 1, (C28/C27)^(('Summary, PPI''s'!$C28+'Summary, PPI''s'!$C27)/('Predicted PPIs'!W28+'Predicted PPIs'!W27)))*IF(D$94=".", 1, (D28/D27)^(('Summary, PPI''s'!$D28+'Summary, PPI''s'!$D27)/('Predicted PPIs'!W28+'Predicted PPIs'!W27)))*IF(N$94=".", 1, (N28/N27)^(('Summary, PPI''s'!$N28+'Summary, PPI''s'!$N27)/('Predicted PPIs'!W28+'Predicted PPIs'!W27)))*IF(O$94=".", 1, (O28/O27)^(('Summary, PPI''s'!$O28+'Summary, PPI''s'!$O27)/('Predicted PPIs'!W28+'Predicted PPIs'!W27)))*IF(P$94=".", 1, (P28/P27)^(('Summary, PPI''s'!$P28+'Summary, PPI''s'!$P27)/('Predicted PPIs'!W28+'Predicted PPIs'!W27)))</f>
        <v>63.425372528873254</v>
      </c>
      <c r="AF28" s="4">
        <f>AF27*IF(E$123=".", 1, (E28/E27)^(('Summary, PPI''s'!$E28+'Summary, PPI''s'!$E27)/('Predicted PPIs'!X28+'Predicted PPIs'!X27)))*IF(F$123=".", 1, (F28/F27)^(('Summary, PPI''s'!$F28+'Summary, PPI''s'!$F27)/('Predicted PPIs'!X28+'Predicted PPIs'!X27)))*IF(G$123=".", 1, (G28/G27)^(('Summary, PPI''s'!$G28+'Summary, PPI''s'!$G27)/('Predicted PPIs'!X28+'Predicted PPIs'!X27)))*IF(H$123=".", 1, (H28/H27)^(('Summary, PPI''s'!$H28+'Summary, PPI''s'!$H27)/('Predicted PPIs'!X28+'Predicted PPIs'!X27)))*IF(I$123=".", 1, (I28/I27)^(('Summary, PPI''s'!$I28+'Summary, PPI''s'!$I27)/('Predicted PPIs'!X28+'Predicted PPIs'!X27)))*IF(J$123=".", 1, (J28/J27)^(('Summary, PPI''s'!$J28+'Summary, PPI''s'!$J27)/('Predicted PPIs'!X28+'Predicted PPIs'!X27)))*IF(K$123=".", 1, (K28/K27)^(('Summary, PPI''s'!$K28+'Summary, PPI''s'!$K27)/('Predicted PPIs'!X28+'Predicted PPIs'!X27)))*IF(L$123=".", 1, (L28/L27)^(('Summary, PPI''s'!$L28+'Summary, PPI''s'!$L27)/('Predicted PPIs'!X28+'Predicted PPIs'!X27)))*IF(M$123=".", 1, (M28/M27)^(('Summary, PPI''s'!$M28+'Summary, PPI''s'!$M27)/('Predicted PPIs'!X28+'Predicted PPIs'!X27)))*IF(B$123=".", 1, (B28/B27)^(('Summary, PPI''s'!$B28+'Summary, PPI''s'!$B27)/('Predicted PPIs'!X28+'Predicted PPIs'!X27)))*IF(C$123=".", 1, (C28/C27)^(('Summary, PPI''s'!$C28+'Summary, PPI''s'!$C27)/('Predicted PPIs'!X28+'Predicted PPIs'!X27)))*IF(D$123=".", 1, (D28/D27)^(('Summary, PPI''s'!$D28+'Summary, PPI''s'!$D27)/('Predicted PPIs'!X28+'Predicted PPIs'!X27)))*IF(N$123=".", 1, (N28/N27)^(('Summary, PPI''s'!$N28+'Summary, PPI''s'!$N27)/('Predicted PPIs'!X28+'Predicted PPIs'!X27)))*IF(O$123=".", 1, (O28/O27)^(('Summary, PPI''s'!$O28+'Summary, PPI''s'!$O27)/('Predicted PPIs'!X28+'Predicted PPIs'!X27)))*IF(P$123=".", 1, (P28/P27)^(('Summary, PPI''s'!$P28+'Summary, PPI''s'!$P27)/('Predicted PPIs'!X28+'Predicted PPIs'!X27)))</f>
        <v>59.307563245764321</v>
      </c>
      <c r="AH28" s="13">
        <f t="shared" si="32"/>
        <v>74.230405807860237</v>
      </c>
      <c r="AJ28" s="4">
        <v>4962.6000000000004</v>
      </c>
      <c r="AK28" s="4">
        <v>-0.47899999999999998</v>
      </c>
      <c r="AL28" s="4">
        <v>-559.36</v>
      </c>
      <c r="AM28" s="4">
        <v>-9.4039999999999999</v>
      </c>
      <c r="AN28" s="4">
        <v>5541.9</v>
      </c>
      <c r="AO28" s="4">
        <v>1281.3</v>
      </c>
      <c r="AP28" s="4">
        <f>('[3]1995'!$I$14+'[3]1995'!$I$69+'[3]1995'!$I$71-'[3]1995'!$I$73)*0.001</f>
        <v>-52.36</v>
      </c>
      <c r="AQ28" s="4">
        <f>('[3]1995'!$AY$56+'[3]1995'!$AY$69+'[3]1995'!$AY$71-'[3]1995'!$AY$73)*0.001</f>
        <v>-223.07500000000002</v>
      </c>
      <c r="AR28" s="4">
        <v>-18.605</v>
      </c>
      <c r="AS28" s="4">
        <v>-40.183999999999997</v>
      </c>
      <c r="AT28" s="4">
        <v>71.671000000000006</v>
      </c>
      <c r="AU28" s="4">
        <v>66.774000000000001</v>
      </c>
      <c r="AV28" s="4">
        <v>64.706000000000003</v>
      </c>
      <c r="AW28" s="4">
        <v>53.837000000000003</v>
      </c>
      <c r="AX28" s="4">
        <v>67.72</v>
      </c>
      <c r="AY28" s="4">
        <v>85.378</v>
      </c>
      <c r="AZ28" s="4">
        <v>46.362000000000002</v>
      </c>
      <c r="BA28" s="4">
        <v>72.001999999999995</v>
      </c>
      <c r="BB28" s="4">
        <v>102.608</v>
      </c>
      <c r="BC28" s="4">
        <v>85.888000000000005</v>
      </c>
      <c r="BG28" s="4">
        <f t="shared" si="50"/>
        <v>65.088433499837379</v>
      </c>
      <c r="BI28" s="4">
        <f>BI$13*'[2]Ordinary Experience'!$D$398/'[2]Ordinary Experience'!$D$413</f>
        <v>264788658.95011026</v>
      </c>
      <c r="BJ28" s="4">
        <f>'[2]Ordinary Experience'!$E$398</f>
        <v>21.449941724862565</v>
      </c>
      <c r="BL28" s="4">
        <f t="shared" si="0"/>
        <v>78.957548558217951</v>
      </c>
      <c r="BM28" s="4">
        <f t="shared" si="34"/>
        <v>3.2361843693768932E-2</v>
      </c>
      <c r="BO28" s="4">
        <f>IF(OR('Summary, hourly ad costs'!R28=-9999,'Summary, PPI''s'!R28="."),".",(('Summary, hourly ad costs'!B28/'Summary, hourly ad costs'!R28)*100/('Summary, hourly ad costs'!B$11/'Summary, hourly ad costs'!R$11))/('Summary, PPI''s'!R28))</f>
        <v>0.89186471000111422</v>
      </c>
      <c r="BP28" s="4" t="str">
        <f>IF(OR('Summary, hourly ad costs'!S28=-9999,'Summary, PPI''s'!S28="."),".",(('Summary, hourly ad costs'!C28/'Summary, hourly ad costs'!S28)*100/('Summary, hourly ad costs'!C$11/'Summary, hourly ad costs'!S$11))/('Summary, PPI''s'!S28))</f>
        <v>.</v>
      </c>
      <c r="BQ28" s="4" t="str">
        <f>IF(OR('Summary, hourly ad costs'!T28=-9999,'Summary, PPI''s'!T28="."),".",(('Summary, hourly ad costs'!D28/'Summary, hourly ad costs'!T28)*100/('Summary, hourly ad costs'!D$11/'Summary, hourly ad costs'!T$11))/('Summary, PPI''s'!T28))</f>
        <v>.</v>
      </c>
      <c r="BR28" s="4">
        <f>IF(OR('Summary, hourly ad costs'!U28=-9999,'Summary, PPI''s'!U28="."),".",(('Summary, hourly ad costs'!E28/'Summary, hourly ad costs'!U28)*100/('Summary, hourly ad costs'!E$11/'Summary, hourly ad costs'!U$11))/('Summary, PPI''s'!U28))</f>
        <v>1.8371743150166204</v>
      </c>
      <c r="BS28" s="4">
        <f>IF(OR('Summary, hourly ad costs'!V28=-9999,'Summary, PPI''s'!V28="."),".",(('Summary, hourly ad costs'!F28/'Summary, hourly ad costs'!V28)*100/('Summary, hourly ad costs'!F$11/'Summary, hourly ad costs'!V$11))/('Summary, PPI''s'!V28))</f>
        <v>1.7353107801407788</v>
      </c>
      <c r="BT28" s="4" t="str">
        <f>IF(OR('Summary, hourly ad costs'!W28=-9999,'Summary, PPI''s'!W28="."),".",(('Summary, hourly ad costs'!G28/'Summary, hourly ad costs'!W28)*100/('Summary, hourly ad costs'!G$11/'Summary, hourly ad costs'!W$11))/('Summary, PPI''s'!W28))</f>
        <v>.</v>
      </c>
      <c r="BU28" s="4">
        <f>IF(OR('Summary, hourly ad costs'!X28=-9999,'Summary, PPI''s'!X28="."),".",(('Summary, hourly ad costs'!H28/'Summary, hourly ad costs'!X28)*100/('Summary, hourly ad costs'!H$11/'Summary, hourly ad costs'!X$11))/('Summary, PPI''s'!X28))</f>
        <v>1.1130536434970244</v>
      </c>
      <c r="BV28" s="4">
        <f>IF(OR('Summary, hourly ad costs'!Y28=-9999,'Summary, PPI''s'!Y28="."),".",(('Summary, hourly ad costs'!I28/'Summary, hourly ad costs'!Y28)*100/('Summary, hourly ad costs'!I$11/'Summary, hourly ad costs'!Y$11))/('Summary, PPI''s'!Y28))</f>
        <v>0.70061666224557362</v>
      </c>
      <c r="BW28" s="4">
        <f>IF(OR('Summary, hourly ad costs'!Z28=-9999,'Summary, PPI''s'!Z28="."),".",(('Summary, hourly ad costs'!J28/'Summary, hourly ad costs'!Z28)*100/('Summary, hourly ad costs'!J$11/'Summary, hourly ad costs'!Z$11))/('Summary, PPI''s'!Z28))</f>
        <v>0.76726610992860356</v>
      </c>
      <c r="BX28" s="4">
        <f>IF(OR('Summary, hourly ad costs'!AA28=-9999,'Summary, PPI''s'!AA28="."),".",(('Summary, hourly ad costs'!K28/'Summary, hourly ad costs'!AA28)*100/('Summary, hourly ad costs'!K$11/'Summary, hourly ad costs'!AA$11))/('Summary, PPI''s'!AA28))</f>
        <v>1.4575712774737224</v>
      </c>
      <c r="BY28" s="4" t="str">
        <f>IF(OR('Summary, hourly ad costs'!AB28=-9999,'Summary, PPI''s'!AB28="."),".",(('Summary, hourly ad costs'!L28/'Summary, hourly ad costs'!AB28)*100/('Summary, hourly ad costs'!L$11/'Summary, hourly ad costs'!AB$11))/('Summary, PPI''s'!AB28))</f>
        <v>.</v>
      </c>
      <c r="BZ28" s="4" t="str">
        <f>IF(OR('Summary, hourly ad costs'!AC28=-9999,'Summary, PPI''s'!AC28="."),".",(('Summary, hourly ad costs'!M28/'Summary, hourly ad costs'!AC28)*100/('Summary, hourly ad costs'!M$11/'Summary, hourly ad costs'!AC$11))/('Summary, PPI''s'!AC28))</f>
        <v>.</v>
      </c>
      <c r="CA28" s="4" t="str">
        <f>IF(OR('Summary, hourly ad costs'!AD28=-9999,'Summary, PPI''s'!AD28="."),".",(('Summary, hourly ad costs'!N28/'Summary, hourly ad costs'!AD28)*100/('Summary, hourly ad costs'!N$11/'Summary, hourly ad costs'!AD$11))/('Summary, PPI''s'!AD28))</f>
        <v>.</v>
      </c>
      <c r="CB28" s="4" t="str">
        <f>IF(OR('Summary, hourly ad costs'!AE28=-9999,'Summary, PPI''s'!AE28="."),".",(('Summary, hourly ad costs'!O28/'Summary, hourly ad costs'!AE28)*100/('Summary, hourly ad costs'!O$11/'Summary, hourly ad costs'!AE$11))/('Summary, PPI''s'!AE28))</f>
        <v>.</v>
      </c>
      <c r="CC28" s="4" t="str">
        <f>IF(OR('Summary, hourly ad costs'!AF28=-9999,'Summary, PPI''s'!AF28="."),".",(('Summary, hourly ad costs'!P28/'Summary, hourly ad costs'!AF28)*100/('Summary, hourly ad costs'!P$11/'Summary, hourly ad costs'!AF$11))/('Summary, PPI''s'!AF28))</f>
        <v>.</v>
      </c>
      <c r="CE28" s="4">
        <f t="shared" si="51"/>
        <v>3.2977199205091789E-2</v>
      </c>
      <c r="CF28" s="4" t="str">
        <f t="shared" si="52"/>
        <v>.</v>
      </c>
      <c r="CG28" s="4" t="str">
        <f t="shared" si="53"/>
        <v>.</v>
      </c>
      <c r="CH28" s="4">
        <f t="shared" si="54"/>
        <v>1.8541099466125033E-3</v>
      </c>
      <c r="CI28" s="4">
        <f t="shared" si="55"/>
        <v>2.8641238162290472E-2</v>
      </c>
      <c r="CJ28" s="4" t="str">
        <f t="shared" si="56"/>
        <v>.</v>
      </c>
      <c r="CK28" s="4">
        <f t="shared" si="57"/>
        <v>-1.4421788142382486E-4</v>
      </c>
      <c r="CL28" s="4">
        <f t="shared" si="58"/>
        <v>2.6307681617041556E-2</v>
      </c>
      <c r="CM28" s="4">
        <f t="shared" si="59"/>
        <v>4.7418387789015748E-2</v>
      </c>
      <c r="CN28" s="4">
        <f t="shared" si="60"/>
        <v>8.8564291481040947E-2</v>
      </c>
      <c r="CO28" s="4">
        <f t="shared" si="61"/>
        <v>0.20677070182882948</v>
      </c>
      <c r="CP28" s="4">
        <f t="shared" si="61"/>
        <v>0.10519687523358255</v>
      </c>
      <c r="CQ28" s="4" t="str">
        <f t="shared" si="62"/>
        <v>.</v>
      </c>
      <c r="CR28" s="4" t="str">
        <f t="shared" si="63"/>
        <v>.</v>
      </c>
      <c r="CS28" s="4" t="str">
        <f t="shared" si="64"/>
        <v>.</v>
      </c>
      <c r="CU28" s="5">
        <f>IF(CU27=".", ".", IF('Summary, PPI''s'!R28=".",IF(OR('Summary, hourly ad costs'!R28=-9999,'Summary, hourly ad costs'!R28=0), ".", 'Predicted PPIs'!CU27*('Summary, hourly ad costs'!B28/'Summary, hourly ad costs'!R28)/('Summary, hourly ad costs'!B27/'Summary, hourly ad costs'!R27)/(1-CE27)), 'Summary, PPI''s'!R28))</f>
        <v>92.542011202987467</v>
      </c>
      <c r="CV28" s="5">
        <f>IF(CV27=".", ".", IF('Summary, PPI''s'!S28=".",IF(OR('Summary, hourly ad costs'!S28=-9999,'Summary, hourly ad costs'!S28=0), ".", 'Predicted PPIs'!CV27*('Summary, hourly ad costs'!C28/'Summary, hourly ad costs'!S28)/('Summary, hourly ad costs'!C27/'Summary, hourly ad costs'!S27)/(1-CF27)), 'Summary, PPI''s'!S28))</f>
        <v>92.542011202987467</v>
      </c>
      <c r="CW28" s="5">
        <f>IF(CW27=".", ".", IF('Summary, PPI''s'!T28=".",IF(OR('Summary, hourly ad costs'!T28=-9999,'Summary, hourly ad costs'!T28=0), ".", 'Predicted PPIs'!CW27*('Summary, hourly ad costs'!D28/'Summary, hourly ad costs'!T28)/('Summary, hourly ad costs'!D27/'Summary, hourly ad costs'!T27)/(1-CG27)), 'Summary, PPI''s'!T28))</f>
        <v>78.275532289726684</v>
      </c>
      <c r="CX28" s="5">
        <f>IF(CX27=".", ".", IF('Summary, PPI''s'!U28=".",IF(OR('Summary, hourly ad costs'!U28=-9999,'Summary, hourly ad costs'!U28=0), ".", 'Predicted PPIs'!CX27*('Summary, hourly ad costs'!E28/'Summary, hourly ad costs'!U28)/('Summary, hourly ad costs'!E27/'Summary, hourly ad costs'!U27)/(1-CH27)), 'Summary, PPI''s'!U28))</f>
        <v>58.660151457460735</v>
      </c>
      <c r="CY28" s="5">
        <f>IF(CY27=".", ".", IF('Summary, PPI''s'!V28=".",IF(OR('Summary, hourly ad costs'!V28=-9999,'Summary, hourly ad costs'!V28=0), ".", 'Predicted PPIs'!CY27*('Summary, hourly ad costs'!F28/'Summary, hourly ad costs'!V28)/('Summary, hourly ad costs'!F27/'Summary, hourly ad costs'!V27)/(1-CI27)), 'Summary, PPI''s'!V28))</f>
        <v>53.787223526504377</v>
      </c>
      <c r="CZ28" s="5">
        <f>IF(CZ27=".", ".", IF('Summary, PPI''s'!W28=".",IF(OR('Summary, hourly ad costs'!W28=-9999,'Summary, hourly ad costs'!W28=0), ".", 'Predicted PPIs'!CZ27*('Summary, hourly ad costs'!G28/'Summary, hourly ad costs'!W28)/('Summary, hourly ad costs'!G27/'Summary, hourly ad costs'!W27)/(1-CJ27)), 'Summary, PPI''s'!W28))</f>
        <v>60.7864410755652</v>
      </c>
      <c r="DA28" s="5">
        <f>IF(DA27=".", ".", IF('Summary, PPI''s'!X28=".",IF(OR('Summary, hourly ad costs'!X28=-9999,'Summary, hourly ad costs'!X28=0), ".", 'Predicted PPIs'!DA27*('Summary, hourly ad costs'!H28/'Summary, hourly ad costs'!X28)/('Summary, hourly ad costs'!H27/'Summary, hourly ad costs'!X27)/(1-CK27)), 'Summary, PPI''s'!X28))</f>
        <v>57.433</v>
      </c>
      <c r="DB28" s="5">
        <f>IF(DB27=".", ".", IF('Summary, PPI''s'!Y28=".",IF(OR('Summary, hourly ad costs'!Y28=-9999,'Summary, hourly ad costs'!Y28=0), ".", 'Predicted PPIs'!DB27*('Summary, hourly ad costs'!I28/'Summary, hourly ad costs'!Y28)/('Summary, hourly ad costs'!I27/'Summary, hourly ad costs'!Y27)/(1-CL27)), 'Summary, PPI''s'!Y28))</f>
        <v>72.974033668048108</v>
      </c>
      <c r="DC28" s="5">
        <f>IF(DC27=".", ".", IF('Summary, PPI''s'!Z28=".",IF(OR('Summary, hourly ad costs'!Z28=-9999,'Summary, hourly ad costs'!Z28=0), ".", 'Predicted PPIs'!DC27*('Summary, hourly ad costs'!J28/'Summary, hourly ad costs'!Z28)/('Summary, hourly ad costs'!J27/'Summary, hourly ad costs'!Z27)/(1-CM27)), 'Summary, PPI''s'!Z28))</f>
        <v>73.623279517546194</v>
      </c>
      <c r="DD28" s="5">
        <f>IF(DD27=".", ".", IF('Summary, PPI''s'!AA28=".",IF(OR('Summary, hourly ad costs'!AA28=-9999,'Summary, hourly ad costs'!AA28=0), ".", 'Predicted PPIs'!DD27*('Summary, hourly ad costs'!K28/'Summary, hourly ad costs'!AA28)/('Summary, hourly ad costs'!K27/'Summary, hourly ad costs'!AA27)/(1-CN27)), 'Summary, PPI''s'!AA28))</f>
        <v>48.348754726868549</v>
      </c>
      <c r="DE28" s="5" t="str">
        <f>IF(DE27=".", ".", IF('Summary, PPI''s'!AB28=".",IF(OR('Summary, hourly ad costs'!AB28=-9999,'Summary, hourly ad costs'!AB28=0), ".", 'Predicted PPIs'!DE27*('Summary, hourly ad costs'!L28/'Summary, hourly ad costs'!AB28)/('Summary, hourly ad costs'!L27/'Summary, hourly ad costs'!AB27)/(1-CO27)), 'Summary, PPI''s'!AB28))</f>
        <v>.</v>
      </c>
      <c r="DF28" s="5" t="str">
        <f>IF(DF27=".", ".", IF('Summary, PPI''s'!AC28=".",IF(OR('Summary, hourly ad costs'!AC28=-9999,'Summary, hourly ad costs'!AC28=0), ".", 'Predicted PPIs'!DF27*('Summary, hourly ad costs'!M28/'Summary, hourly ad costs'!AC28)/('Summary, hourly ad costs'!M27/'Summary, hourly ad costs'!AC27)/(1-CP27)), 'Summary, PPI''s'!AC28))</f>
        <v>.</v>
      </c>
      <c r="DG28" s="5">
        <f>IF(DG27=".", ".", IF('Summary, PPI''s'!AD28=".",IF(OR('Summary, hourly ad costs'!AD28=-9999,'Summary, hourly ad costs'!AD28=0), ".", 'Predicted PPIs'!DG27*('Summary, hourly ad costs'!N28/'Summary, hourly ad costs'!AD28)/('Summary, hourly ad costs'!N27/'Summary, hourly ad costs'!AD27)/(1-CQ27)), 'Summary, PPI''s'!AD28))</f>
        <v>77.018938927540773</v>
      </c>
      <c r="DH28" s="5">
        <f>IF(DH27=".", ".", IF('Summary, PPI''s'!AE28=".",IF(OR('Summary, hourly ad costs'!AE28=-9999,'Summary, hourly ad costs'!AE28=0), ".", 'Predicted PPIs'!DH27*('Summary, hourly ad costs'!O28/'Summary, hourly ad costs'!AE28)/('Summary, hourly ad costs'!O27/'Summary, hourly ad costs'!AE27)/(1-CR27)), 'Summary, PPI''s'!AE28))</f>
        <v>55.489858546617917</v>
      </c>
      <c r="DI28" s="5">
        <f>IF(DI27=".", ".", IF('Summary, PPI''s'!AF28=".",IF(OR('Summary, hourly ad costs'!AF28=-9999,'Summary, hourly ad costs'!AF28=0), ".", 'Predicted PPIs'!DI27*('Summary, hourly ad costs'!P28/'Summary, hourly ad costs'!AF28)/('Summary, hourly ad costs'!P27/'Summary, hourly ad costs'!AF27)/(1-CS27)), 'Summary, PPI''s'!AF28))</f>
        <v>64.13812230215828</v>
      </c>
      <c r="DK28" s="4">
        <v>51.338999999999999</v>
      </c>
      <c r="DM28" s="5">
        <f t="shared" si="65"/>
        <v>-3.9636984201620873E-3</v>
      </c>
      <c r="DN28" s="5">
        <f t="shared" si="66"/>
        <v>-3.9636984201620873E-3</v>
      </c>
      <c r="DO28" s="5">
        <f t="shared" si="67"/>
        <v>-9.0030604638972056E-3</v>
      </c>
      <c r="DP28" s="5">
        <f t="shared" si="68"/>
        <v>2.5185150344407603E-2</v>
      </c>
      <c r="DQ28" s="5">
        <f t="shared" si="69"/>
        <v>-5.8395289301623743E-3</v>
      </c>
      <c r="DR28" s="5">
        <f t="shared" si="70"/>
        <v>-7.4373737157436004E-3</v>
      </c>
      <c r="DS28" s="5">
        <f t="shared" si="71"/>
        <v>-2.4128003062203751E-3</v>
      </c>
      <c r="DT28" s="5">
        <f t="shared" si="72"/>
        <v>2.0953306698132224E-2</v>
      </c>
      <c r="DU28" s="5">
        <f t="shared" si="73"/>
        <v>2.3024222562979535E-2</v>
      </c>
      <c r="DV28" s="5">
        <f t="shared" si="74"/>
        <v>-3.3275213998632536E-3</v>
      </c>
      <c r="DW28" s="4">
        <f t="shared" si="78"/>
        <v>-0.11190015560091862</v>
      </c>
      <c r="DX28" s="4">
        <f t="shared" si="78"/>
        <v>3.1725177373831681E-2</v>
      </c>
      <c r="DY28" s="5">
        <f t="shared" si="75"/>
        <v>2.4159514112528369E-2</v>
      </c>
      <c r="DZ28" s="5">
        <f t="shared" si="76"/>
        <v>-2.0919917761254014E-3</v>
      </c>
      <c r="EA28" s="5">
        <f t="shared" si="77"/>
        <v>-2.1425277218922734E-4</v>
      </c>
      <c r="EC28" s="1">
        <f t="shared" si="35"/>
        <v>92.542011202987467</v>
      </c>
      <c r="ED28" s="1">
        <f t="shared" si="36"/>
        <v>92.542011202987467</v>
      </c>
      <c r="EE28" s="1">
        <f t="shared" si="37"/>
        <v>78.275532289726684</v>
      </c>
      <c r="EF28" s="1">
        <f t="shared" si="38"/>
        <v>58.660151457460735</v>
      </c>
      <c r="EG28" s="1">
        <f t="shared" si="39"/>
        <v>53.787223526504377</v>
      </c>
      <c r="EH28" s="1">
        <f t="shared" si="40"/>
        <v>60.7864410755652</v>
      </c>
      <c r="EI28" s="1">
        <f t="shared" si="41"/>
        <v>57.433</v>
      </c>
      <c r="EJ28" s="1">
        <f t="shared" si="42"/>
        <v>72.974033668048108</v>
      </c>
      <c r="EK28" s="1">
        <f t="shared" si="43"/>
        <v>73.623279517546194</v>
      </c>
      <c r="EL28" s="1">
        <f t="shared" si="44"/>
        <v>48.348754726868549</v>
      </c>
      <c r="EM28" s="1">
        <f t="shared" si="45"/>
        <v>226.10515975416862</v>
      </c>
      <c r="EN28" s="1">
        <f t="shared" si="46"/>
        <v>94.263335098120109</v>
      </c>
      <c r="EO28" s="1">
        <f t="shared" si="47"/>
        <v>77.018938927540773</v>
      </c>
      <c r="EP28" s="1">
        <f t="shared" si="48"/>
        <v>55.489858546617917</v>
      </c>
      <c r="EQ28" s="1">
        <f t="shared" si="49"/>
        <v>64.13812230215828</v>
      </c>
      <c r="ES28" s="1">
        <f>IF(EF$26=".", 0, 'Summary, PPI''s'!E28)+IF(EG$26=".", 0, 'Summary, PPI''s'!F28)+IF(EH$26=".", 0, 'Summary, PPI''s'!G28)+IF(EI$26=".", 0, 'Summary, PPI''s'!H28)+IF(EJ$26=".", 0, 'Summary, PPI''s'!I28)+IF(EK$26=".", 0, 'Summary, PPI''s'!J28)+IF(EL$26=".", 0, 'Summary, PPI''s'!K28)+IF(EM$26=".", 0, 'Summary, PPI''s'!L28)+IF(EN$26=".", 0, 'Summary, PPI''s'!M28)+IF(EC$26=".", 0, 'Summary, PPI''s'!B28)+IF(ED$26=".", 0, 'Summary, PPI''s'!C28)+IF(EE$26=".", 0, 'Summary, PPI''s'!D28)+IF(EO$26=".", 0, 'Summary, PPI''s'!N28)+IF(EP$26=".", 0, 'Summary, PPI''s'!O28)+IF(EQ$26=".", 0, 'Summary, PPI''s'!P28)</f>
        <v>170051069.81009248</v>
      </c>
      <c r="ET28" s="1">
        <f>'Summary, hourly ad costs'!E28+'Summary, hourly ad costs'!F28+'Summary, hourly ad costs'!H28+'Summary, hourly ad costs'!I28+'Summary, hourly ad costs'!J28+'Summary, hourly ad costs'!K28+'Summary, hourly ad costs'!L28+'Summary, hourly ad costs'!M28+'Summary, hourly ad costs'!B28</f>
        <v>85288828.069466501</v>
      </c>
      <c r="EV28" s="13">
        <f>EV27*IF(EF$26=".", 1, (EF28/EF27)^(('Summary, PPI''s'!$E28+'Summary, PPI''s'!$E27)/('Predicted PPIs'!ES28+'Predicted PPIs'!ES27)))*IF(EG$26=".", 1, (EG28/EG27)^(('Summary, PPI''s'!$F28+'Summary, PPI''s'!$F27)/('Predicted PPIs'!ES28+'Predicted PPIs'!ES27)))*IF(EH$26=".", 1, (EH28/EH27)^(('Summary, PPI''s'!$G28+'Summary, PPI''s'!$G27)/('Predicted PPIs'!ES28+'Predicted PPIs'!ES27)))*IF(EI$26=".", 1, (EI28/EI27)^(('Summary, PPI''s'!$H28+'Summary, PPI''s'!$H27)/('Predicted PPIs'!ES28+'Predicted PPIs'!ES27)))*IF(EJ$26=".", 1, (EJ28/EJ27)^(('Summary, PPI''s'!$I28+'Summary, PPI''s'!$I27)/('Predicted PPIs'!ES28+'Predicted PPIs'!ES27)))*IF(EK$26=".", 1, (EK28/EK27)^(('Summary, PPI''s'!$J28+'Summary, PPI''s'!$J27)/('Predicted PPIs'!ES28+'Predicted PPIs'!ES27)))*IF(EL$26=".", 1, (EL28/EL27)^(('Summary, PPI''s'!$K28+'Summary, PPI''s'!$K27)/('Predicted PPIs'!ES28+'Predicted PPIs'!ES27)))*IF(EM$26=".", 1, (EM28/EM27)^(('Summary, PPI''s'!$L28+'Summary, PPI''s'!$L27)/('Predicted PPIs'!ES28+'Predicted PPIs'!ES27)))*IF(EN$26=".", 1, (EN28/EN27)^(('Summary, PPI''s'!$M28+'Summary, PPI''s'!$M27)/('Predicted PPIs'!ES28+'Predicted PPIs'!ES27)))*IF(EC$26=".", 1, (EC28/EC27)^(('Summary, PPI''s'!$B28+'Summary, PPI''s'!$B27)/('Predicted PPIs'!ES28+'Predicted PPIs'!ES27)))*IF(ED$26=".", 1, (ED28/ED27)^(('Summary, PPI''s'!$C28+'Summary, PPI''s'!$C27)/('Predicted PPIs'!ES28+'Predicted PPIs'!ES27)))*IF(EE$26=".", 1, (EE28/EE27)^(('Summary, PPI''s'!$D28+'Summary, PPI''s'!$D27)/('Predicted PPIs'!ES28+'Predicted PPIs'!ES27)))*IF(EO$26=".", 1, (EO28/EO27)^(('Summary, PPI''s'!$N28+'Summary, PPI''s'!$N27)/('Predicted PPIs'!ES28+'Predicted PPIs'!ES27)))*IF(EP$26=".", 1, (EP28/EP27)^(('Summary, PPI''s'!$O28+'Summary, PPI''s'!$O27)/('Predicted PPIs'!ES28+'Predicted PPIs'!ES27)))*IF(EQ$26=".", 1, (EQ28/EQ27)^(('Summary, PPI''s'!$P28+'Summary, PPI''s'!$P27)/('Predicted PPIs'!ES28+'Predicted PPIs'!ES27)))</f>
        <v>78.372041297129456</v>
      </c>
      <c r="EW28" s="13">
        <f>EW27*IF(EF$26=".", 1, (EF28/EF27)^(('Summary, PPI''s'!$E28+'Summary, PPI''s'!$E27)/('Predicted PPIs'!ET28+'Predicted PPIs'!ET27)))*IF(EG$26=".", 1, (EG28/EG27)^(('Summary, PPI''s'!$F28+'Summary, PPI''s'!$F27)/('Predicted PPIs'!ET28+'Predicted PPIs'!ET27)))*IF(EH$26=".", 1, (EH28/EH27)^(('Summary, PPI''s'!$G28+'Summary, PPI''s'!$G27)/('Predicted PPIs'!ET28+'Predicted PPIs'!ET27)))*IF(EK$26=".", 1, (EK28/EK27)^(('Summary, PPI''s'!$J28+'Summary, PPI''s'!$J27)/('Predicted PPIs'!ET28+'Predicted PPIs'!ET27)))*IF(EL$26=".", 1, (EL28/EL27)^(('Summary, PPI''s'!$K28+'Summary, PPI''s'!$K27)/('Predicted PPIs'!ET28+'Predicted PPIs'!ET27)))*IF(EM$26=".", 1, (EM28/EM27)^(('Summary, PPI''s'!$L28+'Summary, PPI''s'!$L27)/('Predicted PPIs'!ET28+'Predicted PPIs'!ET27)))*IF(EN$26=".", 1, (EN28/EN27)^(('Summary, PPI''s'!$M28+'Summary, PPI''s'!$M27)/('Predicted PPIs'!ET28+'Predicted PPIs'!ET27)))*IF(EC$26=".", 1, (EC28/EC27)^(('Summary, PPI''s'!$B28+'Summary, PPI''s'!$B27)/('Predicted PPIs'!ET28+'Predicted PPIs'!ET27)))</f>
        <v>84.188619498372347</v>
      </c>
      <c r="EY28" s="2"/>
    </row>
    <row r="29" spans="1:155" x14ac:dyDescent="0.3">
      <c r="A29" s="4">
        <v>1994</v>
      </c>
      <c r="B29" s="10">
        <f>IF(B28=".", ".", IF('Summary, PPI''s'!R29=".",IF(OR('Summary, hourly ad costs'!R29=-9999,'Summary, hourly ad costs'!R29=0), ".", 'Predicted PPIs'!B28*('Summary, hourly ad costs'!B29/'Summary, hourly ad costs'!R29)/('Summary, hourly ad costs'!B28/'Summary, hourly ad costs'!R28)), 'Summary, PPI''s'!R29))</f>
        <v>89.527874099759927</v>
      </c>
      <c r="C29" s="10">
        <f>IF(C28=".", ".", IF('Summary, PPI''s'!S29=".",IF(OR('Summary, hourly ad costs'!S29=-9999,'Summary, hourly ad costs'!S29=0), ".", 'Predicted PPIs'!C28*('Summary, hourly ad costs'!C29/'Summary, hourly ad costs'!S29)/('Summary, hourly ad costs'!C28/'Summary, hourly ad costs'!S28)), 'Summary, PPI''s'!S29))</f>
        <v>89.527874099759927</v>
      </c>
      <c r="D29" s="10">
        <f>IF(D28=".", ".", IF('Summary, PPI''s'!T29=".",IF(OR('Summary, hourly ad costs'!T29=-9999,'Summary, hourly ad costs'!T29=0), ".", 'Predicted PPIs'!D28*('Summary, hourly ad costs'!D29/'Summary, hourly ad costs'!T29)/('Summary, hourly ad costs'!D28/'Summary, hourly ad costs'!T28)), 'Summary, PPI''s'!T29))</f>
        <v>76.111139074847756</v>
      </c>
      <c r="E29" s="10">
        <f>IF(E28=".", ".", IF('Summary, PPI''s'!U29=".",IF(OR('Summary, hourly ad costs'!U29=-9999,'Summary, hourly ad costs'!U29=0), ".", 'Predicted PPIs'!E28*('Summary, hourly ad costs'!E29/'Summary, hourly ad costs'!U29)/('Summary, hourly ad costs'!E28/'Summary, hourly ad costs'!U28)), 'Summary, PPI''s'!U29))</f>
        <v>55.136015568811608</v>
      </c>
      <c r="F29" s="10">
        <f>IF(F28=".", ".", IF('Summary, PPI''s'!V29=".",IF(OR('Summary, hourly ad costs'!V29=-9999,'Summary, hourly ad costs'!V29=0), ".", 'Predicted PPIs'!F28*('Summary, hourly ad costs'!F29/'Summary, hourly ad costs'!V29)/('Summary, hourly ad costs'!F28/'Summary, hourly ad costs'!V28)), 'Summary, PPI''s'!V29))</f>
        <v>52.133531035050865</v>
      </c>
      <c r="G29" s="10">
        <f>IF(G28=".", ".", IF('Summary, PPI''s'!W29=".",IF(OR('Summary, hourly ad costs'!W29=-9999,'Summary, hourly ad costs'!W29=0), ".", 'Predicted PPIs'!G28*('Summary, hourly ad costs'!G29/'Summary, hourly ad costs'!W29)/('Summary, hourly ad costs'!G28/'Summary, hourly ad costs'!W28)), 'Summary, PPI''s'!W29))</f>
        <v>59.012403600856238</v>
      </c>
      <c r="H29" s="10">
        <f>IF(H28=".", ".", IF('Summary, PPI''s'!X29=".",IF(OR('Summary, hourly ad costs'!X29=-9999,'Summary, hourly ad costs'!X29=0), ".", 'Predicted PPIs'!H28*('Summary, hourly ad costs'!H29/'Summary, hourly ad costs'!X29)/('Summary, hourly ad costs'!H28/'Summary, hourly ad costs'!X28)), 'Summary, PPI''s'!X29))</f>
        <v>55.475999999999999</v>
      </c>
      <c r="I29" s="10">
        <f>IF(I28=".", ".", IF('Summary, PPI''s'!Y29=".",IF(OR('Summary, hourly ad costs'!Y29=-9999,'Summary, hourly ad costs'!Y29=0), ".", 'Predicted PPIs'!I28*('Summary, hourly ad costs'!I29/'Summary, hourly ad costs'!Y29)/('Summary, hourly ad costs'!I28/'Summary, hourly ad costs'!Y28)), 'Summary, PPI''s'!Y29))</f>
        <v>68.874265105652384</v>
      </c>
      <c r="J29" s="10">
        <f>IF(J28=".", ".", IF('Summary, PPI''s'!Z29=".",IF(OR('Summary, hourly ad costs'!Z29=-9999,'Summary, hourly ad costs'!Z29=0), ".", 'Predicted PPIs'!J28*('Summary, hourly ad costs'!J29/'Summary, hourly ad costs'!Z29)/('Summary, hourly ad costs'!J28/'Summary, hourly ad costs'!Z28)), 'Summary, PPI''s'!Z29))</f>
        <v>69.346372401407081</v>
      </c>
      <c r="K29" s="10">
        <f>IF(K28=".", ".", IF('Summary, PPI''s'!AA29=".",IF(OR('Summary, hourly ad costs'!AA29=-9999,'Summary, hourly ad costs'!AA29=0), ".", 'Predicted PPIs'!K28*('Summary, hourly ad costs'!K29/'Summary, hourly ad costs'!AA29)/('Summary, hourly ad costs'!K28/'Summary, hourly ad costs'!AA28)), 'Summary, PPI''s'!AA29))</f>
        <v>46.744157004586327</v>
      </c>
      <c r="L29" s="10" t="str">
        <f>IF(L28=".", ".", IF('Summary, PPI''s'!AB29=".",IF(OR('Summary, hourly ad costs'!AB29=-9999,'Summary, hourly ad costs'!AB29=0), ".", 'Predicted PPIs'!L28*('Summary, hourly ad costs'!L29/'Summary, hourly ad costs'!AB29)/('Summary, hourly ad costs'!L28/'Summary, hourly ad costs'!AB28)), 'Summary, PPI''s'!AB29))</f>
        <v>.</v>
      </c>
      <c r="M29" s="10" t="str">
        <f>IF(M28=".", ".", IF('Summary, PPI''s'!AC29=".",IF(OR('Summary, hourly ad costs'!AC29=-9999,'Summary, hourly ad costs'!AC29=0), ".", 'Predicted PPIs'!M28*('Summary, hourly ad costs'!M29/'Summary, hourly ad costs'!AC29)/('Summary, hourly ad costs'!M28/'Summary, hourly ad costs'!AC28)), 'Summary, PPI''s'!AC29))</f>
        <v>.</v>
      </c>
      <c r="N29" s="10">
        <f>IF(N28=".", ".", IF('Summary, PPI''s'!AD29=".",IF(OR('Summary, hourly ad costs'!AD29=-9999,'Summary, hourly ad costs'!AD29=0), ".", 'Predicted PPIs'!N28*('Summary, hourly ad costs'!N29/'Summary, hourly ad costs'!AD29)/('Summary, hourly ad costs'!N28/'Summary, hourly ad costs'!AD28)), 'Summary, PPI''s'!AD29))</f>
        <v>72.464355283503238</v>
      </c>
      <c r="O29" s="10">
        <f>IF(O28=".", ".", IF('Summary, PPI''s'!AE29=".",IF(OR('Summary, hourly ad costs'!AE29=-9999,'Summary, hourly ad costs'!AE29=0), ".", 'Predicted PPIs'!O28*('Summary, hourly ad costs'!O29/'Summary, hourly ad costs'!AE29)/('Summary, hourly ad costs'!O28/'Summary, hourly ad costs'!AE28)), 'Summary, PPI''s'!AE29))</f>
        <v>53.581839008226687</v>
      </c>
      <c r="P29" s="10">
        <f>IF(P28=".", ".", IF('Summary, PPI''s'!AF29=".",IF(OR('Summary, hourly ad costs'!AF29=-9999,'Summary, hourly ad costs'!AF29=0), ".", 'Predicted PPIs'!P28*('Summary, hourly ad costs'!P29/'Summary, hourly ad costs'!AF29)/('Summary, hourly ad costs'!P28/'Summary, hourly ad costs'!AF28)), 'Summary, PPI''s'!AF29))</f>
        <v>61.816413669064758</v>
      </c>
      <c r="R29" s="1">
        <f>IF(E$26=".", 0, 'Summary, PPI''s'!E29)+IF(F$26=".", 0, 'Summary, PPI''s'!F29)+IF(G$26=".", 0, 'Summary, PPI''s'!G29)+IF(H$26=".", 0, 'Summary, PPI''s'!H29)+IF(I$26=".", 0, 'Summary, PPI''s'!I29)+IF(J$26=".", 0, 'Summary, PPI''s'!J29)+IF(K$26=".", 0, 'Summary, PPI''s'!K29)+IF(L$26=".", 0, 'Summary, PPI''s'!L29)+IF(M$26=".", 0, 'Summary, PPI''s'!M29)+IF(B$26=".", 0, 'Summary, PPI''s'!B29)+IF(C$26=".", 0, 'Summary, PPI''s'!C29)+IF(D$26=".", 0, 'Summary, PPI''s'!D29)+IF(N$26=".", 0, 'Summary, PPI''s'!N29)+IF(O$26=".", 0, 'Summary, PPI''s'!O29)+IF(P$26=".", 0, 'Summary, PPI''s'!P29)</f>
        <v>156235880.08933851</v>
      </c>
      <c r="S29" s="1">
        <f>IF(E$36=".", 0, 'Summary, PPI''s'!E29)+IF(F$36=".", 0, 'Summary, PPI''s'!F29)+IF(G$36=".", 0, 'Summary, PPI''s'!G29)+IF(H$36=".", 0, 'Summary, PPI''s'!H29)+IF(I$36=".", 0, 'Summary, PPI''s'!I29)+IF(J$36=".", 0, 'Summary, PPI''s'!J29)+IF(K$36=".", 0, 'Summary, PPI''s'!K29)+IF(L$36=".", 0, 'Summary, PPI''s'!L29)+IF(M$36=".", 0, 'Summary, PPI''s'!M29)+IF(B$36=".", 0, 'Summary, PPI''s'!B29)+IF(C$36=".", 0, 'Summary, PPI''s'!C29)+IF(D$36=".", 0, 'Summary, PPI''s'!D29)+IF(N$36=".", 0, 'Summary, PPI''s'!N29)+IF(O$36=".", 0, 'Summary, PPI''s'!O29)+IF(P$36=".", 0, 'Summary, PPI''s'!P29)</f>
        <v>156235880.08933851</v>
      </c>
      <c r="T29" s="1">
        <f>IF(E$46=".", 0, 'Summary, PPI''s'!E29)+IF(F$46=".", 0, 'Summary, PPI''s'!F29)+IF(G$46=".", 0, 'Summary, PPI''s'!G29)+IF(H$46=".", 0, 'Summary, PPI''s'!H29)+IF(I$46=".", 0, 'Summary, PPI''s'!I29)+IF(J$46=".", 0, 'Summary, PPI''s'!J29)+IF(K$46=".", 0, 'Summary, PPI''s'!K29)+IF(L$46=".", 0, 'Summary, PPI''s'!L29)+IF(M$46=".", 0, 'Summary, PPI''s'!M29)+IF(B$46=".", 0, 'Summary, PPI''s'!B29)+IF(C$46=".", 0, 'Summary, PPI''s'!C29)+IF(D$46=".", 0, 'Summary, PPI''s'!D29)+IF(N$46=".", 0, 'Summary, PPI''s'!N29)+IF(O$46=".", 0, 'Summary, PPI''s'!O29)+IF(P$46=".", 0, 'Summary, PPI''s'!P29)</f>
        <v>109499918.45651609</v>
      </c>
      <c r="U29" s="1">
        <f>IF(E$60=".", 0, 'Summary, PPI''s'!E29)+IF(F$60=".", 0, 'Summary, PPI''s'!F29)+IF(G$60=".", 0, 'Summary, PPI''s'!G29)+IF(H$60=".", 0, 'Summary, PPI''s'!H29)+IF(I$60=".", 0, 'Summary, PPI''s'!I29)+IF(J$60=".", 0, 'Summary, PPI''s'!J29)+IF(K$60=".", 0, 'Summary, PPI''s'!K29)+IF(L$60=".", 0, 'Summary, PPI''s'!L29)+IF(M$60=".", 0, 'Summary, PPI''s'!M29)+IF(B$60=".", 0, 'Summary, PPI''s'!B29)+IF(C$60=".", 0, 'Summary, PPI''s'!C29)+IF(D$60=".", 0, 'Summary, PPI''s'!D29)+IF(N$60=".", 0, 'Summary, PPI''s'!N29)+IF(O$60=".", 0, 'Summary, PPI''s'!O29)+IF(P$60=".", 0, 'Summary, PPI''s'!P29)</f>
        <v>94595137.00912033</v>
      </c>
      <c r="V29" s="1">
        <f>IF(E$73=".", 0, 'Summary, PPI''s'!E29)+IF(F$73=".", 0, 'Summary, PPI''s'!F29)+IF(G$73=".", 0, 'Summary, PPI''s'!G29)+IF(H$73=".", 0, 'Summary, PPI''s'!H29)+IF(I$73=".", 0, 'Summary, PPI''s'!I29)+IF(J$73=".", 0, 'Summary, PPI''s'!J29)+IF(K$73=".", 0, 'Summary, PPI''s'!K29)+IF(L$73=".", 0, 'Summary, PPI''s'!L29)+IF(M$73=".", 0, 'Summary, PPI''s'!M29)+IF(B$73=".", 0, 'Summary, PPI''s'!B29)+IF(C$73=".", 0, 'Summary, PPI''s'!C29)+IF(D$73=".", 0, 'Summary, PPI''s'!D29)+IF(N$73=".", 0, 'Summary, PPI''s'!N29)+IF(O$73=".", 0, 'Summary, PPI''s'!O29)+IF(P$73=".", 0, 'Summary, PPI''s'!P29)</f>
        <v>72838095.791627228</v>
      </c>
      <c r="W29" s="1">
        <f>IF(E$94=".",0,'Summary, PPI''s'!E29)+IF(F$94=".",0,'Summary, PPI''s'!F29)+IF(G$94=".",0,'Summary, PPI''s'!G29)+IF(H$94=".",0,'Summary, PPI''s'!H29)+IF(I$94=".",0,'Summary, PPI''s'!I29)+IF(J$94=".",0,'Summary, PPI''s'!J29)+IF(K$94=".",0,'Summary, PPI''s'!K29)+IF(L$94=".",0,'Summary, PPI''s'!L29)+IF(M$94=".",0,'Summary, PPI''s'!M29)+IF(B$94=".",0,'Summary, PPI''s'!B29)+IF(C$94=".",0,'Summary, PPI''s'!C29)+IF(D$94=".",0,'Summary, PPI''s'!D29)+IF(N$94=".",0,'Summary, PPI''s'!N29)+IF(O$94=".",0,'Summary, PPI''s'!O29)+IF(P$94=".",0,'Summary, PPI''s'!P29)</f>
        <v>52999304.121708378</v>
      </c>
      <c r="X29" s="1">
        <f>IF(E$123=".", 0, 'Summary, PPI''s'!E29)+IF(F$123=".", 0, 'Summary, PPI''s'!F29)+IF(G$123=".", 0, 'Summary, PPI''s'!G29)+IF(H$123=".", 0, 'Summary, PPI''s'!H29)+IF(I$123=".", 0, 'Summary, PPI''s'!I29)+IF(J$123=".", 0, 'Summary, PPI''s'!J29)+IF(K$123=".", 0, 'Summary, PPI''s'!K29)+IF(L$123=".", 0, 'Summary, PPI''s'!L29)+IF(M$123=".", 0, 'Summary, PPI''s'!M29)+IF(B$123=".", 0, 'Summary, PPI''s'!B29)+IF(C$123=".", 0, 'Summary, PPI''s'!C29)+IF(D$123=".", 0, 'Summary, PPI''s'!D29)+IF(N$123=".", 0, 'Summary, PPI''s'!N29)+IF(O$123=".", 0, 'Summary, PPI''s'!O29)+IF(P$123=".", 0, 'Summary, PPI''s'!P29)</f>
        <v>45439038.917848334</v>
      </c>
      <c r="Z29" s="4" t="e">
        <f>Z28*IF(E$26=".", 1, (E29/E28)^(('Summary, PPI''s'!$E29+'Summary, PPI''s'!$E28)/('Predicted PPIs'!R29+'Predicted PPIs'!R28)))*IF(F$26=".", 1, (F29/F28)^(('Summary, PPI''s'!$F29+'Summary, PPI''s'!$F28)/('Predicted PPIs'!R29+'Predicted PPIs'!R28)))*IF(G$26=".", 1, (G29/G28)^(('Summary, PPI''s'!$G29+'Summary, PPI''s'!$G28)/('Predicted PPIs'!R29+'Predicted PPIs'!R28)))*IF(H$26=".", 1, (H29/H28)^(('Summary, PPI''s'!$H29+'Summary, PPI''s'!$H28)/('Predicted PPIs'!R29+'Predicted PPIs'!R28)))*IF(I$26=".", 1, (I29/I28)^(('Summary, PPI''s'!$I29+'Summary, PPI''s'!$I28)/('Predicted PPIs'!R29+'Predicted PPIs'!R28)))*IF(J$26=".", 1, (J29/J28)^(('Summary, PPI''s'!$J29+'Summary, PPI''s'!$J28)/('Predicted PPIs'!R29+'Predicted PPIs'!R28)))*IF(K$26=".", 1, (K29/K28)^(('Summary, PPI''s'!$K29+'Summary, PPI''s'!$K28)/('Predicted PPIs'!R29+'Predicted PPIs'!R28)))*IF(L$26=".", 1, (L29/L28)^(('Summary, PPI''s'!$L29+'Summary, PPI''s'!$L28)/('Predicted PPIs'!R29+'Predicted PPIs'!R28)))*IF(M$26=".", 1, (M29/M28)^(('Summary, PPI''s'!$M29+'Summary, PPI''s'!$M28)/('Predicted PPIs'!R29+'Predicted PPIs'!R28)))*IF(B$26=".", 1, (B29/B28)^(('Summary, PPI''s'!$B29+'Summary, PPI''s'!$B28)/('Predicted PPIs'!R29+'Predicted PPIs'!R28)))*IF(C$26=".", 1, (C29/C28)^(('Summary, PPI''s'!$C29+'Summary, PPI''s'!$C28)/('Predicted PPIs'!R29+'Predicted PPIs'!R28)))*IF(D$26=".", 1, (D29/D28)^(('Summary, PPI''s'!$D29+'Summary, PPI''s'!$D28)/('Predicted PPIs'!R29+'Predicted PPIs'!R28)))*IF(N$26=".", 1, (N29/N28)^(('Summary, PPI''s'!$N29+'Summary, PPI''s'!$N28)/('Predicted PPIs'!R29+'Predicted PPIs'!R28)))*IF(O$26=".", 1, (O29/O28)^(('Summary, PPI''s'!$O29+'Summary, PPI''s'!$O28)/('Predicted PPIs'!R29+'Predicted PPIs'!R28)))*IF(P$26=".", 1, (P29/P28)^(('Summary, PPI''s'!$P29+'Summary, PPI''s'!$P28)/('Predicted PPIs'!R29+'Predicted PPIs'!R28)))</f>
        <v>#VALUE!</v>
      </c>
      <c r="AA29" s="4">
        <f>AA28*IF(E$36=".", 1, (E29/E28)^(('Summary, PPI''s'!$E29+'Summary, PPI''s'!$E28)/('Predicted PPIs'!S29+'Predicted PPIs'!S28)))*IF(F$36=".", 1, (F29/F28)^(('Summary, PPI''s'!$F29+'Summary, PPI''s'!$F28)/('Predicted PPIs'!S29+'Predicted PPIs'!S28)))*IF(G$36=".", 1, (G29/G28)^(('Summary, PPI''s'!$G29+'Summary, PPI''s'!$G28)/('Predicted PPIs'!S29+'Predicted PPIs'!S28)))*IF(H$36=".", 1, (H29/H28)^(('Summary, PPI''s'!$H29+'Summary, PPI''s'!$H28)/('Predicted PPIs'!S29+'Predicted PPIs'!S28)))*IF(I$36=".", 1, (I29/I28)^(('Summary, PPI''s'!$I29+'Summary, PPI''s'!$I28)/('Predicted PPIs'!S29+'Predicted PPIs'!S28)))*IF(J$36=".", 1, (J29/J28)^(('Summary, PPI''s'!$J29+'Summary, PPI''s'!$J28)/('Predicted PPIs'!S29+'Predicted PPIs'!S28)))*IF(K$36=".", 1, (K29/K28)^(('Summary, PPI''s'!$K29+'Summary, PPI''s'!$K28)/('Predicted PPIs'!S29+'Predicted PPIs'!S28)))*IF(L$36=".", 1, (L29/L28)^(('Summary, PPI''s'!$L29+'Summary, PPI''s'!$L28)/('Predicted PPIs'!S29+'Predicted PPIs'!S28)))*IF(M$36=".", 1, (M29/M28)^(('Summary, PPI''s'!$M29+'Summary, PPI''s'!$M28)/('Predicted PPIs'!S29+'Predicted PPIs'!S28)))*IF(B$36=".", 1, (B29/B28)^(('Summary, PPI''s'!$B29+'Summary, PPI''s'!$B28)/('Predicted PPIs'!S29+'Predicted PPIs'!S28)))*IF(C$36=".", 1, (C29/C28)^(('Summary, PPI''s'!$C29+'Summary, PPI''s'!$C28)/('Predicted PPIs'!S29+'Predicted PPIs'!S28)))*IF(D$36=".", 1, (D29/D28)^(('Summary, PPI''s'!$D29+'Summary, PPI''s'!$D28)/('Predicted PPIs'!S29+'Predicted PPIs'!S28)))*IF(N$36=".", 1, (N29/N28)^(('Summary, PPI''s'!$N29+'Summary, PPI''s'!$N28)/('Predicted PPIs'!S29+'Predicted PPIs'!S28)))*IF(O$36=".", 1, (O29/O28)^(('Summary, PPI''s'!$O29+'Summary, PPI''s'!$O28)/('Predicted PPIs'!S29+'Predicted PPIs'!S28)))*IF(P$36=".", 1, (P29/P28)^(('Summary, PPI''s'!$P29+'Summary, PPI''s'!$P28)/('Predicted PPIs'!S29+'Predicted PPIs'!S28)))</f>
        <v>62.631721210828246</v>
      </c>
      <c r="AB29" s="4">
        <f>AB28*IF(E$46=".", 1, (E29/E28)^(('Summary, PPI''s'!$E29+'Summary, PPI''s'!$E28)/('Predicted PPIs'!T29+'Predicted PPIs'!T28)))*IF(F$46=".", 1, (F29/F28)^(('Summary, PPI''s'!$F29+'Summary, PPI''s'!$F28)/('Predicted PPIs'!T29+'Predicted PPIs'!T28)))*IF(G$46=".", 1, (G29/G28)^(('Summary, PPI''s'!$G29+'Summary, PPI''s'!$G28)/('Predicted PPIs'!T29+'Predicted PPIs'!T28)))*IF(H$46=".", 1, (H29/H28)^(('Summary, PPI''s'!$H29+'Summary, PPI''s'!$H28)/('Predicted PPIs'!T29+'Predicted PPIs'!T28)))*IF(I$46=".", 1, (I29/I28)^(('Summary, PPI''s'!$I29+'Summary, PPI''s'!$I28)/('Predicted PPIs'!T29+'Predicted PPIs'!T28)))*IF(J$46=".", 1, (J29/J28)^(('Summary, PPI''s'!$J29+'Summary, PPI''s'!$J28)/('Predicted PPIs'!T29+'Predicted PPIs'!T28)))*IF(K$46=".", 1, (K29/K28)^(('Summary, PPI''s'!$K29+'Summary, PPI''s'!$K28)/('Predicted PPIs'!T29+'Predicted PPIs'!T28)))*IF(L$46=".", 1, (L29/L28)^(('Summary, PPI''s'!$L29+'Summary, PPI''s'!$L28)/('Predicted PPIs'!T29+'Predicted PPIs'!T28)))*IF(M$46=".", 1, (M29/M28)^(('Summary, PPI''s'!$M29+'Summary, PPI''s'!$M28)/('Predicted PPIs'!T29+'Predicted PPIs'!T28)))*IF(B$46=".", 1, (B29/B28)^(('Summary, PPI''s'!$B29+'Summary, PPI''s'!$B28)/('Predicted PPIs'!T29+'Predicted PPIs'!T28)))*IF(C$46=".", 1, (C29/C28)^(('Summary, PPI''s'!$C29+'Summary, PPI''s'!$C28)/('Predicted PPIs'!T29+'Predicted PPIs'!T28)))*IF(D$46=".", 1, (D29/D28)^(('Summary, PPI''s'!$D29+'Summary, PPI''s'!$D28)/('Predicted PPIs'!T29+'Predicted PPIs'!T28)))*IF(N$46=".", 1, (N29/N28)^(('Summary, PPI''s'!$N29+'Summary, PPI''s'!$N28)/('Predicted PPIs'!T29+'Predicted PPIs'!T28)))*IF(O$46=".", 1, (O29/O28)^(('Summary, PPI''s'!$O29+'Summary, PPI''s'!$O28)/('Predicted PPIs'!T29+'Predicted PPIs'!T28)))*IF(P$46=".", 1, (P29/P28)^(('Summary, PPI''s'!$P29+'Summary, PPI''s'!$P28)/('Predicted PPIs'!T29+'Predicted PPIs'!T28)))</f>
        <v>60.577994132391019</v>
      </c>
      <c r="AC29" s="4">
        <f>AC28*IF(E$60=".",1,(E29/E28)^(('Summary, PPI''s'!$E29+'Summary, PPI''s'!$E28)/('Predicted PPIs'!U29+'Predicted PPIs'!U28)))*IF(F$60=".",1,(F29/F28)^(('Summary, PPI''s'!$F29+'Summary, PPI''s'!$F28)/('Predicted PPIs'!U29+'Predicted PPIs'!U28)))*IF(G$60=".",1,(G29/G28)^(('Summary, PPI''s'!$G29+'Summary, PPI''s'!$G28)/('Predicted PPIs'!U29+'Predicted PPIs'!U28)))*IF(H$60=".",1,(H29/H28)^(('Summary, PPI''s'!$H29+'Summary, PPI''s'!$H28)/('Predicted PPIs'!U29+'Predicted PPIs'!U28)))*IF(I$60=".",1,(I29/I28)^(('Summary, PPI''s'!$I29+'Summary, PPI''s'!$I28)/('Predicted PPIs'!U29+'Predicted PPIs'!U28)))*IF(J$60=".",1,(J29/J28)^(('Summary, PPI''s'!$J29+'Summary, PPI''s'!$J28)/('Predicted PPIs'!U29+'Predicted PPIs'!U28)))*IF(K$60=".",1,(K29/K28)^(('Summary, PPI''s'!$K29+'Summary, PPI''s'!$K28)/('Predicted PPIs'!U29+'Predicted PPIs'!U28)))*IF(L$60=".",1,(L29/L28)^(('Summary, PPI''s'!$L29+'Summary, PPI''s'!$L28)/('Predicted PPIs'!U29+'Predicted PPIs'!U28)))*IF(M$60=".",1,(M29/M28)^(('Summary, PPI''s'!$M29+'Summary, PPI''s'!$M28)/('Predicted PPIs'!U29+'Predicted PPIs'!U28)))*IF(B$60=".",1,(B29/B28)^(('Summary, PPI''s'!$B29+'Summary, PPI''s'!$B28)/('Predicted PPIs'!U29+'Predicted PPIs'!U28)))*IF(C$60=".",1,(C29/C28)^(('Summary, PPI''s'!$C29+'Summary, PPI''s'!$C28)/('Predicted PPIs'!U29+'Predicted PPIs'!U28)))*IF(D$60=".",1,(D29/D28)^(('Summary, PPI''s'!$D29+'Summary, PPI''s'!$D28)/('Predicted PPIs'!U29+'Predicted PPIs'!U28)))*IF(N$60=".",1,(N29/N28)^(('Summary, PPI''s'!$N29+'Summary, PPI''s'!$N28)/('Predicted PPIs'!U29+'Predicted PPIs'!U28)))*IF(O$60=".",1,(O29/O28)^(('Summary, PPI''s'!$O29+'Summary, PPI''s'!$O28)/('Predicted PPIs'!U29+'Predicted PPIs'!U28)))*IF(P$60=".",1,(P29/P28)^(('Summary, PPI''s'!$P29+'Summary, PPI''s'!$P28)/('Predicted PPIs'!U29+'Predicted PPIs'!U28)))</f>
        <v>66.488006717311777</v>
      </c>
      <c r="AD29" s="4">
        <f>AD28*IF(E$73=".", 1, (E29/E28)^(('Summary, PPI''s'!$E29+'Summary, PPI''s'!$E28)/('Predicted PPIs'!V29+'Predicted PPIs'!V28)))*IF(F$73=".", 1, (F29/F28)^(('Summary, PPI''s'!$F29+'Summary, PPI''s'!$F28)/('Predicted PPIs'!V29+'Predicted PPIs'!V28)))*IF(G$73=".", 1, (G29/G28)^(('Summary, PPI''s'!$G29+'Summary, PPI''s'!$G28)/('Predicted PPIs'!V29+'Predicted PPIs'!V28)))*IF(H$73=".", 1, (H29/H28)^(('Summary, PPI''s'!$H29+'Summary, PPI''s'!$H28)/('Predicted PPIs'!V29+'Predicted PPIs'!V28)))*IF(I$73=".", 1, (I29/I28)^(('Summary, PPI''s'!$I29+'Summary, PPI''s'!$I28)/('Predicted PPIs'!V29+'Predicted PPIs'!V28)))*IF(J$73=".", 1, (J29/J28)^(('Summary, PPI''s'!$J29+'Summary, PPI''s'!$J28)/('Predicted PPIs'!V29+'Predicted PPIs'!V28)))*IF(K$73=".", 1, (K29/K28)^(('Summary, PPI''s'!$K29+'Summary, PPI''s'!$K28)/('Predicted PPIs'!V29+'Predicted PPIs'!V28)))*IF(L$73=".", 1, (L29/L28)^(('Summary, PPI''s'!$L29+'Summary, PPI''s'!$L28)/('Predicted PPIs'!V29+'Predicted PPIs'!V28)))*IF(M$73=".", 1, (M29/M28)^(('Summary, PPI''s'!$M29+'Summary, PPI''s'!$M28)/('Predicted PPIs'!V29+'Predicted PPIs'!V28)))*IF(B$73=".", 1, (B29/B28)^(('Summary, PPI''s'!$B29+'Summary, PPI''s'!$B28)/('Predicted PPIs'!V29+'Predicted PPIs'!V28)))*IF(C$73=".", 1, (C29/C28)^(('Summary, PPI''s'!$C29+'Summary, PPI''s'!$C28)/('Predicted PPIs'!V29+'Predicted PPIs'!V28)))*IF(D$73=".", 1, (D29/D28)^(('Summary, PPI''s'!$D29+'Summary, PPI''s'!$D28)/('Predicted PPIs'!V29+'Predicted PPIs'!V28)))*IF(N$73=".", 1, (N29/N28)^(('Summary, PPI''s'!$N29+'Summary, PPI''s'!$N28)/('Predicted PPIs'!V29+'Predicted PPIs'!V28)))*IF(O$73=".", 1, (O29/O28)^(('Summary, PPI''s'!$O29+'Summary, PPI''s'!$O28)/('Predicted PPIs'!V29+'Predicted PPIs'!V28)))*IF(P$73=".", 1, (P29/P28)^(('Summary, PPI''s'!$P29+'Summary, PPI''s'!$P28)/('Predicted PPIs'!V29+'Predicted PPIs'!V28)))</f>
        <v>64.923332819365839</v>
      </c>
      <c r="AE29" s="4">
        <f>AE28*IF(E$94=".", 1, (E29/E28)^(('Summary, PPI''s'!$E29+'Summary, PPI''s'!$E28)/('Predicted PPIs'!W29+'Predicted PPIs'!W28)))*IF(F$94=".", 1, (F29/F28)^(('Summary, PPI''s'!$F29+'Summary, PPI''s'!$F28)/('Predicted PPIs'!W29+'Predicted PPIs'!W28)))*IF(G$94=".", 1, (G29/G28)^(('Summary, PPI''s'!$G29+'Summary, PPI''s'!$G28)/('Predicted PPIs'!W29+'Predicted PPIs'!W28)))*IF(H$94=".", 1, (H29/H28)^(('Summary, PPI''s'!$H29+'Summary, PPI''s'!$H28)/('Predicted PPIs'!W29+'Predicted PPIs'!W28)))*IF(I$94=".", 1, (I29/I28)^(('Summary, PPI''s'!$I29+'Summary, PPI''s'!$I28)/('Predicted PPIs'!W29+'Predicted PPIs'!W28)))*IF(J$94=".", 1, (J29/J28)^(('Summary, PPI''s'!$J29+'Summary, PPI''s'!$J28)/('Predicted PPIs'!W29+'Predicted PPIs'!W28)))*IF(K$94=".", 1, (K29/K28)^(('Summary, PPI''s'!$K29+'Summary, PPI''s'!$K28)/('Predicted PPIs'!W29+'Predicted PPIs'!W28)))*IF(L$94=".", 1, (L29/L28)^(('Summary, PPI''s'!$L29+'Summary, PPI''s'!$L28)/('Predicted PPIs'!W29+'Predicted PPIs'!W28)))*IF(M$94=".", 1, (M29/M28)^(('Summary, PPI''s'!$M29+'Summary, PPI''s'!$M28)/('Predicted PPIs'!W29+'Predicted PPIs'!W28)))*IF(B$94=".", 1, (B29/B28)^(('Summary, PPI''s'!$B29+'Summary, PPI''s'!$B28)/('Predicted PPIs'!W29+'Predicted PPIs'!W28)))*IF(C$94=".", 1, (C29/C28)^(('Summary, PPI''s'!$C29+'Summary, PPI''s'!$C28)/('Predicted PPIs'!W29+'Predicted PPIs'!W28)))*IF(D$94=".", 1, (D29/D28)^(('Summary, PPI''s'!$D29+'Summary, PPI''s'!$D28)/('Predicted PPIs'!W29+'Predicted PPIs'!W28)))*IF(N$94=".", 1, (N29/N28)^(('Summary, PPI''s'!$N29+'Summary, PPI''s'!$N28)/('Predicted PPIs'!W29+'Predicted PPIs'!W28)))*IF(O$94=".", 1, (O29/O28)^(('Summary, PPI''s'!$O29+'Summary, PPI''s'!$O28)/('Predicted PPIs'!W29+'Predicted PPIs'!W28)))*IF(P$94=".", 1, (P29/P28)^(('Summary, PPI''s'!$P29+'Summary, PPI''s'!$P28)/('Predicted PPIs'!W29+'Predicted PPIs'!W28)))</f>
        <v>60.324373870299013</v>
      </c>
      <c r="AF29" s="4">
        <f>AF28*IF(E$123=".", 1, (E29/E28)^(('Summary, PPI''s'!$E29+'Summary, PPI''s'!$E28)/('Predicted PPIs'!X29+'Predicted PPIs'!X28)))*IF(F$123=".", 1, (F29/F28)^(('Summary, PPI''s'!$F29+'Summary, PPI''s'!$F28)/('Predicted PPIs'!X29+'Predicted PPIs'!X28)))*IF(G$123=".", 1, (G29/G28)^(('Summary, PPI''s'!$G29+'Summary, PPI''s'!$G28)/('Predicted PPIs'!X29+'Predicted PPIs'!X28)))*IF(H$123=".", 1, (H29/H28)^(('Summary, PPI''s'!$H29+'Summary, PPI''s'!$H28)/('Predicted PPIs'!X29+'Predicted PPIs'!X28)))*IF(I$123=".", 1, (I29/I28)^(('Summary, PPI''s'!$I29+'Summary, PPI''s'!$I28)/('Predicted PPIs'!X29+'Predicted PPIs'!X28)))*IF(J$123=".", 1, (J29/J28)^(('Summary, PPI''s'!$J29+'Summary, PPI''s'!$J28)/('Predicted PPIs'!X29+'Predicted PPIs'!X28)))*IF(K$123=".", 1, (K29/K28)^(('Summary, PPI''s'!$K29+'Summary, PPI''s'!$K28)/('Predicted PPIs'!X29+'Predicted PPIs'!X28)))*IF(L$123=".", 1, (L29/L28)^(('Summary, PPI''s'!$L29+'Summary, PPI''s'!$L28)/('Predicted PPIs'!X29+'Predicted PPIs'!X28)))*IF(M$123=".", 1, (M29/M28)^(('Summary, PPI''s'!$M29+'Summary, PPI''s'!$M28)/('Predicted PPIs'!X29+'Predicted PPIs'!X28)))*IF(B$123=".", 1, (B29/B28)^(('Summary, PPI''s'!$B29+'Summary, PPI''s'!$B28)/('Predicted PPIs'!X29+'Predicted PPIs'!X28)))*IF(C$123=".", 1, (C29/C28)^(('Summary, PPI''s'!$C29+'Summary, PPI''s'!$C28)/('Predicted PPIs'!X29+'Predicted PPIs'!X28)))*IF(D$123=".", 1, (D29/D28)^(('Summary, PPI''s'!$D29+'Summary, PPI''s'!$D28)/('Predicted PPIs'!X29+'Predicted PPIs'!X28)))*IF(N$123=".", 1, (N29/N28)^(('Summary, PPI''s'!$N29+'Summary, PPI''s'!$N28)/('Predicted PPIs'!X29+'Predicted PPIs'!X28)))*IF(O$123=".", 1, (O29/O28)^(('Summary, PPI''s'!$O29+'Summary, PPI''s'!$O28)/('Predicted PPIs'!X29+'Predicted PPIs'!X28)))*IF(P$123=".", 1, (P29/P28)^(('Summary, PPI''s'!$P29+'Summary, PPI''s'!$P28)/('Predicted PPIs'!X29+'Predicted PPIs'!X28)))</f>
        <v>56.480934955970767</v>
      </c>
      <c r="AH29" s="13">
        <f t="shared" si="32"/>
        <v>70.593199265156827</v>
      </c>
      <c r="AJ29" s="4">
        <v>4721</v>
      </c>
      <c r="AK29" s="4">
        <v>-0.51100000000000001</v>
      </c>
      <c r="AL29" s="4">
        <v>-523.673</v>
      </c>
      <c r="AM29" s="4">
        <v>-9.0210000000000008</v>
      </c>
      <c r="AN29" s="4">
        <v>5090.2</v>
      </c>
      <c r="AO29" s="4">
        <v>1184.2</v>
      </c>
      <c r="AP29" s="4">
        <f>('[3]1994'!$I$14+'[3]1994'!$I$69+'[3]1994'!$I$71-'[3]1994'!$I$73)*0.001</f>
        <v>-53.347999999999999</v>
      </c>
      <c r="AQ29" s="4">
        <f>('[3]1994'!$AY$56+'[3]1994'!$AY$69+'[3]1994'!$AY$71-'[3]1994'!$AY$73)*0.001</f>
        <v>-209.64000000000001</v>
      </c>
      <c r="AR29" s="4">
        <v>-19.172999999999998</v>
      </c>
      <c r="AS29" s="4">
        <v>-36.103999999999999</v>
      </c>
      <c r="AT29" s="4">
        <v>70.192999999999998</v>
      </c>
      <c r="AU29" s="4">
        <v>66.912000000000006</v>
      </c>
      <c r="AV29" s="4">
        <v>62.631</v>
      </c>
      <c r="AW29" s="4">
        <v>51.701000000000001</v>
      </c>
      <c r="AX29" s="4">
        <v>65.417000000000002</v>
      </c>
      <c r="AY29" s="4">
        <v>83.983000000000004</v>
      </c>
      <c r="AZ29" s="4">
        <v>44.436999999999998</v>
      </c>
      <c r="BA29" s="4">
        <v>68.471999999999994</v>
      </c>
      <c r="BB29" s="4">
        <v>101.152</v>
      </c>
      <c r="BC29" s="4">
        <v>83.554000000000002</v>
      </c>
      <c r="BG29" s="4">
        <f t="shared" si="50"/>
        <v>62.265873092735944</v>
      </c>
      <c r="BI29" s="4">
        <f>BI$13*'[2]Ordinary Experience'!$D$397/'[2]Ordinary Experience'!$D$413</f>
        <v>261536852.37488315</v>
      </c>
      <c r="BJ29" s="4">
        <f>'[2]Ordinary Experience'!$E$397</f>
        <v>21.459944047173309</v>
      </c>
      <c r="BL29" s="4">
        <f t="shared" si="0"/>
        <v>76.482435921604292</v>
      </c>
      <c r="BM29" s="4">
        <f t="shared" si="34"/>
        <v>3.8777988575426692E-2</v>
      </c>
      <c r="BO29" s="4">
        <f>IF(OR('Summary, hourly ad costs'!R29=-9999,'Summary, PPI''s'!R29="."),".",(('Summary, hourly ad costs'!B29/'Summary, hourly ad costs'!R29)*100/('Summary, hourly ad costs'!B$11/'Summary, hourly ad costs'!R$11))/('Summary, PPI''s'!R29))</f>
        <v>0.86339244533899873</v>
      </c>
      <c r="BP29" s="4" t="str">
        <f>IF(OR('Summary, hourly ad costs'!S29=-9999,'Summary, PPI''s'!S29="."),".",(('Summary, hourly ad costs'!C29/'Summary, hourly ad costs'!S29)*100/('Summary, hourly ad costs'!C$11/'Summary, hourly ad costs'!S$11))/('Summary, PPI''s'!S29))</f>
        <v>.</v>
      </c>
      <c r="BQ29" s="4" t="str">
        <f>IF(OR('Summary, hourly ad costs'!T29=-9999,'Summary, PPI''s'!T29="."),".",(('Summary, hourly ad costs'!D29/'Summary, hourly ad costs'!T29)*100/('Summary, hourly ad costs'!D$11/'Summary, hourly ad costs'!T$11))/('Summary, PPI''s'!T29))</f>
        <v>.</v>
      </c>
      <c r="BR29" s="4">
        <f>IF(OR('Summary, hourly ad costs'!U29=-9999,'Summary, PPI''s'!U29="."),".",(('Summary, hourly ad costs'!E29/'Summary, hourly ad costs'!U29)*100/('Summary, hourly ad costs'!E$11/'Summary, hourly ad costs'!U$11))/('Summary, PPI''s'!U29))</f>
        <v>1.8337742958548335</v>
      </c>
      <c r="BS29" s="4">
        <f>IF(OR('Summary, hourly ad costs'!V29=-9999,'Summary, PPI''s'!V29="."),".",(('Summary, hourly ad costs'!F29/'Summary, hourly ad costs'!V29)*100/('Summary, hourly ad costs'!F$11/'Summary, hourly ad costs'!V$11))/('Summary, PPI''s'!V29))</f>
        <v>1.6869932059509711</v>
      </c>
      <c r="BT29" s="4" t="str">
        <f>IF(OR('Summary, hourly ad costs'!W29=-9999,'Summary, PPI''s'!W29="."),".",(('Summary, hourly ad costs'!G29/'Summary, hourly ad costs'!W29)*100/('Summary, hourly ad costs'!G$11/'Summary, hourly ad costs'!W$11))/('Summary, PPI''s'!W29))</f>
        <v>.</v>
      </c>
      <c r="BU29" s="4">
        <f>IF(OR('Summary, hourly ad costs'!X29=-9999,'Summary, PPI''s'!X29="."),".",(('Summary, hourly ad costs'!H29/'Summary, hourly ad costs'!X29)*100/('Summary, hourly ad costs'!H$11/'Summary, hourly ad costs'!X$11))/('Summary, PPI''s'!X29))</f>
        <v>1.1132141888889169</v>
      </c>
      <c r="BV29" s="4">
        <f>IF(OR('Summary, hourly ad costs'!Y29=-9999,'Summary, PPI''s'!Y29="."),".",(('Summary, hourly ad costs'!I29/'Summary, hourly ad costs'!Y29)*100/('Summary, hourly ad costs'!I$11/'Summary, hourly ad costs'!Y$11))/('Summary, PPI''s'!Y29))</f>
        <v>0.68265752541351732</v>
      </c>
      <c r="BW29" s="4">
        <f>IF(OR('Summary, hourly ad costs'!Z29=-9999,'Summary, PPI''s'!Z29="."),".",(('Summary, hourly ad costs'!J29/'Summary, hourly ad costs'!Z29)*100/('Summary, hourly ad costs'!J$11/'Summary, hourly ad costs'!Z$11))/('Summary, PPI''s'!Z29))</f>
        <v>0.73253068580189562</v>
      </c>
      <c r="BX29" s="4">
        <f>IF(OR('Summary, hourly ad costs'!AA29=-9999,'Summary, PPI''s'!AA29="."),".",(('Summary, hourly ad costs'!K29/'Summary, hourly ad costs'!AA29)*100/('Summary, hourly ad costs'!K$11/'Summary, hourly ad costs'!AA$11))/('Summary, PPI''s'!AA29))</f>
        <v>1.3389850180466887</v>
      </c>
      <c r="BY29" s="4" t="str">
        <f>IF(OR('Summary, hourly ad costs'!AB29=-9999,'Summary, PPI''s'!AB29="."),".",(('Summary, hourly ad costs'!L29/'Summary, hourly ad costs'!AB29)*100/('Summary, hourly ad costs'!L$11/'Summary, hourly ad costs'!AB$11))/('Summary, PPI''s'!AB29))</f>
        <v>.</v>
      </c>
      <c r="BZ29" s="4" t="str">
        <f>IF(OR('Summary, hourly ad costs'!AC29=-9999,'Summary, PPI''s'!AC29="."),".",(('Summary, hourly ad costs'!M29/'Summary, hourly ad costs'!AC29)*100/('Summary, hourly ad costs'!M$11/'Summary, hourly ad costs'!AC$11))/('Summary, PPI''s'!AC29))</f>
        <v>.</v>
      </c>
      <c r="CA29" s="4" t="str">
        <f>IF(OR('Summary, hourly ad costs'!AD29=-9999,'Summary, PPI''s'!AD29="."),".",(('Summary, hourly ad costs'!N29/'Summary, hourly ad costs'!AD29)*100/('Summary, hourly ad costs'!N$11/'Summary, hourly ad costs'!AD$11))/('Summary, PPI''s'!AD29))</f>
        <v>.</v>
      </c>
      <c r="CB29" s="4" t="str">
        <f>IF(OR('Summary, hourly ad costs'!AE29=-9999,'Summary, PPI''s'!AE29="."),".",(('Summary, hourly ad costs'!O29/'Summary, hourly ad costs'!AE29)*100/('Summary, hourly ad costs'!O$11/'Summary, hourly ad costs'!AE$11))/('Summary, PPI''s'!AE29))</f>
        <v>.</v>
      </c>
      <c r="CC29" s="4" t="str">
        <f>IF(OR('Summary, hourly ad costs'!AF29=-9999,'Summary, PPI''s'!AF29="."),".",(('Summary, hourly ad costs'!P29/'Summary, hourly ad costs'!AF29)*100/('Summary, hourly ad costs'!P$11/'Summary, hourly ad costs'!AF$11))/('Summary, PPI''s'!AF29))</f>
        <v>.</v>
      </c>
      <c r="CE29" s="4">
        <f t="shared" si="51"/>
        <v>-5.8158951485136279E-2</v>
      </c>
      <c r="CF29" s="4" t="str">
        <f t="shared" si="52"/>
        <v>.</v>
      </c>
      <c r="CG29" s="4" t="str">
        <f t="shared" si="53"/>
        <v>.</v>
      </c>
      <c r="CH29" s="4">
        <f t="shared" si="54"/>
        <v>3.7706510901941659E-2</v>
      </c>
      <c r="CI29" s="4">
        <f t="shared" si="55"/>
        <v>4.8886009057473645E-2</v>
      </c>
      <c r="CJ29" s="4" t="str">
        <f t="shared" si="56"/>
        <v>.</v>
      </c>
      <c r="CK29" s="4">
        <f t="shared" si="57"/>
        <v>1.7129568490537039E-5</v>
      </c>
      <c r="CL29" s="4">
        <f t="shared" si="58"/>
        <v>4.70024950253638E-2</v>
      </c>
      <c r="CM29" s="4">
        <f t="shared" si="59"/>
        <v>1.3331694406979899E-2</v>
      </c>
      <c r="CN29" s="4">
        <f t="shared" si="60"/>
        <v>4.7322844967189859E-2</v>
      </c>
      <c r="CO29" s="4">
        <f t="shared" ref="CO29:CP45" si="79">_xlfn.FORECAST.LINEAR($BM29,CO$4:CO$12,$BM$4:$BM$12)</f>
        <v>0.24892579959563982</v>
      </c>
      <c r="CP29" s="4">
        <f t="shared" si="79"/>
        <v>8.8207026693392004E-2</v>
      </c>
      <c r="CQ29" s="4" t="str">
        <f t="shared" si="62"/>
        <v>.</v>
      </c>
      <c r="CR29" s="4" t="str">
        <f t="shared" si="63"/>
        <v>.</v>
      </c>
      <c r="CS29" s="4" t="str">
        <f t="shared" si="64"/>
        <v>.</v>
      </c>
      <c r="CU29" s="5">
        <f>IF(CU28=".", ".", IF('Summary, PPI''s'!R29=".",IF(OR('Summary, hourly ad costs'!R29=-9999,'Summary, hourly ad costs'!R29=0), ".", 'Predicted PPIs'!CU28*('Summary, hourly ad costs'!B29/'Summary, hourly ad costs'!R29)/('Summary, hourly ad costs'!B28/'Summary, hourly ad costs'!R28)/(1-CE28)), 'Summary, PPI''s'!R29))</f>
        <v>89.527874099759927</v>
      </c>
      <c r="CV29" s="5">
        <f>IF(CV28=".", ".", IF('Summary, PPI''s'!S29=".",IF(OR('Summary, hourly ad costs'!S29=-9999,'Summary, hourly ad costs'!S29=0), ".", 'Predicted PPIs'!CV28*('Summary, hourly ad costs'!C29/'Summary, hourly ad costs'!S29)/('Summary, hourly ad costs'!C28/'Summary, hourly ad costs'!S28)/(1-CF28)), 'Summary, PPI''s'!S29))</f>
        <v>89.527874099759927</v>
      </c>
      <c r="CW29" s="5">
        <f>IF(CW28=".", ".", IF('Summary, PPI''s'!T29=".",IF(OR('Summary, hourly ad costs'!T29=-9999,'Summary, hourly ad costs'!T29=0), ".", 'Predicted PPIs'!CW28*('Summary, hourly ad costs'!D29/'Summary, hourly ad costs'!T29)/('Summary, hourly ad costs'!D28/'Summary, hourly ad costs'!T28)/(1-CG28)), 'Summary, PPI''s'!T29))</f>
        <v>76.111139074847756</v>
      </c>
      <c r="CX29" s="5">
        <f>IF(CX28=".", ".", IF('Summary, PPI''s'!U29=".",IF(OR('Summary, hourly ad costs'!U29=-9999,'Summary, hourly ad costs'!U29=0), ".", 'Predicted PPIs'!CX28*('Summary, hourly ad costs'!E29/'Summary, hourly ad costs'!U29)/('Summary, hourly ad costs'!E28/'Summary, hourly ad costs'!U28)/(1-CH28)), 'Summary, PPI''s'!U29))</f>
        <v>55.136015568811608</v>
      </c>
      <c r="CY29" s="5">
        <f>IF(CY28=".", ".", IF('Summary, PPI''s'!V29=".",IF(OR('Summary, hourly ad costs'!V29=-9999,'Summary, hourly ad costs'!V29=0), ".", 'Predicted PPIs'!CY28*('Summary, hourly ad costs'!F29/'Summary, hourly ad costs'!V29)/('Summary, hourly ad costs'!F28/'Summary, hourly ad costs'!V28)/(1-CI28)), 'Summary, PPI''s'!V29))</f>
        <v>52.133531035050865</v>
      </c>
      <c r="CZ29" s="5">
        <f>IF(CZ28=".", ".", IF('Summary, PPI''s'!W29=".",IF(OR('Summary, hourly ad costs'!W29=-9999,'Summary, hourly ad costs'!W29=0), ".", 'Predicted PPIs'!CZ28*('Summary, hourly ad costs'!G29/'Summary, hourly ad costs'!W29)/('Summary, hourly ad costs'!G28/'Summary, hourly ad costs'!W28)/(1-CJ28)), 'Summary, PPI''s'!W29))</f>
        <v>59.012403600856238</v>
      </c>
      <c r="DA29" s="5">
        <f>IF(DA28=".", ".", IF('Summary, PPI''s'!X29=".",IF(OR('Summary, hourly ad costs'!X29=-9999,'Summary, hourly ad costs'!X29=0), ".", 'Predicted PPIs'!DA28*('Summary, hourly ad costs'!H29/'Summary, hourly ad costs'!X29)/('Summary, hourly ad costs'!H28/'Summary, hourly ad costs'!X28)/(1-CK28)), 'Summary, PPI''s'!X29))</f>
        <v>55.475999999999999</v>
      </c>
      <c r="DB29" s="5">
        <f>IF(DB28=".", ".", IF('Summary, PPI''s'!Y29=".",IF(OR('Summary, hourly ad costs'!Y29=-9999,'Summary, hourly ad costs'!Y29=0), ".", 'Predicted PPIs'!DB28*('Summary, hourly ad costs'!I29/'Summary, hourly ad costs'!Y29)/('Summary, hourly ad costs'!I28/'Summary, hourly ad costs'!Y28)/(1-CL28)), 'Summary, PPI''s'!Y29))</f>
        <v>68.874265105652384</v>
      </c>
      <c r="DC29" s="5">
        <f>IF(DC28=".", ".", IF('Summary, PPI''s'!Z29=".",IF(OR('Summary, hourly ad costs'!Z29=-9999,'Summary, hourly ad costs'!Z29=0), ".", 'Predicted PPIs'!DC28*('Summary, hourly ad costs'!J29/'Summary, hourly ad costs'!Z29)/('Summary, hourly ad costs'!J28/'Summary, hourly ad costs'!Z28)/(1-CM28)), 'Summary, PPI''s'!Z29))</f>
        <v>69.346372401407081</v>
      </c>
      <c r="DD29" s="5">
        <f>IF(DD28=".", ".", IF('Summary, PPI''s'!AA29=".",IF(OR('Summary, hourly ad costs'!AA29=-9999,'Summary, hourly ad costs'!AA29=0), ".", 'Predicted PPIs'!DD28*('Summary, hourly ad costs'!K29/'Summary, hourly ad costs'!AA29)/('Summary, hourly ad costs'!K28/'Summary, hourly ad costs'!AA28)/(1-CN28)), 'Summary, PPI''s'!AA29))</f>
        <v>46.744157004586327</v>
      </c>
      <c r="DE29" s="5" t="str">
        <f>IF(DE28=".", ".", IF('Summary, PPI''s'!AB29=".",IF(OR('Summary, hourly ad costs'!AB29=-9999,'Summary, hourly ad costs'!AB29=0), ".", 'Predicted PPIs'!DE28*('Summary, hourly ad costs'!L29/'Summary, hourly ad costs'!AB29)/('Summary, hourly ad costs'!L28/'Summary, hourly ad costs'!AB28)/(1-CO28)), 'Summary, PPI''s'!AB29))</f>
        <v>.</v>
      </c>
      <c r="DF29" s="5" t="str">
        <f>IF(DF28=".", ".", IF('Summary, PPI''s'!AC29=".",IF(OR('Summary, hourly ad costs'!AC29=-9999,'Summary, hourly ad costs'!AC29=0), ".", 'Predicted PPIs'!DF28*('Summary, hourly ad costs'!M29/'Summary, hourly ad costs'!AC29)/('Summary, hourly ad costs'!M28/'Summary, hourly ad costs'!AC28)/(1-CP28)), 'Summary, PPI''s'!AC29))</f>
        <v>.</v>
      </c>
      <c r="DG29" s="5">
        <f>IF(DG28=".", ".", IF('Summary, PPI''s'!AD29=".",IF(OR('Summary, hourly ad costs'!AD29=-9999,'Summary, hourly ad costs'!AD29=0), ".", 'Predicted PPIs'!DG28*('Summary, hourly ad costs'!N29/'Summary, hourly ad costs'!AD29)/('Summary, hourly ad costs'!N28/'Summary, hourly ad costs'!AD28)/(1-CQ28)), 'Summary, PPI''s'!AD29))</f>
        <v>72.464355283503238</v>
      </c>
      <c r="DH29" s="5">
        <f>IF(DH28=".", ".", IF('Summary, PPI''s'!AE29=".",IF(OR('Summary, hourly ad costs'!AE29=-9999,'Summary, hourly ad costs'!AE29=0), ".", 'Predicted PPIs'!DH28*('Summary, hourly ad costs'!O29/'Summary, hourly ad costs'!AE29)/('Summary, hourly ad costs'!O28/'Summary, hourly ad costs'!AE28)/(1-CR28)), 'Summary, PPI''s'!AE29))</f>
        <v>53.581839008226687</v>
      </c>
      <c r="DI29" s="5">
        <f>IF(DI28=".", ".", IF('Summary, PPI''s'!AF29=".",IF(OR('Summary, hourly ad costs'!AF29=-9999,'Summary, hourly ad costs'!AF29=0), ".", 'Predicted PPIs'!DI28*('Summary, hourly ad costs'!P29/'Summary, hourly ad costs'!AF29)/('Summary, hourly ad costs'!P28/'Summary, hourly ad costs'!AF28)/(1-CS28)), 'Summary, PPI''s'!AF29))</f>
        <v>61.816413669064758</v>
      </c>
      <c r="DK29" s="4">
        <v>49.47</v>
      </c>
      <c r="DM29" s="5">
        <f t="shared" si="65"/>
        <v>-2.1672474585943347E-2</v>
      </c>
      <c r="DN29" s="5">
        <f t="shared" si="66"/>
        <v>-2.1672474585943347E-2</v>
      </c>
      <c r="DO29" s="5">
        <f t="shared" si="67"/>
        <v>-1.1059745689788514E-2</v>
      </c>
      <c r="DP29" s="5">
        <f t="shared" si="68"/>
        <v>4.1460953223899644E-3</v>
      </c>
      <c r="DQ29" s="5">
        <f t="shared" si="69"/>
        <v>-2.1500754135339584E-2</v>
      </c>
      <c r="DR29" s="5">
        <f t="shared" si="70"/>
        <v>2.7591785265475011E-3</v>
      </c>
      <c r="DS29" s="5">
        <f t="shared" si="71"/>
        <v>-2.9847229915384021E-3</v>
      </c>
      <c r="DT29" s="5">
        <f t="shared" si="72"/>
        <v>1.1354521842896093E-2</v>
      </c>
      <c r="DU29" s="5">
        <f t="shared" si="73"/>
        <v>2.1063315013368999E-2</v>
      </c>
      <c r="DV29" s="5">
        <f t="shared" si="74"/>
        <v>-6.3179651819122995E-3</v>
      </c>
      <c r="DW29" s="4">
        <f t="shared" si="78"/>
        <v>-0.13051367944763348</v>
      </c>
      <c r="DX29" s="4">
        <f t="shared" si="78"/>
        <v>6.6258431329274642E-2</v>
      </c>
      <c r="DY29" s="5">
        <f t="shared" si="75"/>
        <v>7.5790699294528974E-3</v>
      </c>
      <c r="DZ29" s="5">
        <f t="shared" si="76"/>
        <v>-3.7535760043401201E-3</v>
      </c>
      <c r="EA29" s="5">
        <f t="shared" si="77"/>
        <v>-2.0539095899814952E-2</v>
      </c>
      <c r="EC29" s="1">
        <f t="shared" si="35"/>
        <v>89.527874099759927</v>
      </c>
      <c r="ED29" s="1">
        <f t="shared" si="36"/>
        <v>89.527874099759927</v>
      </c>
      <c r="EE29" s="1">
        <f t="shared" si="37"/>
        <v>76.111139074847756</v>
      </c>
      <c r="EF29" s="1">
        <f t="shared" si="38"/>
        <v>55.136015568811608</v>
      </c>
      <c r="EG29" s="1">
        <f t="shared" si="39"/>
        <v>52.133531035050865</v>
      </c>
      <c r="EH29" s="1">
        <f t="shared" si="40"/>
        <v>59.012403600856238</v>
      </c>
      <c r="EI29" s="1">
        <f t="shared" si="41"/>
        <v>55.475999999999999</v>
      </c>
      <c r="EJ29" s="1">
        <f t="shared" si="42"/>
        <v>68.874265105652384</v>
      </c>
      <c r="EK29" s="1">
        <f t="shared" si="43"/>
        <v>69.346372401407081</v>
      </c>
      <c r="EL29" s="1">
        <f t="shared" si="44"/>
        <v>46.744157004586327</v>
      </c>
      <c r="EM29" s="1">
        <f t="shared" si="45"/>
        <v>195.94725659351823</v>
      </c>
      <c r="EN29" s="1">
        <f t="shared" si="46"/>
        <v>93.807738731429836</v>
      </c>
      <c r="EO29" s="1">
        <f t="shared" si="47"/>
        <v>72.464355283503238</v>
      </c>
      <c r="EP29" s="1">
        <f t="shared" si="48"/>
        <v>53.581839008226687</v>
      </c>
      <c r="EQ29" s="1">
        <f t="shared" si="49"/>
        <v>61.816413669064758</v>
      </c>
      <c r="ES29" s="1">
        <f>IF(EF$26=".", 0, 'Summary, PPI''s'!E29)+IF(EG$26=".", 0, 'Summary, PPI''s'!F29)+IF(EH$26=".", 0, 'Summary, PPI''s'!G29)+IF(EI$26=".", 0, 'Summary, PPI''s'!H29)+IF(EJ$26=".", 0, 'Summary, PPI''s'!I29)+IF(EK$26=".", 0, 'Summary, PPI''s'!J29)+IF(EL$26=".", 0, 'Summary, PPI''s'!K29)+IF(EM$26=".", 0, 'Summary, PPI''s'!L29)+IF(EN$26=".", 0, 'Summary, PPI''s'!M29)+IF(EC$26=".", 0, 'Summary, PPI''s'!B29)+IF(ED$26=".", 0, 'Summary, PPI''s'!C29)+IF(EE$26=".", 0, 'Summary, PPI''s'!D29)+IF(EO$26=".", 0, 'Summary, PPI''s'!N29)+IF(EP$26=".", 0, 'Summary, PPI''s'!O29)+IF(EQ$26=".", 0, 'Summary, PPI''s'!P29)</f>
        <v>156235880.08933851</v>
      </c>
      <c r="ET29" s="1">
        <f>'Summary, hourly ad costs'!E29+'Summary, hourly ad costs'!F29+'Summary, hourly ad costs'!H29+'Summary, hourly ad costs'!I29+'Summary, hourly ad costs'!J29+'Summary, hourly ad costs'!K29+'Summary, hourly ad costs'!L29+'Summary, hourly ad costs'!M29+'Summary, hourly ad costs'!B29</f>
        <v>78805464.498154044</v>
      </c>
      <c r="EV29" s="13">
        <f>EV28*IF(EF$26=".", 1, (EF29/EF28)^(('Summary, PPI''s'!$E29+'Summary, PPI''s'!$E28)/('Predicted PPIs'!ES29+'Predicted PPIs'!ES28)))*IF(EG$26=".", 1, (EG29/EG28)^(('Summary, PPI''s'!$F29+'Summary, PPI''s'!$F28)/('Predicted PPIs'!ES29+'Predicted PPIs'!ES28)))*IF(EH$26=".", 1, (EH29/EH28)^(('Summary, PPI''s'!$G29+'Summary, PPI''s'!$G28)/('Predicted PPIs'!ES29+'Predicted PPIs'!ES28)))*IF(EI$26=".", 1, (EI29/EI28)^(('Summary, PPI''s'!$H29+'Summary, PPI''s'!$H28)/('Predicted PPIs'!ES29+'Predicted PPIs'!ES28)))*IF(EJ$26=".", 1, (EJ29/EJ28)^(('Summary, PPI''s'!$I29+'Summary, PPI''s'!$I28)/('Predicted PPIs'!ES29+'Predicted PPIs'!ES28)))*IF(EK$26=".", 1, (EK29/EK28)^(('Summary, PPI''s'!$J29+'Summary, PPI''s'!$J28)/('Predicted PPIs'!ES29+'Predicted PPIs'!ES28)))*IF(EL$26=".", 1, (EL29/EL28)^(('Summary, PPI''s'!$K29+'Summary, PPI''s'!$K28)/('Predicted PPIs'!ES29+'Predicted PPIs'!ES28)))*IF(EM$26=".", 1, (EM29/EM28)^(('Summary, PPI''s'!$L29+'Summary, PPI''s'!$L28)/('Predicted PPIs'!ES29+'Predicted PPIs'!ES28)))*IF(EN$26=".", 1, (EN29/EN28)^(('Summary, PPI''s'!$M29+'Summary, PPI''s'!$M28)/('Predicted PPIs'!ES29+'Predicted PPIs'!ES28)))*IF(EC$26=".", 1, (EC29/EC28)^(('Summary, PPI''s'!$B29+'Summary, PPI''s'!$B28)/('Predicted PPIs'!ES29+'Predicted PPIs'!ES28)))*IF(ED$26=".", 1, (ED29/ED28)^(('Summary, PPI''s'!$C29+'Summary, PPI''s'!$C28)/('Predicted PPIs'!ES29+'Predicted PPIs'!ES28)))*IF(EE$26=".", 1, (EE29/EE28)^(('Summary, PPI''s'!$D29+'Summary, PPI''s'!$D28)/('Predicted PPIs'!ES29+'Predicted PPIs'!ES28)))*IF(EO$26=".", 1, (EO29/EO28)^(('Summary, PPI''s'!$N29+'Summary, PPI''s'!$N28)/('Predicted PPIs'!ES29+'Predicted PPIs'!ES28)))*IF(EP$26=".", 1, (EP29/EP28)^(('Summary, PPI''s'!$O29+'Summary, PPI''s'!$O28)/('Predicted PPIs'!ES29+'Predicted PPIs'!ES28)))*IF(EQ$26=".", 1, (EQ29/EQ28)^(('Summary, PPI''s'!$P29+'Summary, PPI''s'!$P28)/('Predicted PPIs'!ES29+'Predicted PPIs'!ES28)))</f>
        <v>74.531899265455976</v>
      </c>
      <c r="EW29" s="13">
        <f>EW28*IF(EF$26=".", 1, (EF29/EF28)^(('Summary, PPI''s'!$E29+'Summary, PPI''s'!$E28)/('Predicted PPIs'!ET29+'Predicted PPIs'!ET28)))*IF(EG$26=".", 1, (EG29/EG28)^(('Summary, PPI''s'!$F29+'Summary, PPI''s'!$F28)/('Predicted PPIs'!ET29+'Predicted PPIs'!ET28)))*IF(EH$26=".", 1, (EH29/EH28)^(('Summary, PPI''s'!$G29+'Summary, PPI''s'!$G28)/('Predicted PPIs'!ET29+'Predicted PPIs'!ET28)))*IF(EK$26=".", 1, (EK29/EK28)^(('Summary, PPI''s'!$J29+'Summary, PPI''s'!$J28)/('Predicted PPIs'!ET29+'Predicted PPIs'!ET28)))*IF(EL$26=".", 1, (EL29/EL28)^(('Summary, PPI''s'!$K29+'Summary, PPI''s'!$K28)/('Predicted PPIs'!ET29+'Predicted PPIs'!ET28)))*IF(EM$26=".", 1, (EM29/EM28)^(('Summary, PPI''s'!$L29+'Summary, PPI''s'!$L28)/('Predicted PPIs'!ET29+'Predicted PPIs'!ET28)))*IF(EN$26=".", 1, (EN29/EN28)^(('Summary, PPI''s'!$M29+'Summary, PPI''s'!$M28)/('Predicted PPIs'!ET29+'Predicted PPIs'!ET28)))*IF(EC$26=".", 1, (EC29/EC28)^(('Summary, PPI''s'!$B29+'Summary, PPI''s'!$B28)/('Predicted PPIs'!ET29+'Predicted PPIs'!ET28)))</f>
        <v>80.12505391714619</v>
      </c>
      <c r="EY29" s="2"/>
    </row>
    <row r="30" spans="1:155" x14ac:dyDescent="0.3">
      <c r="A30" s="4">
        <v>1993</v>
      </c>
      <c r="B30" s="10">
        <f>IF(B29=".", ".", IF('Summary, PPI''s'!R30=".",IF(OR('Summary, hourly ad costs'!R30=-9999,'Summary, hourly ad costs'!R30=0), ".", 'Predicted PPIs'!B29*('Summary, hourly ad costs'!B30/'Summary, hourly ad costs'!R30)/('Summary, hourly ad costs'!B29/'Summary, hourly ad costs'!R29)), 'Summary, PPI''s'!R30))</f>
        <v>88.188850360096012</v>
      </c>
      <c r="C30" s="10">
        <f>IF(C29=".", ".", IF('Summary, PPI''s'!S30=".",IF(OR('Summary, hourly ad costs'!S30=-9999,'Summary, hourly ad costs'!S30=0), ".", 'Predicted PPIs'!C29*('Summary, hourly ad costs'!C30/'Summary, hourly ad costs'!S30)/('Summary, hourly ad costs'!C29/'Summary, hourly ad costs'!S29)), 'Summary, PPI''s'!S30))</f>
        <v>88.188850360096012</v>
      </c>
      <c r="D30" s="10">
        <f>IF(D29=".", ".", IF('Summary, PPI''s'!T30=".",IF(OR('Summary, hourly ad costs'!T30=-9999,'Summary, hourly ad costs'!T30=0), ".", 'Predicted PPIs'!D29*('Summary, hourly ad costs'!D30/'Summary, hourly ad costs'!T30)/('Summary, hourly ad costs'!D29/'Summary, hourly ad costs'!T29)), 'Summary, PPI''s'!T30))</f>
        <v>74.168218654049454</v>
      </c>
      <c r="E30" s="10">
        <f>IF(E29=".", ".", IF('Summary, PPI''s'!U30=".",IF(OR('Summary, hourly ad costs'!U30=-9999,'Summary, hourly ad costs'!U30=0), ".", 'Predicted PPIs'!E29*('Summary, hourly ad costs'!E30/'Summary, hourly ad costs'!U30)/('Summary, hourly ad costs'!E29/'Summary, hourly ad costs'!U29)), 'Summary, PPI''s'!U30))</f>
        <v>52.914921521343658</v>
      </c>
      <c r="F30" s="10">
        <f>IF(F29=".", ".", IF('Summary, PPI''s'!V30=".",IF(OR('Summary, hourly ad costs'!V30=-9999,'Summary, hourly ad costs'!V30=0), ".", 'Predicted PPIs'!F29*('Summary, hourly ad costs'!F30/'Summary, hourly ad costs'!V30)/('Summary, hourly ad costs'!F29/'Summary, hourly ad costs'!V29)), 'Summary, PPI''s'!V30))</f>
        <v>51.344783557807155</v>
      </c>
      <c r="G30" s="10">
        <f>IF(G29=".", ".", IF('Summary, PPI''s'!W30=".",IF(OR('Summary, hourly ad costs'!W30=-9999,'Summary, hourly ad costs'!W30=0), ".", 'Predicted PPIs'!G29*('Summary, hourly ad costs'!G30/'Summary, hourly ad costs'!W30)/('Summary, hourly ad costs'!G29/'Summary, hourly ad costs'!W29)), 'Summary, PPI''s'!W30))</f>
        <v>56.713485617101128</v>
      </c>
      <c r="H30" s="10">
        <f>IF(H29=".", ".", IF('Summary, PPI''s'!X30=".",IF(OR('Summary, hourly ad costs'!X30=-9999,'Summary, hourly ad costs'!X30=0), ".", 'Predicted PPIs'!H29*('Summary, hourly ad costs'!H30/'Summary, hourly ad costs'!X30)/('Summary, hourly ad costs'!H29/'Summary, hourly ad costs'!X29)), 'Summary, PPI''s'!X30))</f>
        <v>53.622</v>
      </c>
      <c r="I30" s="10">
        <f>IF(I29=".", ".", IF('Summary, PPI''s'!Y30=".",IF(OR('Summary, hourly ad costs'!Y30=-9999,'Summary, hourly ad costs'!Y30=0), ".", 'Predicted PPIs'!I29*('Summary, hourly ad costs'!I30/'Summary, hourly ad costs'!Y30)/('Summary, hourly ad costs'!I29/'Summary, hourly ad costs'!Y29)), 'Summary, PPI''s'!Y30))</f>
        <v>65.628614993755775</v>
      </c>
      <c r="J30" s="10">
        <f>IF(J29=".", ".", IF('Summary, PPI''s'!Z30=".",IF(OR('Summary, hourly ad costs'!Z30=-9999,'Summary, hourly ad costs'!Z30=0), ".", 'Predicted PPIs'!J29*('Summary, hourly ad costs'!J30/'Summary, hourly ad costs'!Z30)/('Summary, hourly ad costs'!J29/'Summary, hourly ad costs'!Z29)), 'Summary, PPI''s'!Z30))</f>
        <v>65.450166579939562</v>
      </c>
      <c r="K30" s="10">
        <f>IF(K29=".", ".", IF('Summary, PPI''s'!AA30=".",IF(OR('Summary, hourly ad costs'!AA30=-9999,'Summary, hourly ad costs'!AA30=0), ".", 'Predicted PPIs'!K29*('Summary, hourly ad costs'!K30/'Summary, hourly ad costs'!AA30)/('Summary, hourly ad costs'!K29/'Summary, hourly ad costs'!AA29)), 'Summary, PPI''s'!AA30))</f>
        <v>45.333533963597105</v>
      </c>
      <c r="L30" s="10" t="str">
        <f>IF(L29=".", ".", IF('Summary, PPI''s'!AB30=".",IF(OR('Summary, hourly ad costs'!AB30=-9999,'Summary, hourly ad costs'!AB30=0), ".", 'Predicted PPIs'!L29*('Summary, hourly ad costs'!L30/'Summary, hourly ad costs'!AB30)/('Summary, hourly ad costs'!L29/'Summary, hourly ad costs'!AB29)), 'Summary, PPI''s'!AB30))</f>
        <v>.</v>
      </c>
      <c r="M30" s="10" t="str">
        <f>IF(M29=".", ".", IF('Summary, PPI''s'!AC30=".",IF(OR('Summary, hourly ad costs'!AC30=-9999,'Summary, hourly ad costs'!AC30=0), ".", 'Predicted PPIs'!M29*('Summary, hourly ad costs'!M30/'Summary, hourly ad costs'!AC30)/('Summary, hourly ad costs'!M29/'Summary, hourly ad costs'!AC29)), 'Summary, PPI''s'!AC30))</f>
        <v>.</v>
      </c>
      <c r="N30" s="10">
        <f>IF(N29=".", ".", IF('Summary, PPI''s'!AD30=".",IF(OR('Summary, hourly ad costs'!AD30=-9999,'Summary, hourly ad costs'!AD30=0), ".", 'Predicted PPIs'!N29*('Summary, hourly ad costs'!N30/'Summary, hourly ad costs'!AD30)/('Summary, hourly ad costs'!N29/'Summary, hourly ad costs'!AD29)), 'Summary, PPI''s'!AD30))</f>
        <v>69.308256969870556</v>
      </c>
      <c r="O30" s="10">
        <f>IF(O29=".", ".", IF('Summary, PPI''s'!AE30=".",IF(OR('Summary, hourly ad costs'!AE30=-9999,'Summary, hourly ad costs'!AE30=0), ".", 'Predicted PPIs'!O29*('Summary, hourly ad costs'!O30/'Summary, hourly ad costs'!AE30)/('Summary, hourly ad costs'!O29/'Summary, hourly ad costs'!AE29)), 'Summary, PPI''s'!AE30))</f>
        <v>51.831111403107869</v>
      </c>
      <c r="P30" s="10">
        <f>IF(P29=".", ".", IF('Summary, PPI''s'!AF30=".",IF(OR('Summary, hourly ad costs'!AF30=-9999,'Summary, hourly ad costs'!AF30=0), ".", 'Predicted PPIs'!P29*('Summary, hourly ad costs'!P30/'Summary, hourly ad costs'!AF30)/('Summary, hourly ad costs'!P29/'Summary, hourly ad costs'!AF29)), 'Summary, PPI''s'!AF30))</f>
        <v>60.821395683453247</v>
      </c>
      <c r="R30" s="1">
        <f>IF(E$26=".", 0, 'Summary, PPI''s'!E30)+IF(F$26=".", 0, 'Summary, PPI''s'!F30)+IF(G$26=".", 0, 'Summary, PPI''s'!G30)+IF(H$26=".", 0, 'Summary, PPI''s'!H30)+IF(I$26=".", 0, 'Summary, PPI''s'!I30)+IF(J$26=".", 0, 'Summary, PPI''s'!J30)+IF(K$26=".", 0, 'Summary, PPI''s'!K30)+IF(L$26=".", 0, 'Summary, PPI''s'!L30)+IF(M$26=".", 0, 'Summary, PPI''s'!M30)+IF(B$26=".", 0, 'Summary, PPI''s'!B30)+IF(C$26=".", 0, 'Summary, PPI''s'!C30)+IF(D$26=".", 0, 'Summary, PPI''s'!D30)+IF(N$26=".", 0, 'Summary, PPI''s'!N30)+IF(O$26=".", 0, 'Summary, PPI''s'!O30)+IF(P$26=".", 0, 'Summary, PPI''s'!P30)</f>
        <v>147103892.19452864</v>
      </c>
      <c r="S30" s="1">
        <f>IF(E$36=".", 0, 'Summary, PPI''s'!E30)+IF(F$36=".", 0, 'Summary, PPI''s'!F30)+IF(G$36=".", 0, 'Summary, PPI''s'!G30)+IF(H$36=".", 0, 'Summary, PPI''s'!H30)+IF(I$36=".", 0, 'Summary, PPI''s'!I30)+IF(J$36=".", 0, 'Summary, PPI''s'!J30)+IF(K$36=".", 0, 'Summary, PPI''s'!K30)+IF(L$36=".", 0, 'Summary, PPI''s'!L30)+IF(M$36=".", 0, 'Summary, PPI''s'!M30)+IF(B$36=".", 0, 'Summary, PPI''s'!B30)+IF(C$36=".", 0, 'Summary, PPI''s'!C30)+IF(D$36=".", 0, 'Summary, PPI''s'!D30)+IF(N$36=".", 0, 'Summary, PPI''s'!N30)+IF(O$36=".", 0, 'Summary, PPI''s'!O30)+IF(P$36=".", 0, 'Summary, PPI''s'!P30)</f>
        <v>147103892.19452864</v>
      </c>
      <c r="T30" s="1">
        <f>IF(E$46=".", 0, 'Summary, PPI''s'!E30)+IF(F$46=".", 0, 'Summary, PPI''s'!F30)+IF(G$46=".", 0, 'Summary, PPI''s'!G30)+IF(H$46=".", 0, 'Summary, PPI''s'!H30)+IF(I$46=".", 0, 'Summary, PPI''s'!I30)+IF(J$46=".", 0, 'Summary, PPI''s'!J30)+IF(K$46=".", 0, 'Summary, PPI''s'!K30)+IF(L$46=".", 0, 'Summary, PPI''s'!L30)+IF(M$46=".", 0, 'Summary, PPI''s'!M30)+IF(B$46=".", 0, 'Summary, PPI''s'!B30)+IF(C$46=".", 0, 'Summary, PPI''s'!C30)+IF(D$46=".", 0, 'Summary, PPI''s'!D30)+IF(N$46=".", 0, 'Summary, PPI''s'!N30)+IF(O$46=".", 0, 'Summary, PPI''s'!O30)+IF(P$46=".", 0, 'Summary, PPI''s'!P30)</f>
        <v>101919669.60316056</v>
      </c>
      <c r="U30" s="1">
        <f>IF(E$60=".", 0, 'Summary, PPI''s'!E30)+IF(F$60=".", 0, 'Summary, PPI''s'!F30)+IF(G$60=".", 0, 'Summary, PPI''s'!G30)+IF(H$60=".", 0, 'Summary, PPI''s'!H30)+IF(I$60=".", 0, 'Summary, PPI''s'!I30)+IF(J$60=".", 0, 'Summary, PPI''s'!J30)+IF(K$60=".", 0, 'Summary, PPI''s'!K30)+IF(L$60=".", 0, 'Summary, PPI''s'!L30)+IF(M$60=".", 0, 'Summary, PPI''s'!M30)+IF(B$60=".", 0, 'Summary, PPI''s'!B30)+IF(C$60=".", 0, 'Summary, PPI''s'!C30)+IF(D$60=".", 0, 'Summary, PPI''s'!D30)+IF(N$60=".", 0, 'Summary, PPI''s'!N30)+IF(O$60=".", 0, 'Summary, PPI''s'!O30)+IF(P$60=".", 0, 'Summary, PPI''s'!P30)</f>
        <v>88731238.069430619</v>
      </c>
      <c r="V30" s="1">
        <f>IF(E$73=".", 0, 'Summary, PPI''s'!E30)+IF(F$73=".", 0, 'Summary, PPI''s'!F30)+IF(G$73=".", 0, 'Summary, PPI''s'!G30)+IF(H$73=".", 0, 'Summary, PPI''s'!H30)+IF(I$73=".", 0, 'Summary, PPI''s'!I30)+IF(J$73=".", 0, 'Summary, PPI''s'!J30)+IF(K$73=".", 0, 'Summary, PPI''s'!K30)+IF(L$73=".", 0, 'Summary, PPI''s'!L30)+IF(M$73=".", 0, 'Summary, PPI''s'!M30)+IF(B$73=".", 0, 'Summary, PPI''s'!B30)+IF(C$73=".", 0, 'Summary, PPI''s'!C30)+IF(D$73=".", 0, 'Summary, PPI''s'!D30)+IF(N$73=".", 0, 'Summary, PPI''s'!N30)+IF(O$73=".", 0, 'Summary, PPI''s'!O30)+IF(P$73=".", 0, 'Summary, PPI''s'!P30)</f>
        <v>67688611.534518495</v>
      </c>
      <c r="W30" s="1">
        <f>IF(E$94=".",0,'Summary, PPI''s'!E30)+IF(F$94=".",0,'Summary, PPI''s'!F30)+IF(G$94=".",0,'Summary, PPI''s'!G30)+IF(H$94=".",0,'Summary, PPI''s'!H30)+IF(I$94=".",0,'Summary, PPI''s'!I30)+IF(J$94=".",0,'Summary, PPI''s'!J30)+IF(K$94=".",0,'Summary, PPI''s'!K30)+IF(L$94=".",0,'Summary, PPI''s'!L30)+IF(M$94=".",0,'Summary, PPI''s'!M30)+IF(B$94=".",0,'Summary, PPI''s'!B30)+IF(C$94=".",0,'Summary, PPI''s'!C30)+IF(D$94=".",0,'Summary, PPI''s'!D30)+IF(N$94=".",0,'Summary, PPI''s'!N30)+IF(O$94=".",0,'Summary, PPI''s'!O30)+IF(P$94=".",0,'Summary, PPI''s'!P30)</f>
        <v>49615323.705567613</v>
      </c>
      <c r="X30" s="1">
        <f>IF(E$123=".", 0, 'Summary, PPI''s'!E30)+IF(F$123=".", 0, 'Summary, PPI''s'!F30)+IF(G$123=".", 0, 'Summary, PPI''s'!G30)+IF(H$123=".", 0, 'Summary, PPI''s'!H30)+IF(I$123=".", 0, 'Summary, PPI''s'!I30)+IF(J$123=".", 0, 'Summary, PPI''s'!J30)+IF(K$123=".", 0, 'Summary, PPI''s'!K30)+IF(L$123=".", 0, 'Summary, PPI''s'!L30)+IF(M$123=".", 0, 'Summary, PPI''s'!M30)+IF(B$123=".", 0, 'Summary, PPI''s'!B30)+IF(C$123=".", 0, 'Summary, PPI''s'!C30)+IF(D$123=".", 0, 'Summary, PPI''s'!D30)+IF(N$123=".", 0, 'Summary, PPI''s'!N30)+IF(O$123=".", 0, 'Summary, PPI''s'!O30)+IF(P$123=".", 0, 'Summary, PPI''s'!P30)</f>
        <v>42697152.975072861</v>
      </c>
      <c r="Z30" s="4" t="e">
        <f>Z29*IF(E$26=".", 1, (E30/E29)^(('Summary, PPI''s'!$E30+'Summary, PPI''s'!$E29)/('Predicted PPIs'!R30+'Predicted PPIs'!R29)))*IF(F$26=".", 1, (F30/F29)^(('Summary, PPI''s'!$F30+'Summary, PPI''s'!$F29)/('Predicted PPIs'!R30+'Predicted PPIs'!R29)))*IF(G$26=".", 1, (G30/G29)^(('Summary, PPI''s'!$G30+'Summary, PPI''s'!$G29)/('Predicted PPIs'!R30+'Predicted PPIs'!R29)))*IF(H$26=".", 1, (H30/H29)^(('Summary, PPI''s'!$H30+'Summary, PPI''s'!$H29)/('Predicted PPIs'!R30+'Predicted PPIs'!R29)))*IF(I$26=".", 1, (I30/I29)^(('Summary, PPI''s'!$I30+'Summary, PPI''s'!$I29)/('Predicted PPIs'!R30+'Predicted PPIs'!R29)))*IF(J$26=".", 1, (J30/J29)^(('Summary, PPI''s'!$J30+'Summary, PPI''s'!$J29)/('Predicted PPIs'!R30+'Predicted PPIs'!R29)))*IF(K$26=".", 1, (K30/K29)^(('Summary, PPI''s'!$K30+'Summary, PPI''s'!$K29)/('Predicted PPIs'!R30+'Predicted PPIs'!R29)))*IF(L$26=".", 1, (L30/L29)^(('Summary, PPI''s'!$L30+'Summary, PPI''s'!$L29)/('Predicted PPIs'!R30+'Predicted PPIs'!R29)))*IF(M$26=".", 1, (M30/M29)^(('Summary, PPI''s'!$M30+'Summary, PPI''s'!$M29)/('Predicted PPIs'!R30+'Predicted PPIs'!R29)))*IF(B$26=".", 1, (B30/B29)^(('Summary, PPI''s'!$B30+'Summary, PPI''s'!$B29)/('Predicted PPIs'!R30+'Predicted PPIs'!R29)))*IF(C$26=".", 1, (C30/C29)^(('Summary, PPI''s'!$C30+'Summary, PPI''s'!$C29)/('Predicted PPIs'!R30+'Predicted PPIs'!R29)))*IF(D$26=".", 1, (D30/D29)^(('Summary, PPI''s'!$D30+'Summary, PPI''s'!$D29)/('Predicted PPIs'!R30+'Predicted PPIs'!R29)))*IF(N$26=".", 1, (N30/N29)^(('Summary, PPI''s'!$N30+'Summary, PPI''s'!$N29)/('Predicted PPIs'!R30+'Predicted PPIs'!R29)))*IF(O$26=".", 1, (O30/O29)^(('Summary, PPI''s'!$O30+'Summary, PPI''s'!$O29)/('Predicted PPIs'!R30+'Predicted PPIs'!R29)))*IF(P$26=".", 1, (P30/P29)^(('Summary, PPI''s'!$P30+'Summary, PPI''s'!$P29)/('Predicted PPIs'!R30+'Predicted PPIs'!R29)))</f>
        <v>#VALUE!</v>
      </c>
      <c r="AA30" s="4">
        <f>AA29*IF(E$36=".", 1, (E30/E29)^(('Summary, PPI''s'!$E30+'Summary, PPI''s'!$E29)/('Predicted PPIs'!S30+'Predicted PPIs'!S29)))*IF(F$36=".", 1, (F30/F29)^(('Summary, PPI''s'!$F30+'Summary, PPI''s'!$F29)/('Predicted PPIs'!S30+'Predicted PPIs'!S29)))*IF(G$36=".", 1, (G30/G29)^(('Summary, PPI''s'!$G30+'Summary, PPI''s'!$G29)/('Predicted PPIs'!S30+'Predicted PPIs'!S29)))*IF(H$36=".", 1, (H30/H29)^(('Summary, PPI''s'!$H30+'Summary, PPI''s'!$H29)/('Predicted PPIs'!S30+'Predicted PPIs'!S29)))*IF(I$36=".", 1, (I30/I29)^(('Summary, PPI''s'!$I30+'Summary, PPI''s'!$I29)/('Predicted PPIs'!S30+'Predicted PPIs'!S29)))*IF(J$36=".", 1, (J30/J29)^(('Summary, PPI''s'!$J30+'Summary, PPI''s'!$J29)/('Predicted PPIs'!S30+'Predicted PPIs'!S29)))*IF(K$36=".", 1, (K30/K29)^(('Summary, PPI''s'!$K30+'Summary, PPI''s'!$K29)/('Predicted PPIs'!S30+'Predicted PPIs'!S29)))*IF(L$36=".", 1, (L30/L29)^(('Summary, PPI''s'!$L30+'Summary, PPI''s'!$L29)/('Predicted PPIs'!S30+'Predicted PPIs'!S29)))*IF(M$36=".", 1, (M30/M29)^(('Summary, PPI''s'!$M30+'Summary, PPI''s'!$M29)/('Predicted PPIs'!S30+'Predicted PPIs'!S29)))*IF(B$36=".", 1, (B30/B29)^(('Summary, PPI''s'!$B30+'Summary, PPI''s'!$B29)/('Predicted PPIs'!S30+'Predicted PPIs'!S29)))*IF(C$36=".", 1, (C30/C29)^(('Summary, PPI''s'!$C30+'Summary, PPI''s'!$C29)/('Predicted PPIs'!S30+'Predicted PPIs'!S29)))*IF(D$36=".", 1, (D30/D29)^(('Summary, PPI''s'!$D30+'Summary, PPI''s'!$D29)/('Predicted PPIs'!S30+'Predicted PPIs'!S29)))*IF(N$36=".", 1, (N30/N29)^(('Summary, PPI''s'!$N30+'Summary, PPI''s'!$N29)/('Predicted PPIs'!S30+'Predicted PPIs'!S29)))*IF(O$36=".", 1, (O30/O29)^(('Summary, PPI''s'!$O30+'Summary, PPI''s'!$O29)/('Predicted PPIs'!S30+'Predicted PPIs'!S29)))*IF(P$36=".", 1, (P30/P29)^(('Summary, PPI''s'!$P30+'Summary, PPI''s'!$P29)/('Predicted PPIs'!S30+'Predicted PPIs'!S29)))</f>
        <v>60.289245894570755</v>
      </c>
      <c r="AB30" s="4">
        <f>AB29*IF(E$46=".", 1, (E30/E29)^(('Summary, PPI''s'!$E30+'Summary, PPI''s'!$E29)/('Predicted PPIs'!T30+'Predicted PPIs'!T29)))*IF(F$46=".", 1, (F30/F29)^(('Summary, PPI''s'!$F30+'Summary, PPI''s'!$F29)/('Predicted PPIs'!T30+'Predicted PPIs'!T29)))*IF(G$46=".", 1, (G30/G29)^(('Summary, PPI''s'!$G30+'Summary, PPI''s'!$G29)/('Predicted PPIs'!T30+'Predicted PPIs'!T29)))*IF(H$46=".", 1, (H30/H29)^(('Summary, PPI''s'!$H30+'Summary, PPI''s'!$H29)/('Predicted PPIs'!T30+'Predicted PPIs'!T29)))*IF(I$46=".", 1, (I30/I29)^(('Summary, PPI''s'!$I30+'Summary, PPI''s'!$I29)/('Predicted PPIs'!T30+'Predicted PPIs'!T29)))*IF(J$46=".", 1, (J30/J29)^(('Summary, PPI''s'!$J30+'Summary, PPI''s'!$J29)/('Predicted PPIs'!T30+'Predicted PPIs'!T29)))*IF(K$46=".", 1, (K30/K29)^(('Summary, PPI''s'!$K30+'Summary, PPI''s'!$K29)/('Predicted PPIs'!T30+'Predicted PPIs'!T29)))*IF(L$46=".", 1, (L30/L29)^(('Summary, PPI''s'!$L30+'Summary, PPI''s'!$L29)/('Predicted PPIs'!T30+'Predicted PPIs'!T29)))*IF(M$46=".", 1, (M30/M29)^(('Summary, PPI''s'!$M30+'Summary, PPI''s'!$M29)/('Predicted PPIs'!T30+'Predicted PPIs'!T29)))*IF(B$46=".", 1, (B30/B29)^(('Summary, PPI''s'!$B30+'Summary, PPI''s'!$B29)/('Predicted PPIs'!T30+'Predicted PPIs'!T29)))*IF(C$46=".", 1, (C30/C29)^(('Summary, PPI''s'!$C30+'Summary, PPI''s'!$C29)/('Predicted PPIs'!T30+'Predicted PPIs'!T29)))*IF(D$46=".", 1, (D30/D29)^(('Summary, PPI''s'!$D30+'Summary, PPI''s'!$D29)/('Predicted PPIs'!T30+'Predicted PPIs'!T29)))*IF(N$46=".", 1, (N30/N29)^(('Summary, PPI''s'!$N30+'Summary, PPI''s'!$N29)/('Predicted PPIs'!T30+'Predicted PPIs'!T29)))*IF(O$46=".", 1, (O30/O29)^(('Summary, PPI''s'!$O30+'Summary, PPI''s'!$O29)/('Predicted PPIs'!T30+'Predicted PPIs'!T29)))*IF(P$46=".", 1, (P30/P29)^(('Summary, PPI''s'!$P30+'Summary, PPI''s'!$P29)/('Predicted PPIs'!T30+'Predicted PPIs'!T29)))</f>
        <v>58.467771348088597</v>
      </c>
      <c r="AC30" s="4">
        <f>AC29*IF(E$60=".",1,(E30/E29)^(('Summary, PPI''s'!$E30+'Summary, PPI''s'!$E29)/('Predicted PPIs'!U30+'Predicted PPIs'!U29)))*IF(F$60=".",1,(F30/F29)^(('Summary, PPI''s'!$F30+'Summary, PPI''s'!$F29)/('Predicted PPIs'!U30+'Predicted PPIs'!U29)))*IF(G$60=".",1,(G30/G29)^(('Summary, PPI''s'!$G30+'Summary, PPI''s'!$G29)/('Predicted PPIs'!U30+'Predicted PPIs'!U29)))*IF(H$60=".",1,(H30/H29)^(('Summary, PPI''s'!$H30+'Summary, PPI''s'!$H29)/('Predicted PPIs'!U30+'Predicted PPIs'!U29)))*IF(I$60=".",1,(I30/I29)^(('Summary, PPI''s'!$I30+'Summary, PPI''s'!$I29)/('Predicted PPIs'!U30+'Predicted PPIs'!U29)))*IF(J$60=".",1,(J30/J29)^(('Summary, PPI''s'!$J30+'Summary, PPI''s'!$J29)/('Predicted PPIs'!U30+'Predicted PPIs'!U29)))*IF(K$60=".",1,(K30/K29)^(('Summary, PPI''s'!$K30+'Summary, PPI''s'!$K29)/('Predicted PPIs'!U30+'Predicted PPIs'!U29)))*IF(L$60=".",1,(L30/L29)^(('Summary, PPI''s'!$L30+'Summary, PPI''s'!$L29)/('Predicted PPIs'!U30+'Predicted PPIs'!U29)))*IF(M$60=".",1,(M30/M29)^(('Summary, PPI''s'!$M30+'Summary, PPI''s'!$M29)/('Predicted PPIs'!U30+'Predicted PPIs'!U29)))*IF(B$60=".",1,(B30/B29)^(('Summary, PPI''s'!$B30+'Summary, PPI''s'!$B29)/('Predicted PPIs'!U30+'Predicted PPIs'!U29)))*IF(C$60=".",1,(C30/C29)^(('Summary, PPI''s'!$C30+'Summary, PPI''s'!$C29)/('Predicted PPIs'!U30+'Predicted PPIs'!U29)))*IF(D$60=".",1,(D30/D29)^(('Summary, PPI''s'!$D30+'Summary, PPI''s'!$D29)/('Predicted PPIs'!U30+'Predicted PPIs'!U29)))*IF(N$60=".",1,(N30/N29)^(('Summary, PPI''s'!$N30+'Summary, PPI''s'!$N29)/('Predicted PPIs'!U30+'Predicted PPIs'!U29)))*IF(O$60=".",1,(O30/O29)^(('Summary, PPI''s'!$O30+'Summary, PPI''s'!$O29)/('Predicted PPIs'!U30+'Predicted PPIs'!U29)))*IF(P$60=".",1,(P30/P29)^(('Summary, PPI''s'!$P30+'Summary, PPI''s'!$P29)/('Predicted PPIs'!U30+'Predicted PPIs'!U29)))</f>
        <v>64.112047396300071</v>
      </c>
      <c r="AD30" s="4">
        <f>AD29*IF(E$73=".", 1, (E30/E29)^(('Summary, PPI''s'!$E30+'Summary, PPI''s'!$E29)/('Predicted PPIs'!V30+'Predicted PPIs'!V29)))*IF(F$73=".", 1, (F30/F29)^(('Summary, PPI''s'!$F30+'Summary, PPI''s'!$F29)/('Predicted PPIs'!V30+'Predicted PPIs'!V29)))*IF(G$73=".", 1, (G30/G29)^(('Summary, PPI''s'!$G30+'Summary, PPI''s'!$G29)/('Predicted PPIs'!V30+'Predicted PPIs'!V29)))*IF(H$73=".", 1, (H30/H29)^(('Summary, PPI''s'!$H30+'Summary, PPI''s'!$H29)/('Predicted PPIs'!V30+'Predicted PPIs'!V29)))*IF(I$73=".", 1, (I30/I29)^(('Summary, PPI''s'!$I30+'Summary, PPI''s'!$I29)/('Predicted PPIs'!V30+'Predicted PPIs'!V29)))*IF(J$73=".", 1, (J30/J29)^(('Summary, PPI''s'!$J30+'Summary, PPI''s'!$J29)/('Predicted PPIs'!V30+'Predicted PPIs'!V29)))*IF(K$73=".", 1, (K30/K29)^(('Summary, PPI''s'!$K30+'Summary, PPI''s'!$K29)/('Predicted PPIs'!V30+'Predicted PPIs'!V29)))*IF(L$73=".", 1, (L30/L29)^(('Summary, PPI''s'!$L30+'Summary, PPI''s'!$L29)/('Predicted PPIs'!V30+'Predicted PPIs'!V29)))*IF(M$73=".", 1, (M30/M29)^(('Summary, PPI''s'!$M30+'Summary, PPI''s'!$M29)/('Predicted PPIs'!V30+'Predicted PPIs'!V29)))*IF(B$73=".", 1, (B30/B29)^(('Summary, PPI''s'!$B30+'Summary, PPI''s'!$B29)/('Predicted PPIs'!V30+'Predicted PPIs'!V29)))*IF(C$73=".", 1, (C30/C29)^(('Summary, PPI''s'!$C30+'Summary, PPI''s'!$C29)/('Predicted PPIs'!V30+'Predicted PPIs'!V29)))*IF(D$73=".", 1, (D30/D29)^(('Summary, PPI''s'!$D30+'Summary, PPI''s'!$D29)/('Predicted PPIs'!V30+'Predicted PPIs'!V29)))*IF(N$73=".", 1, (N30/N29)^(('Summary, PPI''s'!$N30+'Summary, PPI''s'!$N29)/('Predicted PPIs'!V30+'Predicted PPIs'!V29)))*IF(O$73=".", 1, (O30/O29)^(('Summary, PPI''s'!$O30+'Summary, PPI''s'!$O29)/('Predicted PPIs'!V30+'Predicted PPIs'!V29)))*IF(P$73=".", 1, (P30/P29)^(('Summary, PPI''s'!$P30+'Summary, PPI''s'!$P29)/('Predicted PPIs'!V30+'Predicted PPIs'!V29)))</f>
        <v>62.420135277638401</v>
      </c>
      <c r="AE30" s="4">
        <f>AE29*IF(E$94=".", 1, (E30/E29)^(('Summary, PPI''s'!$E30+'Summary, PPI''s'!$E29)/('Predicted PPIs'!W30+'Predicted PPIs'!W29)))*IF(F$94=".", 1, (F30/F29)^(('Summary, PPI''s'!$F30+'Summary, PPI''s'!$F29)/('Predicted PPIs'!W30+'Predicted PPIs'!W29)))*IF(G$94=".", 1, (G30/G29)^(('Summary, PPI''s'!$G30+'Summary, PPI''s'!$G29)/('Predicted PPIs'!W30+'Predicted PPIs'!W29)))*IF(H$94=".", 1, (H30/H29)^(('Summary, PPI''s'!$H30+'Summary, PPI''s'!$H29)/('Predicted PPIs'!W30+'Predicted PPIs'!W29)))*IF(I$94=".", 1, (I30/I29)^(('Summary, PPI''s'!$I30+'Summary, PPI''s'!$I29)/('Predicted PPIs'!W30+'Predicted PPIs'!W29)))*IF(J$94=".", 1, (J30/J29)^(('Summary, PPI''s'!$J30+'Summary, PPI''s'!$J29)/('Predicted PPIs'!W30+'Predicted PPIs'!W29)))*IF(K$94=".", 1, (K30/K29)^(('Summary, PPI''s'!$K30+'Summary, PPI''s'!$K29)/('Predicted PPIs'!W30+'Predicted PPIs'!W29)))*IF(L$94=".", 1, (L30/L29)^(('Summary, PPI''s'!$L30+'Summary, PPI''s'!$L29)/('Predicted PPIs'!W30+'Predicted PPIs'!W29)))*IF(M$94=".", 1, (M30/M29)^(('Summary, PPI''s'!$M30+'Summary, PPI''s'!$M29)/('Predicted PPIs'!W30+'Predicted PPIs'!W29)))*IF(B$94=".", 1, (B30/B29)^(('Summary, PPI''s'!$B30+'Summary, PPI''s'!$B29)/('Predicted PPIs'!W30+'Predicted PPIs'!W29)))*IF(C$94=".", 1, (C30/C29)^(('Summary, PPI''s'!$C30+'Summary, PPI''s'!$C29)/('Predicted PPIs'!W30+'Predicted PPIs'!W29)))*IF(D$94=".", 1, (D30/D29)^(('Summary, PPI''s'!$D30+'Summary, PPI''s'!$D29)/('Predicted PPIs'!W30+'Predicted PPIs'!W29)))*IF(N$94=".", 1, (N30/N29)^(('Summary, PPI''s'!$N30+'Summary, PPI''s'!$N29)/('Predicted PPIs'!W30+'Predicted PPIs'!W29)))*IF(O$94=".", 1, (O30/O29)^(('Summary, PPI''s'!$O30+'Summary, PPI''s'!$O29)/('Predicted PPIs'!W30+'Predicted PPIs'!W29)))*IF(P$94=".", 1, (P30/P29)^(('Summary, PPI''s'!$P30+'Summary, PPI''s'!$P29)/('Predicted PPIs'!W30+'Predicted PPIs'!W29)))</f>
        <v>58.396395086697417</v>
      </c>
      <c r="AF30" s="4">
        <f>AF29*IF(E$123=".", 1, (E30/E29)^(('Summary, PPI''s'!$E30+'Summary, PPI''s'!$E29)/('Predicted PPIs'!X30+'Predicted PPIs'!X29)))*IF(F$123=".", 1, (F30/F29)^(('Summary, PPI''s'!$F30+'Summary, PPI''s'!$F29)/('Predicted PPIs'!X30+'Predicted PPIs'!X29)))*IF(G$123=".", 1, (G30/G29)^(('Summary, PPI''s'!$G30+'Summary, PPI''s'!$G29)/('Predicted PPIs'!X30+'Predicted PPIs'!X29)))*IF(H$123=".", 1, (H30/H29)^(('Summary, PPI''s'!$H30+'Summary, PPI''s'!$H29)/('Predicted PPIs'!X30+'Predicted PPIs'!X29)))*IF(I$123=".", 1, (I30/I29)^(('Summary, PPI''s'!$I30+'Summary, PPI''s'!$I29)/('Predicted PPIs'!X30+'Predicted PPIs'!X29)))*IF(J$123=".", 1, (J30/J29)^(('Summary, PPI''s'!$J30+'Summary, PPI''s'!$J29)/('Predicted PPIs'!X30+'Predicted PPIs'!X29)))*IF(K$123=".", 1, (K30/K29)^(('Summary, PPI''s'!$K30+'Summary, PPI''s'!$K29)/('Predicted PPIs'!X30+'Predicted PPIs'!X29)))*IF(L$123=".", 1, (L30/L29)^(('Summary, PPI''s'!$L30+'Summary, PPI''s'!$L29)/('Predicted PPIs'!X30+'Predicted PPIs'!X29)))*IF(M$123=".", 1, (M30/M29)^(('Summary, PPI''s'!$M30+'Summary, PPI''s'!$M29)/('Predicted PPIs'!X30+'Predicted PPIs'!X29)))*IF(B$123=".", 1, (B30/B29)^(('Summary, PPI''s'!$B30+'Summary, PPI''s'!$B29)/('Predicted PPIs'!X30+'Predicted PPIs'!X29)))*IF(C$123=".", 1, (C30/C29)^(('Summary, PPI''s'!$C30+'Summary, PPI''s'!$C29)/('Predicted PPIs'!X30+'Predicted PPIs'!X29)))*IF(D$123=".", 1, (D30/D29)^(('Summary, PPI''s'!$D30+'Summary, PPI''s'!$D29)/('Predicted PPIs'!X30+'Predicted PPIs'!X29)))*IF(N$123=".", 1, (N30/N29)^(('Summary, PPI''s'!$N30+'Summary, PPI''s'!$N29)/('Predicted PPIs'!X30+'Predicted PPIs'!X29)))*IF(O$123=".", 1, (O30/O29)^(('Summary, PPI''s'!$O30+'Summary, PPI''s'!$O29)/('Predicted PPIs'!X30+'Predicted PPIs'!X29)))*IF(P$123=".", 1, (P30/P29)^(('Summary, PPI''s'!$P30+'Summary, PPI''s'!$P29)/('Predicted PPIs'!X30+'Predicted PPIs'!X29)))</f>
        <v>54.817788122119659</v>
      </c>
      <c r="AH30" s="13">
        <f t="shared" si="32"/>
        <v>67.952958448244914</v>
      </c>
      <c r="AJ30" s="4">
        <v>4452</v>
      </c>
      <c r="AK30" s="4">
        <v>-0.54300000000000004</v>
      </c>
      <c r="AL30" s="4">
        <v>-488.51</v>
      </c>
      <c r="AM30" s="4">
        <v>-8.0670000000000002</v>
      </c>
      <c r="AN30" s="4">
        <v>4740.5</v>
      </c>
      <c r="AO30" s="4">
        <v>1079.3</v>
      </c>
      <c r="AP30" s="4">
        <f>('[3]1993'!$I$14+'[3]1993'!$I$69+'[3]1993'!$I$71-'[3]1993'!$I$73)*0.001</f>
        <v>-52.52</v>
      </c>
      <c r="AQ30" s="4">
        <f>('[3]1993'!$AY$56+'[3]1993'!$AY$69+'[3]1993'!$AY$71-'[3]1993'!$AY$73)*0.001</f>
        <v>-203.364</v>
      </c>
      <c r="AR30" s="4">
        <v>-20.170000000000002</v>
      </c>
      <c r="AS30" s="4">
        <v>-33.396999999999998</v>
      </c>
      <c r="AT30" s="4">
        <v>68.757999999999996</v>
      </c>
      <c r="AU30" s="4">
        <v>72.48</v>
      </c>
      <c r="AV30" s="4">
        <v>60.917000000000002</v>
      </c>
      <c r="AW30" s="4">
        <v>46.441000000000003</v>
      </c>
      <c r="AX30" s="4">
        <v>64.186000000000007</v>
      </c>
      <c r="AY30" s="4">
        <v>82.710999999999999</v>
      </c>
      <c r="AZ30" s="4">
        <v>42.921999999999997</v>
      </c>
      <c r="BA30" s="4">
        <v>67.040000000000006</v>
      </c>
      <c r="BB30" s="4">
        <v>102.249</v>
      </c>
      <c r="BC30" s="4">
        <v>81.385999999999996</v>
      </c>
      <c r="BG30" s="4">
        <f t="shared" si="50"/>
        <v>59.197793330611191</v>
      </c>
      <c r="BI30" s="4">
        <f>BI$13*'[2]Ordinary Experience'!$D$396/'[2]Ordinary Experience'!$D$413</f>
        <v>258324980.46318969</v>
      </c>
      <c r="BJ30" s="4">
        <f>'[2]Ordinary Experience'!$E$396</f>
        <v>21.469951033666963</v>
      </c>
      <c r="BL30" s="4">
        <f t="shared" si="0"/>
        <v>73.627316676676799</v>
      </c>
      <c r="BM30" s="4">
        <f t="shared" si="34"/>
        <v>3.3689095589670259E-2</v>
      </c>
      <c r="BO30" s="4">
        <f>IF(OR('Summary, hourly ad costs'!R30=-9999,'Summary, PPI''s'!R30="."),".",(('Summary, hourly ad costs'!B30/'Summary, hourly ad costs'!R30)*100/('Summary, hourly ad costs'!B$11/'Summary, hourly ad costs'!R$11))/('Summary, PPI''s'!R30))</f>
        <v>0.91670717336055141</v>
      </c>
      <c r="BP30" s="4" t="str">
        <f>IF(OR('Summary, hourly ad costs'!S30=-9999,'Summary, PPI''s'!S30="."),".",(('Summary, hourly ad costs'!C30/'Summary, hourly ad costs'!S30)*100/('Summary, hourly ad costs'!C$11/'Summary, hourly ad costs'!S$11))/('Summary, PPI''s'!S30))</f>
        <v>.</v>
      </c>
      <c r="BQ30" s="4" t="str">
        <f>IF(OR('Summary, hourly ad costs'!T30=-9999,'Summary, PPI''s'!T30="."),".",(('Summary, hourly ad costs'!D30/'Summary, hourly ad costs'!T30)*100/('Summary, hourly ad costs'!D$11/'Summary, hourly ad costs'!T$11))/('Summary, PPI''s'!T30))</f>
        <v>.</v>
      </c>
      <c r="BR30" s="4">
        <f>IF(OR('Summary, hourly ad costs'!U30=-9999,'Summary, PPI''s'!U30="."),".",(('Summary, hourly ad costs'!E30/'Summary, hourly ad costs'!U30)*100/('Summary, hourly ad costs'!E$11/'Summary, hourly ad costs'!U$11))/('Summary, PPI''s'!U30))</f>
        <v>1.7671415535987867</v>
      </c>
      <c r="BS30" s="4">
        <f>IF(OR('Summary, hourly ad costs'!V30=-9999,'Summary, PPI''s'!V30="."),".",(('Summary, hourly ad costs'!F30/'Summary, hourly ad costs'!V30)*100/('Summary, hourly ad costs'!F$11/'Summary, hourly ad costs'!V$11))/('Summary, PPI''s'!V30))</f>
        <v>1.6083665826250262</v>
      </c>
      <c r="BT30" s="4" t="str">
        <f>IF(OR('Summary, hourly ad costs'!W30=-9999,'Summary, PPI''s'!W30="."),".",(('Summary, hourly ad costs'!G30/'Summary, hourly ad costs'!W30)*100/('Summary, hourly ad costs'!G$11/'Summary, hourly ad costs'!W$11))/('Summary, PPI''s'!W30))</f>
        <v>.</v>
      </c>
      <c r="BU30" s="4">
        <f>IF(OR('Summary, hourly ad costs'!X30=-9999,'Summary, PPI''s'!X30="."),".",(('Summary, hourly ad costs'!H30/'Summary, hourly ad costs'!X30)*100/('Summary, hourly ad costs'!H$11/'Summary, hourly ad costs'!X$11))/('Summary, PPI''s'!X30))</f>
        <v>1.1131951203368597</v>
      </c>
      <c r="BV30" s="4">
        <f>IF(OR('Summary, hourly ad costs'!Y30=-9999,'Summary, PPI''s'!Y30="."),".",(('Summary, hourly ad costs'!I30/'Summary, hourly ad costs'!Y30)*100/('Summary, hourly ad costs'!I$11/'Summary, hourly ad costs'!Y$11))/('Summary, PPI''s'!Y30))</f>
        <v>0.6520113644972545</v>
      </c>
      <c r="BW30" s="4">
        <f>IF(OR('Summary, hourly ad costs'!Z30=-9999,'Summary, PPI''s'!Z30="."),".",(('Summary, hourly ad costs'!J30/'Summary, hourly ad costs'!Z30)*100/('Summary, hourly ad costs'!J$11/'Summary, hourly ad costs'!Z$11))/('Summary, PPI''s'!Z30))</f>
        <v>0.72289329332641261</v>
      </c>
      <c r="BX30" s="4">
        <f>IF(OR('Summary, hourly ad costs'!AA30=-9999,'Summary, PPI''s'!AA30="."),".",(('Summary, hourly ad costs'!K30/'Summary, hourly ad costs'!AA30)*100/('Summary, hourly ad costs'!K$11/'Summary, hourly ad costs'!AA$11))/('Summary, PPI''s'!AA30))</f>
        <v>1.2784835397041645</v>
      </c>
      <c r="BY30" s="4" t="str">
        <f>IF(OR('Summary, hourly ad costs'!AB30=-9999,'Summary, PPI''s'!AB30="."),".",(('Summary, hourly ad costs'!L30/'Summary, hourly ad costs'!AB30)*100/('Summary, hourly ad costs'!L$11/'Summary, hourly ad costs'!AB$11))/('Summary, PPI''s'!AB30))</f>
        <v>.</v>
      </c>
      <c r="BZ30" s="4" t="str">
        <f>IF(OR('Summary, hourly ad costs'!AC30=-9999,'Summary, PPI''s'!AC30="."),".",(('Summary, hourly ad costs'!M30/'Summary, hourly ad costs'!AC30)*100/('Summary, hourly ad costs'!M$11/'Summary, hourly ad costs'!AC$11))/('Summary, PPI''s'!AC30))</f>
        <v>.</v>
      </c>
      <c r="CA30" s="4" t="str">
        <f>IF(OR('Summary, hourly ad costs'!AD30=-9999,'Summary, PPI''s'!AD30="."),".",(('Summary, hourly ad costs'!N30/'Summary, hourly ad costs'!AD30)*100/('Summary, hourly ad costs'!N$11/'Summary, hourly ad costs'!AD$11))/('Summary, PPI''s'!AD30))</f>
        <v>.</v>
      </c>
      <c r="CB30" s="4" t="str">
        <f>IF(OR('Summary, hourly ad costs'!AE30=-9999,'Summary, PPI''s'!AE30="."),".",(('Summary, hourly ad costs'!O30/'Summary, hourly ad costs'!AE30)*100/('Summary, hourly ad costs'!O$11/'Summary, hourly ad costs'!AE$11))/('Summary, PPI''s'!AE30))</f>
        <v>.</v>
      </c>
      <c r="CC30" s="4" t="str">
        <f>IF(OR('Summary, hourly ad costs'!AF30=-9999,'Summary, PPI''s'!AF30="."),".",(('Summary, hourly ad costs'!P30/'Summary, hourly ad costs'!AF30)*100/('Summary, hourly ad costs'!P$11/'Summary, hourly ad costs'!AF$11))/('Summary, PPI''s'!AF30))</f>
        <v>.</v>
      </c>
      <c r="CE30" s="4">
        <f t="shared" ref="CE30:CE45" si="80">IF(OR(BO30=".",BO31="."), ".", BO30/BO31-1)</f>
        <v>-1.4311036976372371E-2</v>
      </c>
      <c r="CF30" s="4" t="str">
        <f t="shared" ref="CF30:CF45" si="81">IF(OR(BP30=".",BP31="."), ".", BP30/BP31-1)</f>
        <v>.</v>
      </c>
      <c r="CG30" s="4" t="str">
        <f t="shared" ref="CG30:CG45" si="82">IF(OR(BQ30=".",BQ31="."), ".", BQ30/BQ31-1)</f>
        <v>.</v>
      </c>
      <c r="CH30" s="4">
        <f t="shared" ref="CH30:CH45" si="83">IF(OR(BR30=".",BR31="."), ".", BR30/BR31-1)</f>
        <v>6.4159296294619139E-3</v>
      </c>
      <c r="CI30" s="4">
        <f t="shared" ref="CI30:CI45" si="84">IF(OR(BS30=".",BS31="."), ".", BS30/BS31-1)</f>
        <v>2.4246233561304509E-2</v>
      </c>
      <c r="CJ30" s="4" t="str">
        <f t="shared" ref="CJ30:CJ45" si="85">IF(OR(BT30=".",BT31="."), ".", BT30/BT31-1)</f>
        <v>.</v>
      </c>
      <c r="CK30" s="4">
        <f t="shared" ref="CK30:CK45" si="86">IF(OR(BU30=".",BU31="."), ".", BU30/BU31-1)</f>
        <v>5.7107737552408722E-5</v>
      </c>
      <c r="CL30" s="4">
        <f t="shared" ref="CL30:CL45" si="87">IF(OR(BV30=".",BV31="."), ".", BV30/BV31-1)</f>
        <v>3.2344122520426843E-3</v>
      </c>
      <c r="CM30" s="4">
        <f t="shared" ref="CM30:CM45" si="88">IF(OR(BW30=".",BW31="."), ".", BW30/BW31-1)</f>
        <v>-7.7736815455961894E-2</v>
      </c>
      <c r="CN30" s="4">
        <f>_xlfn.FORECAST.LINEAR($BM30,CN$9:CN$29,$BM$9:$BM$29)</f>
        <v>4.39501085024184E-3</v>
      </c>
      <c r="CO30" s="4">
        <f t="shared" si="79"/>
        <v>0.21549095900270562</v>
      </c>
      <c r="CP30" s="4">
        <f t="shared" si="79"/>
        <v>0.10168233354196507</v>
      </c>
      <c r="CQ30" s="4" t="str">
        <f t="shared" si="62"/>
        <v>.</v>
      </c>
      <c r="CR30" s="4" t="str">
        <f t="shared" si="63"/>
        <v>.</v>
      </c>
      <c r="CS30" s="4" t="str">
        <f t="shared" si="64"/>
        <v>.</v>
      </c>
      <c r="CU30" s="5">
        <f>IF(CU29=".", ".", IF('Summary, PPI''s'!R30=".",IF(OR('Summary, hourly ad costs'!R30=-9999,'Summary, hourly ad costs'!R30=0), ".", 'Predicted PPIs'!CU29*('Summary, hourly ad costs'!B30/'Summary, hourly ad costs'!R30)/('Summary, hourly ad costs'!B29/'Summary, hourly ad costs'!R29)/(1-CE29)), 'Summary, PPI''s'!R30))</f>
        <v>88.188850360096012</v>
      </c>
      <c r="CV30" s="5">
        <f>IF(CV29=".", ".", IF('Summary, PPI''s'!S30=".",IF(OR('Summary, hourly ad costs'!S30=-9999,'Summary, hourly ad costs'!S30=0), ".", 'Predicted PPIs'!CV29*('Summary, hourly ad costs'!C30/'Summary, hourly ad costs'!S30)/('Summary, hourly ad costs'!C29/'Summary, hourly ad costs'!S29)/(1-CF29)), 'Summary, PPI''s'!S30))</f>
        <v>88.188850360096012</v>
      </c>
      <c r="CW30" s="5">
        <f>IF(CW29=".", ".", IF('Summary, PPI''s'!T30=".",IF(OR('Summary, hourly ad costs'!T30=-9999,'Summary, hourly ad costs'!T30=0), ".", 'Predicted PPIs'!CW29*('Summary, hourly ad costs'!D30/'Summary, hourly ad costs'!T30)/('Summary, hourly ad costs'!D29/'Summary, hourly ad costs'!T29)/(1-CG29)), 'Summary, PPI''s'!T30))</f>
        <v>74.168218654049454</v>
      </c>
      <c r="CX30" s="5">
        <f>IF(CX29=".", ".", IF('Summary, PPI''s'!U30=".",IF(OR('Summary, hourly ad costs'!U30=-9999,'Summary, hourly ad costs'!U30=0), ".", 'Predicted PPIs'!CX29*('Summary, hourly ad costs'!E30/'Summary, hourly ad costs'!U30)/('Summary, hourly ad costs'!E29/'Summary, hourly ad costs'!U29)/(1-CH29)), 'Summary, PPI''s'!U30))</f>
        <v>52.914921521343658</v>
      </c>
      <c r="CY30" s="5">
        <f>IF(CY29=".", ".", IF('Summary, PPI''s'!V30=".",IF(OR('Summary, hourly ad costs'!V30=-9999,'Summary, hourly ad costs'!V30=0), ".", 'Predicted PPIs'!CY29*('Summary, hourly ad costs'!F30/'Summary, hourly ad costs'!V30)/('Summary, hourly ad costs'!F29/'Summary, hourly ad costs'!V29)/(1-CI29)), 'Summary, PPI''s'!V30))</f>
        <v>51.344783557807155</v>
      </c>
      <c r="CZ30" s="5">
        <f>IF(CZ29=".", ".", IF('Summary, PPI''s'!W30=".",IF(OR('Summary, hourly ad costs'!W30=-9999,'Summary, hourly ad costs'!W30=0), ".", 'Predicted PPIs'!CZ29*('Summary, hourly ad costs'!G30/'Summary, hourly ad costs'!W30)/('Summary, hourly ad costs'!G29/'Summary, hourly ad costs'!W29)/(1-CJ29)), 'Summary, PPI''s'!W30))</f>
        <v>56.713485617101128</v>
      </c>
      <c r="DA30" s="5">
        <f>IF(DA29=".", ".", IF('Summary, PPI''s'!X30=".",IF(OR('Summary, hourly ad costs'!X30=-9999,'Summary, hourly ad costs'!X30=0), ".", 'Predicted PPIs'!DA29*('Summary, hourly ad costs'!H30/'Summary, hourly ad costs'!X30)/('Summary, hourly ad costs'!H29/'Summary, hourly ad costs'!X29)/(1-CK29)), 'Summary, PPI''s'!X30))</f>
        <v>53.622</v>
      </c>
      <c r="DB30" s="5">
        <f>IF(DB29=".", ".", IF('Summary, PPI''s'!Y30=".",IF(OR('Summary, hourly ad costs'!Y30=-9999,'Summary, hourly ad costs'!Y30=0), ".", 'Predicted PPIs'!DB29*('Summary, hourly ad costs'!I30/'Summary, hourly ad costs'!Y30)/('Summary, hourly ad costs'!I29/'Summary, hourly ad costs'!Y29)/(1-CL29)), 'Summary, PPI''s'!Y30))</f>
        <v>65.628614993755775</v>
      </c>
      <c r="DC30" s="5">
        <f>IF(DC29=".", ".", IF('Summary, PPI''s'!Z30=".",IF(OR('Summary, hourly ad costs'!Z30=-9999,'Summary, hourly ad costs'!Z30=0), ".", 'Predicted PPIs'!DC29*('Summary, hourly ad costs'!J30/'Summary, hourly ad costs'!Z30)/('Summary, hourly ad costs'!J29/'Summary, hourly ad costs'!Z29)/(1-CM29)), 'Summary, PPI''s'!Z30))</f>
        <v>65.450166579939562</v>
      </c>
      <c r="DD30" s="5">
        <f>IF(DD29=".", ".", IF('Summary, PPI''s'!AA30=".",IF(OR('Summary, hourly ad costs'!AA30=-9999,'Summary, hourly ad costs'!AA30=0), ".", 'Predicted PPIs'!DD29*('Summary, hourly ad costs'!K30/'Summary, hourly ad costs'!AA30)/('Summary, hourly ad costs'!K29/'Summary, hourly ad costs'!AA29)/(1-CN29)), 'Summary, PPI''s'!AA30))</f>
        <v>45.333533963597105</v>
      </c>
      <c r="DE30" s="5" t="str">
        <f>IF(DE29=".", ".", IF('Summary, PPI''s'!AB30=".",IF(OR('Summary, hourly ad costs'!AB30=-9999,'Summary, hourly ad costs'!AB30=0), ".", 'Predicted PPIs'!DE29*('Summary, hourly ad costs'!L30/'Summary, hourly ad costs'!AB30)/('Summary, hourly ad costs'!L29/'Summary, hourly ad costs'!AB29)/(1-CO29)), 'Summary, PPI''s'!AB30))</f>
        <v>.</v>
      </c>
      <c r="DF30" s="5" t="str">
        <f>IF(DF29=".", ".", IF('Summary, PPI''s'!AC30=".",IF(OR('Summary, hourly ad costs'!AC30=-9999,'Summary, hourly ad costs'!AC30=0), ".", 'Predicted PPIs'!DF29*('Summary, hourly ad costs'!M30/'Summary, hourly ad costs'!AC30)/('Summary, hourly ad costs'!M29/'Summary, hourly ad costs'!AC29)/(1-CP29)), 'Summary, PPI''s'!AC30))</f>
        <v>.</v>
      </c>
      <c r="DG30" s="5">
        <f>IF(DG29=".", ".", IF('Summary, PPI''s'!AD30=".",IF(OR('Summary, hourly ad costs'!AD30=-9999,'Summary, hourly ad costs'!AD30=0), ".", 'Predicted PPIs'!DG29*('Summary, hourly ad costs'!N30/'Summary, hourly ad costs'!AD30)/('Summary, hourly ad costs'!N29/'Summary, hourly ad costs'!AD29)/(1-CQ29)), 'Summary, PPI''s'!AD30))</f>
        <v>69.308256969870556</v>
      </c>
      <c r="DH30" s="5">
        <f>IF(DH29=".", ".", IF('Summary, PPI''s'!AE30=".",IF(OR('Summary, hourly ad costs'!AE30=-9999,'Summary, hourly ad costs'!AE30=0), ".", 'Predicted PPIs'!DH29*('Summary, hourly ad costs'!O30/'Summary, hourly ad costs'!AE30)/('Summary, hourly ad costs'!O29/'Summary, hourly ad costs'!AE29)/(1-CR29)), 'Summary, PPI''s'!AE30))</f>
        <v>51.831111403107869</v>
      </c>
      <c r="DI30" s="5">
        <f>IF(DI29=".", ".", IF('Summary, PPI''s'!AF30=".",IF(OR('Summary, hourly ad costs'!AF30=-9999,'Summary, hourly ad costs'!AF30=0), ".", 'Predicted PPIs'!DI29*('Summary, hourly ad costs'!P30/'Summary, hourly ad costs'!AF30)/('Summary, hourly ad costs'!P29/'Summary, hourly ad costs'!AF29)/(1-CS29)), 'Summary, PPI''s'!AF30))</f>
        <v>60.821395683453247</v>
      </c>
      <c r="DK30" s="4">
        <v>47.673999999999999</v>
      </c>
      <c r="DM30" s="5">
        <f t="shared" si="65"/>
        <v>-2.0643513531744095E-2</v>
      </c>
      <c r="DN30" s="5">
        <f t="shared" si="66"/>
        <v>-2.0643513531744095E-2</v>
      </c>
      <c r="DO30" s="5">
        <f t="shared" si="67"/>
        <v>-1.7283645755050703E-4</v>
      </c>
      <c r="DP30" s="5">
        <f t="shared" si="68"/>
        <v>1.1071847378942401E-2</v>
      </c>
      <c r="DQ30" s="5">
        <f t="shared" si="69"/>
        <v>-1.5857646838240869E-2</v>
      </c>
      <c r="DR30" s="5">
        <f t="shared" si="70"/>
        <v>2.2317871792330024E-3</v>
      </c>
      <c r="DS30" s="5">
        <f t="shared" si="71"/>
        <v>-2.7997150473757837E-2</v>
      </c>
      <c r="DT30" s="5">
        <f t="shared" si="72"/>
        <v>-2.08507812641201E-3</v>
      </c>
      <c r="DU30" s="5">
        <f t="shared" si="73"/>
        <v>-2.3945772542974808E-3</v>
      </c>
      <c r="DV30" s="5">
        <f t="shared" si="74"/>
        <v>1.5637621443578942E-2</v>
      </c>
      <c r="DW30" s="4">
        <f t="shared" si="78"/>
        <v>-0.11575057283285833</v>
      </c>
      <c r="DX30" s="4">
        <f t="shared" si="78"/>
        <v>3.8868770236741179E-2</v>
      </c>
      <c r="DY30" s="5">
        <f t="shared" si="75"/>
        <v>-1.3856094262088448E-2</v>
      </c>
      <c r="DZ30" s="5">
        <f t="shared" si="76"/>
        <v>-2.8237890077969507E-2</v>
      </c>
      <c r="EA30" s="5">
        <f t="shared" si="77"/>
        <v>-1.6914056058535465E-2</v>
      </c>
      <c r="EC30" s="1">
        <f t="shared" si="35"/>
        <v>88.188850360096012</v>
      </c>
      <c r="ED30" s="1">
        <f t="shared" si="36"/>
        <v>88.188850360096012</v>
      </c>
      <c r="EE30" s="1">
        <f t="shared" si="37"/>
        <v>74.168218654049454</v>
      </c>
      <c r="EF30" s="1">
        <f t="shared" si="38"/>
        <v>52.914921521343658</v>
      </c>
      <c r="EG30" s="1">
        <f t="shared" si="39"/>
        <v>51.344783557807155</v>
      </c>
      <c r="EH30" s="1">
        <f t="shared" si="40"/>
        <v>56.713485617101128</v>
      </c>
      <c r="EI30" s="1">
        <f t="shared" si="41"/>
        <v>53.622</v>
      </c>
      <c r="EJ30" s="1">
        <f t="shared" si="42"/>
        <v>65.628614993755775</v>
      </c>
      <c r="EK30" s="1">
        <f t="shared" si="43"/>
        <v>65.450166579939562</v>
      </c>
      <c r="EL30" s="1">
        <f t="shared" si="44"/>
        <v>45.333533963597105</v>
      </c>
      <c r="EM30" s="1">
        <f t="shared" si="45"/>
        <v>167.03329464259826</v>
      </c>
      <c r="EN30" s="1">
        <f t="shared" si="46"/>
        <v>96.817007664349347</v>
      </c>
      <c r="EO30" s="1">
        <f t="shared" si="47"/>
        <v>69.308256969870556</v>
      </c>
      <c r="EP30" s="1">
        <f t="shared" si="48"/>
        <v>51.831111403107869</v>
      </c>
      <c r="EQ30" s="1">
        <f t="shared" si="49"/>
        <v>60.821395683453247</v>
      </c>
      <c r="ES30" s="1">
        <f>IF(EF$26=".", 0, 'Summary, PPI''s'!E30)+IF(EG$26=".", 0, 'Summary, PPI''s'!F30)+IF(EH$26=".", 0, 'Summary, PPI''s'!G30)+IF(EI$26=".", 0, 'Summary, PPI''s'!H30)+IF(EJ$26=".", 0, 'Summary, PPI''s'!I30)+IF(EK$26=".", 0, 'Summary, PPI''s'!J30)+IF(EL$26=".", 0, 'Summary, PPI''s'!K30)+IF(EM$26=".", 0, 'Summary, PPI''s'!L30)+IF(EN$26=".", 0, 'Summary, PPI''s'!M30)+IF(EC$26=".", 0, 'Summary, PPI''s'!B30)+IF(ED$26=".", 0, 'Summary, PPI''s'!C30)+IF(EE$26=".", 0, 'Summary, PPI''s'!D30)+IF(EO$26=".", 0, 'Summary, PPI''s'!N30)+IF(EP$26=".", 0, 'Summary, PPI''s'!O30)+IF(EQ$26=".", 0, 'Summary, PPI''s'!P30)</f>
        <v>147103892.19452864</v>
      </c>
      <c r="ET30" s="1">
        <f>'Summary, hourly ad costs'!E30+'Summary, hourly ad costs'!F30+'Summary, hourly ad costs'!H30+'Summary, hourly ad costs'!I30+'Summary, hourly ad costs'!J30+'Summary, hourly ad costs'!K30+'Summary, hourly ad costs'!L30+'Summary, hourly ad costs'!M30+'Summary, hourly ad costs'!B30</f>
        <v>72617157.090225488</v>
      </c>
      <c r="EV30" s="13">
        <f>EV29*IF(EF$26=".", 1, (EF30/EF29)^(('Summary, PPI''s'!$E30+'Summary, PPI''s'!$E29)/('Predicted PPIs'!ES30+'Predicted PPIs'!ES29)))*IF(EG$26=".", 1, (EG30/EG29)^(('Summary, PPI''s'!$F30+'Summary, PPI''s'!$F29)/('Predicted PPIs'!ES30+'Predicted PPIs'!ES29)))*IF(EH$26=".", 1, (EH30/EH29)^(('Summary, PPI''s'!$G30+'Summary, PPI''s'!$G29)/('Predicted PPIs'!ES30+'Predicted PPIs'!ES29)))*IF(EI$26=".", 1, (EI30/EI29)^(('Summary, PPI''s'!$H30+'Summary, PPI''s'!$H29)/('Predicted PPIs'!ES30+'Predicted PPIs'!ES29)))*IF(EJ$26=".", 1, (EJ30/EJ29)^(('Summary, PPI''s'!$I30+'Summary, PPI''s'!$I29)/('Predicted PPIs'!ES30+'Predicted PPIs'!ES29)))*IF(EK$26=".", 1, (EK30/EK29)^(('Summary, PPI''s'!$J30+'Summary, PPI''s'!$J29)/('Predicted PPIs'!ES30+'Predicted PPIs'!ES29)))*IF(EL$26=".", 1, (EL30/EL29)^(('Summary, PPI''s'!$K30+'Summary, PPI''s'!$K29)/('Predicted PPIs'!ES30+'Predicted PPIs'!ES29)))*IF(EM$26=".", 1, (EM30/EM29)^(('Summary, PPI''s'!$L30+'Summary, PPI''s'!$L29)/('Predicted PPIs'!ES30+'Predicted PPIs'!ES29)))*IF(EN$26=".", 1, (EN30/EN29)^(('Summary, PPI''s'!$M30+'Summary, PPI''s'!$M29)/('Predicted PPIs'!ES30+'Predicted PPIs'!ES29)))*IF(EC$26=".", 1, (EC30/EC29)^(('Summary, PPI''s'!$B30+'Summary, PPI''s'!$B29)/('Predicted PPIs'!ES30+'Predicted PPIs'!ES29)))*IF(ED$26=".", 1, (ED30/ED29)^(('Summary, PPI''s'!$C30+'Summary, PPI''s'!$C29)/('Predicted PPIs'!ES30+'Predicted PPIs'!ES29)))*IF(EE$26=".", 1, (EE30/EE29)^(('Summary, PPI''s'!$D30+'Summary, PPI''s'!$D29)/('Predicted PPIs'!ES30+'Predicted PPIs'!ES29)))*IF(EO$26=".", 1, (EO30/EO29)^(('Summary, PPI''s'!$N30+'Summary, PPI''s'!$N29)/('Predicted PPIs'!ES30+'Predicted PPIs'!ES29)))*IF(EP$26=".", 1, (EP30/EP29)^(('Summary, PPI''s'!$O30+'Summary, PPI''s'!$O29)/('Predicted PPIs'!ES30+'Predicted PPIs'!ES29)))*IF(EQ$26=".", 1, (EQ30/EQ29)^(('Summary, PPI''s'!$P30+'Summary, PPI''s'!$P29)/('Predicted PPIs'!ES30+'Predicted PPIs'!ES29)))</f>
        <v>71.744347990672608</v>
      </c>
      <c r="EW30" s="13">
        <f>EW29*IF(EF$26=".", 1, (EF30/EF29)^(('Summary, PPI''s'!$E30+'Summary, PPI''s'!$E29)/('Predicted PPIs'!ET30+'Predicted PPIs'!ET29)))*IF(EG$26=".", 1, (EG30/EG29)^(('Summary, PPI''s'!$F30+'Summary, PPI''s'!$F29)/('Predicted PPIs'!ET30+'Predicted PPIs'!ET29)))*IF(EH$26=".", 1, (EH30/EH29)^(('Summary, PPI''s'!$G30+'Summary, PPI''s'!$G29)/('Predicted PPIs'!ET30+'Predicted PPIs'!ET29)))*IF(EK$26=".", 1, (EK30/EK29)^(('Summary, PPI''s'!$J30+'Summary, PPI''s'!$J29)/('Predicted PPIs'!ET30+'Predicted PPIs'!ET29)))*IF(EL$26=".", 1, (EL30/EL29)^(('Summary, PPI''s'!$K30+'Summary, PPI''s'!$K29)/('Predicted PPIs'!ET30+'Predicted PPIs'!ET29)))*IF(EM$26=".", 1, (EM30/EM29)^(('Summary, PPI''s'!$L30+'Summary, PPI''s'!$L29)/('Predicted PPIs'!ET30+'Predicted PPIs'!ET29)))*IF(EN$26=".", 1, (EN30/EN29)^(('Summary, PPI''s'!$M30+'Summary, PPI''s'!$M29)/('Predicted PPIs'!ET30+'Predicted PPIs'!ET29)))*IF(EC$26=".", 1, (EC30/EC29)^(('Summary, PPI''s'!$B30+'Summary, PPI''s'!$B29)/('Predicted PPIs'!ET30+'Predicted PPIs'!ET29)))</f>
        <v>77.031625424985265</v>
      </c>
      <c r="EY30" s="2"/>
    </row>
    <row r="31" spans="1:155" x14ac:dyDescent="0.3">
      <c r="A31" s="4">
        <v>1992</v>
      </c>
      <c r="B31" s="10">
        <f>IF(B30=".", ".", IF('Summary, PPI''s'!R31=".",IF(OR('Summary, hourly ad costs'!R31=-9999,'Summary, hourly ad costs'!R31=0), ".", 'Predicted PPIs'!B30*('Summary, hourly ad costs'!B31/'Summary, hourly ad costs'!R31)/('Summary, hourly ad costs'!B30/'Summary, hourly ad costs'!R30)), 'Summary, PPI''s'!R31))</f>
        <v>86.604427847425995</v>
      </c>
      <c r="C31" s="10">
        <f>IF(C30=".", ".", IF('Summary, PPI''s'!S31=".",IF(OR('Summary, hourly ad costs'!S31=-9999,'Summary, hourly ad costs'!S31=0), ".", 'Predicted PPIs'!C30*('Summary, hourly ad costs'!C31/'Summary, hourly ad costs'!S31)/('Summary, hourly ad costs'!C30/'Summary, hourly ad costs'!S30)), 'Summary, PPI''s'!S31))</f>
        <v>86.604427847425995</v>
      </c>
      <c r="D31" s="10">
        <f>IF(D30=".", ".", IF('Summary, PPI''s'!T31=".",IF(OR('Summary, hourly ad costs'!T31=-9999,'Summary, hourly ad costs'!T31=0), ".", 'Predicted PPIs'!D30*('Summary, hourly ad costs'!D31/'Summary, hourly ad costs'!T31)/('Summary, hourly ad costs'!D30/'Summary, hourly ad costs'!T30)), 'Summary, PPI''s'!T31))</f>
        <v>71.344440529521336</v>
      </c>
      <c r="E31" s="10">
        <f>IF(E30=".", ".", IF('Summary, PPI''s'!U31=".",IF(OR('Summary, hourly ad costs'!U31=-9999,'Summary, hourly ad costs'!U31=0), ".", 'Predicted PPIs'!E30*('Summary, hourly ad costs'!E31/'Summary, hourly ad costs'!U31)/('Summary, hourly ad costs'!E30/'Summary, hourly ad costs'!U30)), 'Summary, PPI''s'!U31))</f>
        <v>50.334221770952311</v>
      </c>
      <c r="F31" s="10">
        <f>IF(F30=".", ".", IF('Summary, PPI''s'!V31=".",IF(OR('Summary, hourly ad costs'!V31=-9999,'Summary, hourly ad costs'!V31=0), ".", 'Predicted PPIs'!F30*('Summary, hourly ad costs'!F31/'Summary, hourly ad costs'!V31)/('Summary, hourly ad costs'!F30/'Summary, hourly ad costs'!V30)), 'Summary, PPI''s'!V31))</f>
        <v>50.1771077886239</v>
      </c>
      <c r="G31" s="10">
        <f>IF(G30=".", ".", IF('Summary, PPI''s'!W31=".",IF(OR('Summary, hourly ad costs'!W31=-9999,'Summary, hourly ad costs'!W31=0), ".", 'Predicted PPIs'!G30*('Summary, hourly ad costs'!G31/'Summary, hourly ad costs'!W31)/('Summary, hourly ad costs'!G30/'Summary, hourly ad costs'!W30)), 'Summary, PPI''s'!W31))</f>
        <v>54.42336451338592</v>
      </c>
      <c r="H31" s="10">
        <f>IF(H30=".", ".", IF('Summary, PPI''s'!X31=".",IF(OR('Summary, hourly ad costs'!X31=-9999,'Summary, hourly ad costs'!X31=0), ".", 'Predicted PPIs'!H30*('Summary, hourly ad costs'!H31/'Summary, hourly ad costs'!X31)/('Summary, hourly ad costs'!H30/'Summary, hourly ad costs'!X30)), 'Summary, PPI''s'!X31))</f>
        <v>53.057000000000002</v>
      </c>
      <c r="I31" s="10">
        <f>IF(I30=".", ".", IF('Summary, PPI''s'!Y31=".",IF(OR('Summary, hourly ad costs'!Y31=-9999,'Summary, hourly ad costs'!Y31=0), ".", 'Predicted PPIs'!I30*('Summary, hourly ad costs'!I31/'Summary, hourly ad costs'!Y31)/('Summary, hourly ad costs'!I30/'Summary, hourly ad costs'!Y30)), 'Summary, PPI''s'!Y31))</f>
        <v>63.250933901825853</v>
      </c>
      <c r="J31" s="10">
        <f>IF(J30=".", ".", IF('Summary, PPI''s'!Z31=".",IF(OR('Summary, hourly ad costs'!Z31=-9999,'Summary, hourly ad costs'!Z31=0), ".", 'Predicted PPIs'!J30*('Summary, hourly ad costs'!J31/'Summary, hourly ad costs'!Z31)/('Summary, hourly ad costs'!J30/'Summary, hourly ad costs'!Z30)), 'Summary, PPI''s'!Z31))</f>
        <v>63.09852029685392</v>
      </c>
      <c r="K31" s="10">
        <f>IF(K30=".", ".", IF('Summary, PPI''s'!AA31=".",IF(OR('Summary, hourly ad costs'!AA31=-9999,'Summary, hourly ad costs'!AA31=0), ".", 'Predicted PPIs'!K30*('Summary, hourly ad costs'!K31/'Summary, hourly ad costs'!AA31)/('Summary, hourly ad costs'!K30/'Summary, hourly ad costs'!AA30)), 'Summary, PPI''s'!AA31))</f>
        <v>42.740055331630934</v>
      </c>
      <c r="L31" s="10" t="str">
        <f>IF(L30=".", ".", IF('Summary, PPI''s'!AB31=".",IF(OR('Summary, hourly ad costs'!AB31=-9999,'Summary, hourly ad costs'!AB31=0), ".", 'Predicted PPIs'!L30*('Summary, hourly ad costs'!L31/'Summary, hourly ad costs'!AB31)/('Summary, hourly ad costs'!L30/'Summary, hourly ad costs'!AB30)), 'Summary, PPI''s'!AB31))</f>
        <v>.</v>
      </c>
      <c r="M31" s="10" t="str">
        <f>IF(M30=".", ".", IF('Summary, PPI''s'!AC31=".",IF(OR('Summary, hourly ad costs'!AC31=-9999,'Summary, hourly ad costs'!AC31=0), ".", 'Predicted PPIs'!M30*('Summary, hourly ad costs'!M31/'Summary, hourly ad costs'!AC31)/('Summary, hourly ad costs'!M30/'Summary, hourly ad costs'!AC30)), 'Summary, PPI''s'!AC31))</f>
        <v>.</v>
      </c>
      <c r="N31" s="10">
        <f>IF(N30=".", ".", IF('Summary, PPI''s'!AD31=".",IF(OR('Summary, hourly ad costs'!AD31=-9999,'Summary, hourly ad costs'!AD31=0), ".", 'Predicted PPIs'!N30*('Summary, hourly ad costs'!N31/'Summary, hourly ad costs'!AD31)/('Summary, hourly ad costs'!N30/'Summary, hourly ad costs'!AD30)), 'Summary, PPI''s'!AD31))</f>
        <v>67.5945843112234</v>
      </c>
      <c r="O31" s="10">
        <f>IF(O30=".", ".", IF('Summary, PPI''s'!AE31=".",IF(OR('Summary, hourly ad costs'!AE31=-9999,'Summary, hourly ad costs'!AE31=0), ".", 'Predicted PPIs'!O30*('Summary, hourly ad costs'!O31/'Summary, hourly ad costs'!AE31)/('Summary, hourly ad costs'!O30/'Summary, hourly ad costs'!AE30)), 'Summary, PPI''s'!AE31))</f>
        <v>51.297686585923223</v>
      </c>
      <c r="P31" s="10">
        <f>IF(P30=".", ".", IF('Summary, PPI''s'!AF31=".",IF(OR('Summary, hourly ad costs'!AF31=-9999,'Summary, hourly ad costs'!AF31=0), ".", 'Predicted PPIs'!P30*('Summary, hourly ad costs'!P31/'Summary, hourly ad costs'!AF31)/('Summary, hourly ad costs'!P30/'Summary, hourly ad costs'!AF30)), 'Summary, PPI''s'!AF31))</f>
        <v>59.502075539568359</v>
      </c>
      <c r="R31" s="1">
        <f>IF(E$26=".", 0, 'Summary, PPI''s'!E31)+IF(F$26=".", 0, 'Summary, PPI''s'!F31)+IF(G$26=".", 0, 'Summary, PPI''s'!G31)+IF(H$26=".", 0, 'Summary, PPI''s'!H31)+IF(I$26=".", 0, 'Summary, PPI''s'!I31)+IF(J$26=".", 0, 'Summary, PPI''s'!J31)+IF(K$26=".", 0, 'Summary, PPI''s'!K31)+IF(L$26=".", 0, 'Summary, PPI''s'!L31)+IF(M$26=".", 0, 'Summary, PPI''s'!M31)+IF(B$26=".", 0, 'Summary, PPI''s'!B31)+IF(C$26=".", 0, 'Summary, PPI''s'!C31)+IF(D$26=".", 0, 'Summary, PPI''s'!D31)+IF(N$26=".", 0, 'Summary, PPI''s'!N31)+IF(O$26=".", 0, 'Summary, PPI''s'!O31)+IF(P$26=".", 0, 'Summary, PPI''s'!P31)</f>
        <v>142088951.78963283</v>
      </c>
      <c r="S31" s="1">
        <f>IF(E$36=".", 0, 'Summary, PPI''s'!E31)+IF(F$36=".", 0, 'Summary, PPI''s'!F31)+IF(G$36=".", 0, 'Summary, PPI''s'!G31)+IF(H$36=".", 0, 'Summary, PPI''s'!H31)+IF(I$36=".", 0, 'Summary, PPI''s'!I31)+IF(J$36=".", 0, 'Summary, PPI''s'!J31)+IF(K$36=".", 0, 'Summary, PPI''s'!K31)+IF(L$36=".", 0, 'Summary, PPI''s'!L31)+IF(M$36=".", 0, 'Summary, PPI''s'!M31)+IF(B$36=".", 0, 'Summary, PPI''s'!B31)+IF(C$36=".", 0, 'Summary, PPI''s'!C31)+IF(D$36=".", 0, 'Summary, PPI''s'!D31)+IF(N$36=".", 0, 'Summary, PPI''s'!N31)+IF(O$36=".", 0, 'Summary, PPI''s'!O31)+IF(P$36=".", 0, 'Summary, PPI''s'!P31)</f>
        <v>142088951.78963283</v>
      </c>
      <c r="T31" s="1">
        <f>IF(E$46=".", 0, 'Summary, PPI''s'!E31)+IF(F$46=".", 0, 'Summary, PPI''s'!F31)+IF(G$46=".", 0, 'Summary, PPI''s'!G31)+IF(H$46=".", 0, 'Summary, PPI''s'!H31)+IF(I$46=".", 0, 'Summary, PPI''s'!I31)+IF(J$46=".", 0, 'Summary, PPI''s'!J31)+IF(K$46=".", 0, 'Summary, PPI''s'!K31)+IF(L$46=".", 0, 'Summary, PPI''s'!L31)+IF(M$46=".", 0, 'Summary, PPI''s'!M31)+IF(B$46=".", 0, 'Summary, PPI''s'!B31)+IF(C$46=".", 0, 'Summary, PPI''s'!C31)+IF(D$46=".", 0, 'Summary, PPI''s'!D31)+IF(N$46=".", 0, 'Summary, PPI''s'!N31)+IF(O$46=".", 0, 'Summary, PPI''s'!O31)+IF(P$46=".", 0, 'Summary, PPI''s'!P31)</f>
        <v>98207149.678008407</v>
      </c>
      <c r="U31" s="1">
        <f>IF(E$60=".", 0, 'Summary, PPI''s'!E31)+IF(F$60=".", 0, 'Summary, PPI''s'!F31)+IF(G$60=".", 0, 'Summary, PPI''s'!G31)+IF(H$60=".", 0, 'Summary, PPI''s'!H31)+IF(I$60=".", 0, 'Summary, PPI''s'!I31)+IF(J$60=".", 0, 'Summary, PPI''s'!J31)+IF(K$60=".", 0, 'Summary, PPI''s'!K31)+IF(L$60=".", 0, 'Summary, PPI''s'!L31)+IF(M$60=".", 0, 'Summary, PPI''s'!M31)+IF(B$60=".", 0, 'Summary, PPI''s'!B31)+IF(C$60=".", 0, 'Summary, PPI''s'!C31)+IF(D$60=".", 0, 'Summary, PPI''s'!D31)+IF(N$60=".", 0, 'Summary, PPI''s'!N31)+IF(O$60=".", 0, 'Summary, PPI''s'!O31)+IF(P$60=".", 0, 'Summary, PPI''s'!P31)</f>
        <v>86230442.752581984</v>
      </c>
      <c r="V31" s="1">
        <f>IF(E$73=".", 0, 'Summary, PPI''s'!E31)+IF(F$73=".", 0, 'Summary, PPI''s'!F31)+IF(G$73=".", 0, 'Summary, PPI''s'!G31)+IF(H$73=".", 0, 'Summary, PPI''s'!H31)+IF(I$73=".", 0, 'Summary, PPI''s'!I31)+IF(J$73=".", 0, 'Summary, PPI''s'!J31)+IF(K$73=".", 0, 'Summary, PPI''s'!K31)+IF(L$73=".", 0, 'Summary, PPI''s'!L31)+IF(M$73=".", 0, 'Summary, PPI''s'!M31)+IF(B$73=".", 0, 'Summary, PPI''s'!B31)+IF(C$73=".", 0, 'Summary, PPI''s'!C31)+IF(D$73=".", 0, 'Summary, PPI''s'!D31)+IF(N$73=".", 0, 'Summary, PPI''s'!N31)+IF(O$73=".", 0, 'Summary, PPI''s'!O31)+IF(P$73=".", 0, 'Summary, PPI''s'!P31)</f>
        <v>65641461.967551783</v>
      </c>
      <c r="W31" s="1">
        <f>IF(E$94=".",0,'Summary, PPI''s'!E31)+IF(F$94=".",0,'Summary, PPI''s'!F31)+IF(G$94=".",0,'Summary, PPI''s'!G31)+IF(H$94=".",0,'Summary, PPI''s'!H31)+IF(I$94=".",0,'Summary, PPI''s'!I31)+IF(J$94=".",0,'Summary, PPI''s'!J31)+IF(K$94=".",0,'Summary, PPI''s'!K31)+IF(L$94=".",0,'Summary, PPI''s'!L31)+IF(M$94=".",0,'Summary, PPI''s'!M31)+IF(B$94=".",0,'Summary, PPI''s'!B31)+IF(C$94=".",0,'Summary, PPI''s'!C31)+IF(D$94=".",0,'Summary, PPI''s'!D31)+IF(N$94=".",0,'Summary, PPI''s'!N31)+IF(O$94=".",0,'Summary, PPI''s'!O31)+IF(P$94=".",0,'Summary, PPI''s'!P31)</f>
        <v>47504483.34392257</v>
      </c>
      <c r="X31" s="1">
        <f>IF(E$123=".", 0, 'Summary, PPI''s'!E31)+IF(F$123=".", 0, 'Summary, PPI''s'!F31)+IF(G$123=".", 0, 'Summary, PPI''s'!G31)+IF(H$123=".", 0, 'Summary, PPI''s'!H31)+IF(I$123=".", 0, 'Summary, PPI''s'!I31)+IF(J$123=".", 0, 'Summary, PPI''s'!J31)+IF(K$123=".", 0, 'Summary, PPI''s'!K31)+IF(L$123=".", 0, 'Summary, PPI''s'!L31)+IF(M$123=".", 0, 'Summary, PPI''s'!M31)+IF(B$123=".", 0, 'Summary, PPI''s'!B31)+IF(C$123=".", 0, 'Summary, PPI''s'!C31)+IF(D$123=".", 0, 'Summary, PPI''s'!D31)+IF(N$123=".", 0, 'Summary, PPI''s'!N31)+IF(O$123=".", 0, 'Summary, PPI''s'!O31)+IF(P$123=".", 0, 'Summary, PPI''s'!P31)</f>
        <v>40944277.94574064</v>
      </c>
      <c r="Z31" s="4" t="e">
        <f>Z30*IF(E$26=".", 1, (E31/E30)^(('Summary, PPI''s'!$E31+'Summary, PPI''s'!$E30)/('Predicted PPIs'!R31+'Predicted PPIs'!R30)))*IF(F$26=".", 1, (F31/F30)^(('Summary, PPI''s'!$F31+'Summary, PPI''s'!$F30)/('Predicted PPIs'!R31+'Predicted PPIs'!R30)))*IF(G$26=".", 1, (G31/G30)^(('Summary, PPI''s'!$G31+'Summary, PPI''s'!$G30)/('Predicted PPIs'!R31+'Predicted PPIs'!R30)))*IF(H$26=".", 1, (H31/H30)^(('Summary, PPI''s'!$H31+'Summary, PPI''s'!$H30)/('Predicted PPIs'!R31+'Predicted PPIs'!R30)))*IF(I$26=".", 1, (I31/I30)^(('Summary, PPI''s'!$I31+'Summary, PPI''s'!$I30)/('Predicted PPIs'!R31+'Predicted PPIs'!R30)))*IF(J$26=".", 1, (J31/J30)^(('Summary, PPI''s'!$J31+'Summary, PPI''s'!$J30)/('Predicted PPIs'!R31+'Predicted PPIs'!R30)))*IF(K$26=".", 1, (K31/K30)^(('Summary, PPI''s'!$K31+'Summary, PPI''s'!$K30)/('Predicted PPIs'!R31+'Predicted PPIs'!R30)))*IF(L$26=".", 1, (L31/L30)^(('Summary, PPI''s'!$L31+'Summary, PPI''s'!$L30)/('Predicted PPIs'!R31+'Predicted PPIs'!R30)))*IF(M$26=".", 1, (M31/M30)^(('Summary, PPI''s'!$M31+'Summary, PPI''s'!$M30)/('Predicted PPIs'!R31+'Predicted PPIs'!R30)))*IF(B$26=".", 1, (B31/B30)^(('Summary, PPI''s'!$B31+'Summary, PPI''s'!$B30)/('Predicted PPIs'!R31+'Predicted PPIs'!R30)))*IF(C$26=".", 1, (C31/C30)^(('Summary, PPI''s'!$C31+'Summary, PPI''s'!$C30)/('Predicted PPIs'!R31+'Predicted PPIs'!R30)))*IF(D$26=".", 1, (D31/D30)^(('Summary, PPI''s'!$D31+'Summary, PPI''s'!$D30)/('Predicted PPIs'!R31+'Predicted PPIs'!R30)))*IF(N$26=".", 1, (N31/N30)^(('Summary, PPI''s'!$N31+'Summary, PPI''s'!$N30)/('Predicted PPIs'!R31+'Predicted PPIs'!R30)))*IF(O$26=".", 1, (O31/O30)^(('Summary, PPI''s'!$O31+'Summary, PPI''s'!$O30)/('Predicted PPIs'!R31+'Predicted PPIs'!R30)))*IF(P$26=".", 1, (P31/P30)^(('Summary, PPI''s'!$P31+'Summary, PPI''s'!$P30)/('Predicted PPIs'!R31+'Predicted PPIs'!R30)))</f>
        <v>#VALUE!</v>
      </c>
      <c r="AA31" s="4">
        <f>AA30*IF(E$36=".", 1, (E31/E30)^(('Summary, PPI''s'!$E31+'Summary, PPI''s'!$E30)/('Predicted PPIs'!S31+'Predicted PPIs'!S30)))*IF(F$36=".", 1, (F31/F30)^(('Summary, PPI''s'!$F31+'Summary, PPI''s'!$F30)/('Predicted PPIs'!S31+'Predicted PPIs'!S30)))*IF(G$36=".", 1, (G31/G30)^(('Summary, PPI''s'!$G31+'Summary, PPI''s'!$G30)/('Predicted PPIs'!S31+'Predicted PPIs'!S30)))*IF(H$36=".", 1, (H31/H30)^(('Summary, PPI''s'!$H31+'Summary, PPI''s'!$H30)/('Predicted PPIs'!S31+'Predicted PPIs'!S30)))*IF(I$36=".", 1, (I31/I30)^(('Summary, PPI''s'!$I31+'Summary, PPI''s'!$I30)/('Predicted PPIs'!S31+'Predicted PPIs'!S30)))*IF(J$36=".", 1, (J31/J30)^(('Summary, PPI''s'!$J31+'Summary, PPI''s'!$J30)/('Predicted PPIs'!S31+'Predicted PPIs'!S30)))*IF(K$36=".", 1, (K31/K30)^(('Summary, PPI''s'!$K31+'Summary, PPI''s'!$K30)/('Predicted PPIs'!S31+'Predicted PPIs'!S30)))*IF(L$36=".", 1, (L31/L30)^(('Summary, PPI''s'!$L31+'Summary, PPI''s'!$L30)/('Predicted PPIs'!S31+'Predicted PPIs'!S30)))*IF(M$36=".", 1, (M31/M30)^(('Summary, PPI''s'!$M31+'Summary, PPI''s'!$M30)/('Predicted PPIs'!S31+'Predicted PPIs'!S30)))*IF(B$36=".", 1, (B31/B30)^(('Summary, PPI''s'!$B31+'Summary, PPI''s'!$B30)/('Predicted PPIs'!S31+'Predicted PPIs'!S30)))*IF(C$36=".", 1, (C31/C30)^(('Summary, PPI''s'!$C31+'Summary, PPI''s'!$C30)/('Predicted PPIs'!S31+'Predicted PPIs'!S30)))*IF(D$36=".", 1, (D31/D30)^(('Summary, PPI''s'!$D31+'Summary, PPI''s'!$D30)/('Predicted PPIs'!S31+'Predicted PPIs'!S30)))*IF(N$36=".", 1, (N31/N30)^(('Summary, PPI''s'!$N31+'Summary, PPI''s'!$N30)/('Predicted PPIs'!S31+'Predicted PPIs'!S30)))*IF(O$36=".", 1, (O31/O30)^(('Summary, PPI''s'!$O31+'Summary, PPI''s'!$O30)/('Predicted PPIs'!S31+'Predicted PPIs'!S30)))*IF(P$36=".", 1, (P31/P30)^(('Summary, PPI''s'!$P31+'Summary, PPI''s'!$P30)/('Predicted PPIs'!S31+'Predicted PPIs'!S30)))</f>
        <v>58.36127314724655</v>
      </c>
      <c r="AB31" s="4">
        <f>AB30*IF(E$46=".", 1, (E31/E30)^(('Summary, PPI''s'!$E31+'Summary, PPI''s'!$E30)/('Predicted PPIs'!T31+'Predicted PPIs'!T30)))*IF(F$46=".", 1, (F31/F30)^(('Summary, PPI''s'!$F31+'Summary, PPI''s'!$F30)/('Predicted PPIs'!T31+'Predicted PPIs'!T30)))*IF(G$46=".", 1, (G31/G30)^(('Summary, PPI''s'!$G31+'Summary, PPI''s'!$G30)/('Predicted PPIs'!T31+'Predicted PPIs'!T30)))*IF(H$46=".", 1, (H31/H30)^(('Summary, PPI''s'!$H31+'Summary, PPI''s'!$H30)/('Predicted PPIs'!T31+'Predicted PPIs'!T30)))*IF(I$46=".", 1, (I31/I30)^(('Summary, PPI''s'!$I31+'Summary, PPI''s'!$I30)/('Predicted PPIs'!T31+'Predicted PPIs'!T30)))*IF(J$46=".", 1, (J31/J30)^(('Summary, PPI''s'!$J31+'Summary, PPI''s'!$J30)/('Predicted PPIs'!T31+'Predicted PPIs'!T30)))*IF(K$46=".", 1, (K31/K30)^(('Summary, PPI''s'!$K31+'Summary, PPI''s'!$K30)/('Predicted PPIs'!T31+'Predicted PPIs'!T30)))*IF(L$46=".", 1, (L31/L30)^(('Summary, PPI''s'!$L31+'Summary, PPI''s'!$L30)/('Predicted PPIs'!T31+'Predicted PPIs'!T30)))*IF(M$46=".", 1, (M31/M30)^(('Summary, PPI''s'!$M31+'Summary, PPI''s'!$M30)/('Predicted PPIs'!T31+'Predicted PPIs'!T30)))*IF(B$46=".", 1, (B31/B30)^(('Summary, PPI''s'!$B31+'Summary, PPI''s'!$B30)/('Predicted PPIs'!T31+'Predicted PPIs'!T30)))*IF(C$46=".", 1, (C31/C30)^(('Summary, PPI''s'!$C31+'Summary, PPI''s'!$C30)/('Predicted PPIs'!T31+'Predicted PPIs'!T30)))*IF(D$46=".", 1, (D31/D30)^(('Summary, PPI''s'!$D31+'Summary, PPI''s'!$D30)/('Predicted PPIs'!T31+'Predicted PPIs'!T30)))*IF(N$46=".", 1, (N31/N30)^(('Summary, PPI''s'!$N31+'Summary, PPI''s'!$N30)/('Predicted PPIs'!T31+'Predicted PPIs'!T30)))*IF(O$46=".", 1, (O31/O30)^(('Summary, PPI''s'!$O31+'Summary, PPI''s'!$O30)/('Predicted PPIs'!T31+'Predicted PPIs'!T30)))*IF(P$46=".", 1, (P31/P30)^(('Summary, PPI''s'!$P31+'Summary, PPI''s'!$P30)/('Predicted PPIs'!T31+'Predicted PPIs'!T30)))</f>
        <v>56.409554774274731</v>
      </c>
      <c r="AC31" s="4">
        <f>AC30*IF(E$60=".",1,(E31/E30)^(('Summary, PPI''s'!$E31+'Summary, PPI''s'!$E30)/('Predicted PPIs'!U31+'Predicted PPIs'!U30)))*IF(F$60=".",1,(F31/F30)^(('Summary, PPI''s'!$F31+'Summary, PPI''s'!$F30)/('Predicted PPIs'!U31+'Predicted PPIs'!U30)))*IF(G$60=".",1,(G31/G30)^(('Summary, PPI''s'!$G31+'Summary, PPI''s'!$G30)/('Predicted PPIs'!U31+'Predicted PPIs'!U30)))*IF(H$60=".",1,(H31/H30)^(('Summary, PPI''s'!$H31+'Summary, PPI''s'!$H30)/('Predicted PPIs'!U31+'Predicted PPIs'!U30)))*IF(I$60=".",1,(I31/I30)^(('Summary, PPI''s'!$I31+'Summary, PPI''s'!$I30)/('Predicted PPIs'!U31+'Predicted PPIs'!U30)))*IF(J$60=".",1,(J31/J30)^(('Summary, PPI''s'!$J31+'Summary, PPI''s'!$J30)/('Predicted PPIs'!U31+'Predicted PPIs'!U30)))*IF(K$60=".",1,(K31/K30)^(('Summary, PPI''s'!$K31+'Summary, PPI''s'!$K30)/('Predicted PPIs'!U31+'Predicted PPIs'!U30)))*IF(L$60=".",1,(L31/L30)^(('Summary, PPI''s'!$L31+'Summary, PPI''s'!$L30)/('Predicted PPIs'!U31+'Predicted PPIs'!U30)))*IF(M$60=".",1,(M31/M30)^(('Summary, PPI''s'!$M31+'Summary, PPI''s'!$M30)/('Predicted PPIs'!U31+'Predicted PPIs'!U30)))*IF(B$60=".",1,(B31/B30)^(('Summary, PPI''s'!$B31+'Summary, PPI''s'!$B30)/('Predicted PPIs'!U31+'Predicted PPIs'!U30)))*IF(C$60=".",1,(C31/C30)^(('Summary, PPI''s'!$C31+'Summary, PPI''s'!$C30)/('Predicted PPIs'!U31+'Predicted PPIs'!U30)))*IF(D$60=".",1,(D31/D30)^(('Summary, PPI''s'!$D31+'Summary, PPI''s'!$D30)/('Predicted PPIs'!U31+'Predicted PPIs'!U30)))*IF(N$60=".",1,(N31/N30)^(('Summary, PPI''s'!$N31+'Summary, PPI''s'!$N30)/('Predicted PPIs'!U31+'Predicted PPIs'!U30)))*IF(O$60=".",1,(O31/O30)^(('Summary, PPI''s'!$O31+'Summary, PPI''s'!$O30)/('Predicted PPIs'!U31+'Predicted PPIs'!U30)))*IF(P$60=".",1,(P31/P30)^(('Summary, PPI''s'!$P31+'Summary, PPI''s'!$P30)/('Predicted PPIs'!U31+'Predicted PPIs'!U30)))</f>
        <v>61.886908435624854</v>
      </c>
      <c r="AD31" s="4">
        <f>AD30*IF(E$73=".", 1, (E31/E30)^(('Summary, PPI''s'!$E31+'Summary, PPI''s'!$E30)/('Predicted PPIs'!V31+'Predicted PPIs'!V30)))*IF(F$73=".", 1, (F31/F30)^(('Summary, PPI''s'!$F31+'Summary, PPI''s'!$F30)/('Predicted PPIs'!V31+'Predicted PPIs'!V30)))*IF(G$73=".", 1, (G31/G30)^(('Summary, PPI''s'!$G31+'Summary, PPI''s'!$G30)/('Predicted PPIs'!V31+'Predicted PPIs'!V30)))*IF(H$73=".", 1, (H31/H30)^(('Summary, PPI''s'!$H31+'Summary, PPI''s'!$H30)/('Predicted PPIs'!V31+'Predicted PPIs'!V30)))*IF(I$73=".", 1, (I31/I30)^(('Summary, PPI''s'!$I31+'Summary, PPI''s'!$I30)/('Predicted PPIs'!V31+'Predicted PPIs'!V30)))*IF(J$73=".", 1, (J31/J30)^(('Summary, PPI''s'!$J31+'Summary, PPI''s'!$J30)/('Predicted PPIs'!V31+'Predicted PPIs'!V30)))*IF(K$73=".", 1, (K31/K30)^(('Summary, PPI''s'!$K31+'Summary, PPI''s'!$K30)/('Predicted PPIs'!V31+'Predicted PPIs'!V30)))*IF(L$73=".", 1, (L31/L30)^(('Summary, PPI''s'!$L31+'Summary, PPI''s'!$L30)/('Predicted PPIs'!V31+'Predicted PPIs'!V30)))*IF(M$73=".", 1, (M31/M30)^(('Summary, PPI''s'!$M31+'Summary, PPI''s'!$M30)/('Predicted PPIs'!V31+'Predicted PPIs'!V30)))*IF(B$73=".", 1, (B31/B30)^(('Summary, PPI''s'!$B31+'Summary, PPI''s'!$B30)/('Predicted PPIs'!V31+'Predicted PPIs'!V30)))*IF(C$73=".", 1, (C31/C30)^(('Summary, PPI''s'!$C31+'Summary, PPI''s'!$C30)/('Predicted PPIs'!V31+'Predicted PPIs'!V30)))*IF(D$73=".", 1, (D31/D30)^(('Summary, PPI''s'!$D31+'Summary, PPI''s'!$D30)/('Predicted PPIs'!V31+'Predicted PPIs'!V30)))*IF(N$73=".", 1, (N31/N30)^(('Summary, PPI''s'!$N31+'Summary, PPI''s'!$N30)/('Predicted PPIs'!V31+'Predicted PPIs'!V30)))*IF(O$73=".", 1, (O31/O30)^(('Summary, PPI''s'!$O31+'Summary, PPI''s'!$O30)/('Predicted PPIs'!V31+'Predicted PPIs'!V30)))*IF(P$73=".", 1, (P31/P30)^(('Summary, PPI''s'!$P31+'Summary, PPI''s'!$P30)/('Predicted PPIs'!V31+'Predicted PPIs'!V30)))</f>
        <v>60.13664085002722</v>
      </c>
      <c r="AE31" s="4">
        <f>AE30*IF(E$94=".", 1, (E31/E30)^(('Summary, PPI''s'!$E31+'Summary, PPI''s'!$E30)/('Predicted PPIs'!W31+'Predicted PPIs'!W30)))*IF(F$94=".", 1, (F31/F30)^(('Summary, PPI''s'!$F31+'Summary, PPI''s'!$F30)/('Predicted PPIs'!W31+'Predicted PPIs'!W30)))*IF(G$94=".", 1, (G31/G30)^(('Summary, PPI''s'!$G31+'Summary, PPI''s'!$G30)/('Predicted PPIs'!W31+'Predicted PPIs'!W30)))*IF(H$94=".", 1, (H31/H30)^(('Summary, PPI''s'!$H31+'Summary, PPI''s'!$H30)/('Predicted PPIs'!W31+'Predicted PPIs'!W30)))*IF(I$94=".", 1, (I31/I30)^(('Summary, PPI''s'!$I31+'Summary, PPI''s'!$I30)/('Predicted PPIs'!W31+'Predicted PPIs'!W30)))*IF(J$94=".", 1, (J31/J30)^(('Summary, PPI''s'!$J31+'Summary, PPI''s'!$J30)/('Predicted PPIs'!W31+'Predicted PPIs'!W30)))*IF(K$94=".", 1, (K31/K30)^(('Summary, PPI''s'!$K31+'Summary, PPI''s'!$K30)/('Predicted PPIs'!W31+'Predicted PPIs'!W30)))*IF(L$94=".", 1, (L31/L30)^(('Summary, PPI''s'!$L31+'Summary, PPI''s'!$L30)/('Predicted PPIs'!W31+'Predicted PPIs'!W30)))*IF(M$94=".", 1, (M31/M30)^(('Summary, PPI''s'!$M31+'Summary, PPI''s'!$M30)/('Predicted PPIs'!W31+'Predicted PPIs'!W30)))*IF(B$94=".", 1, (B31/B30)^(('Summary, PPI''s'!$B31+'Summary, PPI''s'!$B30)/('Predicted PPIs'!W31+'Predicted PPIs'!W30)))*IF(C$94=".", 1, (C31/C30)^(('Summary, PPI''s'!$C31+'Summary, PPI''s'!$C30)/('Predicted PPIs'!W31+'Predicted PPIs'!W30)))*IF(D$94=".", 1, (D31/D30)^(('Summary, PPI''s'!$D31+'Summary, PPI''s'!$D30)/('Predicted PPIs'!W31+'Predicted PPIs'!W30)))*IF(N$94=".", 1, (N31/N30)^(('Summary, PPI''s'!$N31+'Summary, PPI''s'!$N30)/('Predicted PPIs'!W31+'Predicted PPIs'!W30)))*IF(O$94=".", 1, (O31/O30)^(('Summary, PPI''s'!$O31+'Summary, PPI''s'!$O30)/('Predicted PPIs'!W31+'Predicted PPIs'!W30)))*IF(P$94=".", 1, (P31/P30)^(('Summary, PPI''s'!$P31+'Summary, PPI''s'!$P30)/('Predicted PPIs'!W31+'Predicted PPIs'!W30)))</f>
        <v>56.245903578442068</v>
      </c>
      <c r="AF31" s="4">
        <f>AF30*IF(E$123=".", 1, (E31/E30)^(('Summary, PPI''s'!$E31+'Summary, PPI''s'!$E30)/('Predicted PPIs'!X31+'Predicted PPIs'!X30)))*IF(F$123=".", 1, (F31/F30)^(('Summary, PPI''s'!$F31+'Summary, PPI''s'!$F30)/('Predicted PPIs'!X31+'Predicted PPIs'!X30)))*IF(G$123=".", 1, (G31/G30)^(('Summary, PPI''s'!$G31+'Summary, PPI''s'!$G30)/('Predicted PPIs'!X31+'Predicted PPIs'!X30)))*IF(H$123=".", 1, (H31/H30)^(('Summary, PPI''s'!$H31+'Summary, PPI''s'!$H30)/('Predicted PPIs'!X31+'Predicted PPIs'!X30)))*IF(I$123=".", 1, (I31/I30)^(('Summary, PPI''s'!$I31+'Summary, PPI''s'!$I30)/('Predicted PPIs'!X31+'Predicted PPIs'!X30)))*IF(J$123=".", 1, (J31/J30)^(('Summary, PPI''s'!$J31+'Summary, PPI''s'!$J30)/('Predicted PPIs'!X31+'Predicted PPIs'!X30)))*IF(K$123=".", 1, (K31/K30)^(('Summary, PPI''s'!$K31+'Summary, PPI''s'!$K30)/('Predicted PPIs'!X31+'Predicted PPIs'!X30)))*IF(L$123=".", 1, (L31/L30)^(('Summary, PPI''s'!$L31+'Summary, PPI''s'!$L30)/('Predicted PPIs'!X31+'Predicted PPIs'!X30)))*IF(M$123=".", 1, (M31/M30)^(('Summary, PPI''s'!$M31+'Summary, PPI''s'!$M30)/('Predicted PPIs'!X31+'Predicted PPIs'!X30)))*IF(B$123=".", 1, (B31/B30)^(('Summary, PPI''s'!$B31+'Summary, PPI''s'!$B30)/('Predicted PPIs'!X31+'Predicted PPIs'!X30)))*IF(C$123=".", 1, (C31/C30)^(('Summary, PPI''s'!$C31+'Summary, PPI''s'!$C30)/('Predicted PPIs'!X31+'Predicted PPIs'!X30)))*IF(D$123=".", 1, (D31/D30)^(('Summary, PPI''s'!$D31+'Summary, PPI''s'!$D30)/('Predicted PPIs'!X31+'Predicted PPIs'!X30)))*IF(N$123=".", 1, (N31/N30)^(('Summary, PPI''s'!$N31+'Summary, PPI''s'!$N30)/('Predicted PPIs'!X31+'Predicted PPIs'!X30)))*IF(O$123=".", 1, (O31/O30)^(('Summary, PPI''s'!$O31+'Summary, PPI''s'!$O30)/('Predicted PPIs'!X31+'Predicted PPIs'!X30)))*IF(P$123=".", 1, (P31/P30)^(('Summary, PPI''s'!$P31+'Summary, PPI''s'!$P30)/('Predicted PPIs'!X31+'Predicted PPIs'!X30)))</f>
        <v>52.793814862526261</v>
      </c>
      <c r="AH31" s="13">
        <f t="shared" si="32"/>
        <v>65.779910004126492</v>
      </c>
      <c r="AJ31" s="4">
        <v>4197.6000000000004</v>
      </c>
      <c r="AK31" s="4">
        <v>-0.57499999999999996</v>
      </c>
      <c r="AL31" s="4">
        <v>-462.60199999999998</v>
      </c>
      <c r="AM31" s="4">
        <v>-7.2069999999999999</v>
      </c>
      <c r="AN31" s="4">
        <v>4453.8999999999996</v>
      </c>
      <c r="AO31" s="4">
        <v>983.2</v>
      </c>
      <c r="AP31" s="4">
        <f>('[3]1992'!$I$14+'[3]1992'!$I$69+'[3]1992'!$I$71-'[3]1992'!$I$73)*0.001</f>
        <v>-51.911999999999999</v>
      </c>
      <c r="AQ31" s="4">
        <f>('[3]1992'!$AY$56+'[3]1992'!$AY$69+'[3]1992'!$AY$71-'[3]1992'!$AY$73)*0.001</f>
        <v>-200.095</v>
      </c>
      <c r="AR31" s="4">
        <v>-17.562000000000001</v>
      </c>
      <c r="AS31" s="4">
        <v>-31.196999999999999</v>
      </c>
      <c r="AT31" s="4">
        <v>67.087000000000003</v>
      </c>
      <c r="AU31" s="4">
        <v>70.617000000000004</v>
      </c>
      <c r="AV31" s="4">
        <v>59.33</v>
      </c>
      <c r="AW31" s="4">
        <v>41.344000000000001</v>
      </c>
      <c r="AX31" s="4">
        <v>63.033999999999999</v>
      </c>
      <c r="AY31" s="4">
        <v>81.727999999999994</v>
      </c>
      <c r="AZ31" s="4">
        <v>41.698999999999998</v>
      </c>
      <c r="BA31" s="4">
        <v>66.218999999999994</v>
      </c>
      <c r="BB31" s="4">
        <v>101.184</v>
      </c>
      <c r="BC31" s="4">
        <v>80.125</v>
      </c>
      <c r="BG31" s="4">
        <f t="shared" si="50"/>
        <v>56.557958497332464</v>
      </c>
      <c r="BI31" s="4">
        <f>BI$13*'[2]Ordinary Experience'!$D$395/'[2]Ordinary Experience'!$D$413</f>
        <v>255152552.78692022</v>
      </c>
      <c r="BJ31" s="4">
        <f>'[2]Ordinary Experience'!$E$395</f>
        <v>21.47996268651848</v>
      </c>
      <c r="BL31" s="4">
        <f t="shared" si="0"/>
        <v>71.227719234743333</v>
      </c>
      <c r="BM31" s="4">
        <f t="shared" si="34"/>
        <v>2.2789718903788003E-2</v>
      </c>
      <c r="BO31" s="4">
        <f>IF(OR('Summary, hourly ad costs'!R31=-9999,'Summary, PPI''s'!R31="."),".",(('Summary, hourly ad costs'!B31/'Summary, hourly ad costs'!R31)*100/('Summary, hourly ad costs'!B$11/'Summary, hourly ad costs'!R$11))/('Summary, PPI''s'!R31))</f>
        <v>0.93001667640522956</v>
      </c>
      <c r="BP31" s="4" t="str">
        <f>IF(OR('Summary, hourly ad costs'!S31=-9999,'Summary, PPI''s'!S31="."),".",(('Summary, hourly ad costs'!C31/'Summary, hourly ad costs'!S31)*100/('Summary, hourly ad costs'!C$11/'Summary, hourly ad costs'!S$11))/('Summary, PPI''s'!S31))</f>
        <v>.</v>
      </c>
      <c r="BQ31" s="4" t="str">
        <f>IF(OR('Summary, hourly ad costs'!T31=-9999,'Summary, PPI''s'!T31="."),".",(('Summary, hourly ad costs'!D31/'Summary, hourly ad costs'!T31)*100/('Summary, hourly ad costs'!D$11/'Summary, hourly ad costs'!T$11))/('Summary, PPI''s'!T31))</f>
        <v>.</v>
      </c>
      <c r="BR31" s="4">
        <f>IF(OR('Summary, hourly ad costs'!U31=-9999,'Summary, PPI''s'!U31="."),".",(('Summary, hourly ad costs'!E31/'Summary, hourly ad costs'!U31)*100/('Summary, hourly ad costs'!E$11/'Summary, hourly ad costs'!U$11))/('Summary, PPI''s'!U31))</f>
        <v>1.7558759768929786</v>
      </c>
      <c r="BS31" s="4">
        <f>IF(OR('Summary, hourly ad costs'!V31=-9999,'Summary, PPI''s'!V31="."),".",(('Summary, hourly ad costs'!F31/'Summary, hourly ad costs'!V31)*100/('Summary, hourly ad costs'!F$11/'Summary, hourly ad costs'!V$11))/('Summary, PPI''s'!V31))</f>
        <v>1.5702928943489838</v>
      </c>
      <c r="BT31" s="4" t="str">
        <f>IF(OR('Summary, hourly ad costs'!W31=-9999,'Summary, PPI''s'!W31="."),".",(('Summary, hourly ad costs'!G31/'Summary, hourly ad costs'!W31)*100/('Summary, hourly ad costs'!G$11/'Summary, hourly ad costs'!W$11))/('Summary, PPI''s'!W31))</f>
        <v>.</v>
      </c>
      <c r="BU31" s="4">
        <f>IF(OR('Summary, hourly ad costs'!X31=-9999,'Summary, PPI''s'!X31="."),".",(('Summary, hourly ad costs'!H31/'Summary, hourly ad costs'!X31)*100/('Summary, hourly ad costs'!H$11/'Summary, hourly ad costs'!X$11))/('Summary, PPI''s'!X31))</f>
        <v>1.1131315519123319</v>
      </c>
      <c r="BV31" s="4">
        <f>IF(OR('Summary, hourly ad costs'!Y31=-9999,'Summary, PPI''s'!Y31="."),".",(('Summary, hourly ad costs'!I31/'Summary, hourly ad costs'!Y31)*100/('Summary, hourly ad costs'!I$11/'Summary, hourly ad costs'!Y$11))/('Summary, PPI''s'!Y31))</f>
        <v>0.64990928992719765</v>
      </c>
      <c r="BW31" s="4">
        <f>IF(OR('Summary, hourly ad costs'!Z31=-9999,'Summary, PPI''s'!Z31="."),".",(('Summary, hourly ad costs'!J31/'Summary, hourly ad costs'!Z31)*100/('Summary, hourly ad costs'!J$11/'Summary, hourly ad costs'!Z$11))/('Summary, PPI''s'!Z31))</f>
        <v>0.78382538243007838</v>
      </c>
      <c r="BX31" s="4" t="str">
        <f>IF(OR('Summary, hourly ad costs'!AA31=-9999,'Summary, PPI''s'!AA31="."),".",(('Summary, hourly ad costs'!K31/'Summary, hourly ad costs'!AA31)*100/('Summary, hourly ad costs'!K$11/'Summary, hourly ad costs'!AA$11))/('Summary, PPI''s'!AA31))</f>
        <v>.</v>
      </c>
      <c r="BY31" s="4" t="str">
        <f>IF(OR('Summary, hourly ad costs'!AB31=-9999,'Summary, PPI''s'!AB31="."),".",(('Summary, hourly ad costs'!L31/'Summary, hourly ad costs'!AB31)*100/('Summary, hourly ad costs'!L$11/'Summary, hourly ad costs'!AB$11))/('Summary, PPI''s'!AB31))</f>
        <v>.</v>
      </c>
      <c r="BZ31" s="4" t="str">
        <f>IF(OR('Summary, hourly ad costs'!AC31=-9999,'Summary, PPI''s'!AC31="."),".",(('Summary, hourly ad costs'!M31/'Summary, hourly ad costs'!AC31)*100/('Summary, hourly ad costs'!M$11/'Summary, hourly ad costs'!AC$11))/('Summary, PPI''s'!AC31))</f>
        <v>.</v>
      </c>
      <c r="CA31" s="4" t="str">
        <f>IF(OR('Summary, hourly ad costs'!AD31=-9999,'Summary, PPI''s'!AD31="."),".",(('Summary, hourly ad costs'!N31/'Summary, hourly ad costs'!AD31)*100/('Summary, hourly ad costs'!N$11/'Summary, hourly ad costs'!AD$11))/('Summary, PPI''s'!AD31))</f>
        <v>.</v>
      </c>
      <c r="CB31" s="4" t="str">
        <f>IF(OR('Summary, hourly ad costs'!AE31=-9999,'Summary, PPI''s'!AE31="."),".",(('Summary, hourly ad costs'!O31/'Summary, hourly ad costs'!AE31)*100/('Summary, hourly ad costs'!O$11/'Summary, hourly ad costs'!AE$11))/('Summary, PPI''s'!AE31))</f>
        <v>.</v>
      </c>
      <c r="CC31" s="4" t="str">
        <f>IF(OR('Summary, hourly ad costs'!AF31=-9999,'Summary, PPI''s'!AF31="."),".",(('Summary, hourly ad costs'!P31/'Summary, hourly ad costs'!AF31)*100/('Summary, hourly ad costs'!P$11/'Summary, hourly ad costs'!AF$11))/('Summary, PPI''s'!AF31))</f>
        <v>.</v>
      </c>
      <c r="CE31" s="4">
        <f t="shared" si="80"/>
        <v>1.7890221426457131E-2</v>
      </c>
      <c r="CF31" s="4" t="str">
        <f t="shared" si="81"/>
        <v>.</v>
      </c>
      <c r="CG31" s="4" t="str">
        <f t="shared" si="82"/>
        <v>.</v>
      </c>
      <c r="CH31" s="4">
        <f t="shared" si="83"/>
        <v>-3.8482431581674525E-2</v>
      </c>
      <c r="CI31" s="4">
        <f t="shared" si="84"/>
        <v>1.0011986764192571E-2</v>
      </c>
      <c r="CJ31" s="4" t="str">
        <f t="shared" si="85"/>
        <v>.</v>
      </c>
      <c r="CK31" s="4">
        <f t="shared" si="86"/>
        <v>-8.7358847721263899E-6</v>
      </c>
      <c r="CL31" s="4">
        <f t="shared" si="87"/>
        <v>-4.9345339762940643E-3</v>
      </c>
      <c r="CM31" s="4">
        <f t="shared" si="88"/>
        <v>3.628469399321621E-2</v>
      </c>
      <c r="CN31" s="4">
        <f t="shared" ref="CN31:CN94" si="89">_xlfn.FORECAST.LINEAR($BM31,CN$9:CN$29,$BM$9:$BM$29)</f>
        <v>-6.8844587147809493E-3</v>
      </c>
      <c r="CO31" s="4">
        <f t="shared" si="79"/>
        <v>0.14388031144638888</v>
      </c>
      <c r="CP31" s="4">
        <f t="shared" si="79"/>
        <v>0.13054370785491207</v>
      </c>
      <c r="CQ31" s="4" t="str">
        <f t="shared" si="62"/>
        <v>.</v>
      </c>
      <c r="CR31" s="4" t="str">
        <f t="shared" si="63"/>
        <v>.</v>
      </c>
      <c r="CS31" s="4" t="str">
        <f t="shared" si="64"/>
        <v>.</v>
      </c>
      <c r="CU31" s="5">
        <f>IF(CU30=".", ".", IF('Summary, PPI''s'!R31=".",IF(OR('Summary, hourly ad costs'!R31=-9999,'Summary, hourly ad costs'!R31=0), ".", 'Predicted PPIs'!CU30*('Summary, hourly ad costs'!B31/'Summary, hourly ad costs'!R31)/('Summary, hourly ad costs'!B30/'Summary, hourly ad costs'!R30)/(1-CE30)), 'Summary, PPI''s'!R31))</f>
        <v>86.604427847425995</v>
      </c>
      <c r="CV31" s="5">
        <f>IF(CV30=".", ".", IF('Summary, PPI''s'!S31=".",IF(OR('Summary, hourly ad costs'!S31=-9999,'Summary, hourly ad costs'!S31=0), ".", 'Predicted PPIs'!CV30*('Summary, hourly ad costs'!C31/'Summary, hourly ad costs'!S31)/('Summary, hourly ad costs'!C30/'Summary, hourly ad costs'!S30)/(1-CF30)), 'Summary, PPI''s'!S31))</f>
        <v>86.604427847425995</v>
      </c>
      <c r="CW31" s="5">
        <f>IF(CW30=".", ".", IF('Summary, PPI''s'!T31=".",IF(OR('Summary, hourly ad costs'!T31=-9999,'Summary, hourly ad costs'!T31=0), ".", 'Predicted PPIs'!CW30*('Summary, hourly ad costs'!D31/'Summary, hourly ad costs'!T31)/('Summary, hourly ad costs'!D30/'Summary, hourly ad costs'!T30)/(1-CG30)), 'Summary, PPI''s'!T31))</f>
        <v>71.344440529521336</v>
      </c>
      <c r="CX31" s="5">
        <f>IF(CX30=".", ".", IF('Summary, PPI''s'!U31=".",IF(OR('Summary, hourly ad costs'!U31=-9999,'Summary, hourly ad costs'!U31=0), ".", 'Predicted PPIs'!CX30*('Summary, hourly ad costs'!E31/'Summary, hourly ad costs'!U31)/('Summary, hourly ad costs'!E30/'Summary, hourly ad costs'!U30)/(1-CH30)), 'Summary, PPI''s'!U31))</f>
        <v>50.334221770952311</v>
      </c>
      <c r="CY31" s="5">
        <f>IF(CY30=".", ".", IF('Summary, PPI''s'!V31=".",IF(OR('Summary, hourly ad costs'!V31=-9999,'Summary, hourly ad costs'!V31=0), ".", 'Predicted PPIs'!CY30*('Summary, hourly ad costs'!F31/'Summary, hourly ad costs'!V31)/('Summary, hourly ad costs'!F30/'Summary, hourly ad costs'!V30)/(1-CI30)), 'Summary, PPI''s'!V31))</f>
        <v>50.1771077886239</v>
      </c>
      <c r="CZ31" s="5">
        <f>IF(CZ30=".", ".", IF('Summary, PPI''s'!W31=".",IF(OR('Summary, hourly ad costs'!W31=-9999,'Summary, hourly ad costs'!W31=0), ".", 'Predicted PPIs'!CZ30*('Summary, hourly ad costs'!G31/'Summary, hourly ad costs'!W31)/('Summary, hourly ad costs'!G30/'Summary, hourly ad costs'!W30)/(1-CJ30)), 'Summary, PPI''s'!W31))</f>
        <v>54.42336451338592</v>
      </c>
      <c r="DA31" s="5">
        <f>IF(DA30=".", ".", IF('Summary, PPI''s'!X31=".",IF(OR('Summary, hourly ad costs'!X31=-9999,'Summary, hourly ad costs'!X31=0), ".", 'Predicted PPIs'!DA30*('Summary, hourly ad costs'!H31/'Summary, hourly ad costs'!X31)/('Summary, hourly ad costs'!H30/'Summary, hourly ad costs'!X30)/(1-CK30)), 'Summary, PPI''s'!X31))</f>
        <v>53.057000000000002</v>
      </c>
      <c r="DB31" s="5">
        <f>IF(DB30=".", ".", IF('Summary, PPI''s'!Y31=".",IF(OR('Summary, hourly ad costs'!Y31=-9999,'Summary, hourly ad costs'!Y31=0), ".", 'Predicted PPIs'!DB30*('Summary, hourly ad costs'!I31/'Summary, hourly ad costs'!Y31)/('Summary, hourly ad costs'!I30/'Summary, hourly ad costs'!Y30)/(1-CL30)), 'Summary, PPI''s'!Y31))</f>
        <v>63.250933901825853</v>
      </c>
      <c r="DC31" s="5">
        <f>IF(DC30=".", ".", IF('Summary, PPI''s'!Z31=".",IF(OR('Summary, hourly ad costs'!Z31=-9999,'Summary, hourly ad costs'!Z31=0), ".", 'Predicted PPIs'!DC30*('Summary, hourly ad costs'!J31/'Summary, hourly ad costs'!Z31)/('Summary, hourly ad costs'!J30/'Summary, hourly ad costs'!Z30)/(1-CM30)), 'Summary, PPI''s'!Z31))</f>
        <v>63.09852029685392</v>
      </c>
      <c r="DD31" s="5">
        <f>IF(DD30=".", ".", IF('Summary, PPI''s'!AA31=".",IF(OR('Summary, hourly ad costs'!AA31=-9999,'Summary, hourly ad costs'!AA31=0), ".", 'Predicted PPIs'!DD30*('Summary, hourly ad costs'!K31/'Summary, hourly ad costs'!AA31)/('Summary, hourly ad costs'!K30/'Summary, hourly ad costs'!AA30)/(1-CN30)), 'Summary, PPI''s'!AA31))</f>
        <v>42.928727555022334</v>
      </c>
      <c r="DE31" s="5" t="str">
        <f>IF(DE30=".", ".", IF('Summary, PPI''s'!AB31=".",IF(OR('Summary, hourly ad costs'!AB31=-9999,'Summary, hourly ad costs'!AB31=0), ".", 'Predicted PPIs'!DE30*('Summary, hourly ad costs'!L31/'Summary, hourly ad costs'!AB31)/('Summary, hourly ad costs'!L30/'Summary, hourly ad costs'!AB30)/(1-CO30)), 'Summary, PPI''s'!AB31))</f>
        <v>.</v>
      </c>
      <c r="DF31" s="5" t="str">
        <f>IF(DF30=".", ".", IF('Summary, PPI''s'!AC31=".",IF(OR('Summary, hourly ad costs'!AC31=-9999,'Summary, hourly ad costs'!AC31=0), ".", 'Predicted PPIs'!DF30*('Summary, hourly ad costs'!M31/'Summary, hourly ad costs'!AC31)/('Summary, hourly ad costs'!M30/'Summary, hourly ad costs'!AC30)/(1-CP30)), 'Summary, PPI''s'!AC31))</f>
        <v>.</v>
      </c>
      <c r="DG31" s="5">
        <f>IF(DG30=".", ".", IF('Summary, PPI''s'!AD31=".",IF(OR('Summary, hourly ad costs'!AD31=-9999,'Summary, hourly ad costs'!AD31=0), ".", 'Predicted PPIs'!DG30*('Summary, hourly ad costs'!N31/'Summary, hourly ad costs'!AD31)/('Summary, hourly ad costs'!N30/'Summary, hourly ad costs'!AD30)/(1-CQ30)), 'Summary, PPI''s'!AD31))</f>
        <v>67.5945843112234</v>
      </c>
      <c r="DH31" s="5">
        <f>IF(DH30=".", ".", IF('Summary, PPI''s'!AE31=".",IF(OR('Summary, hourly ad costs'!AE31=-9999,'Summary, hourly ad costs'!AE31=0), ".", 'Predicted PPIs'!DH30*('Summary, hourly ad costs'!O31/'Summary, hourly ad costs'!AE31)/('Summary, hourly ad costs'!O30/'Summary, hourly ad costs'!AE30)/(1-CR30)), 'Summary, PPI''s'!AE31))</f>
        <v>51.297686585923223</v>
      </c>
      <c r="DI31" s="5">
        <f>IF(DI30=".", ".", IF('Summary, PPI''s'!AF31=".",IF(OR('Summary, hourly ad costs'!AF31=-9999,'Summary, hourly ad costs'!AF31=0), ".", 'Predicted PPIs'!DI30*('Summary, hourly ad costs'!P31/'Summary, hourly ad costs'!AF31)/('Summary, hourly ad costs'!P30/'Summary, hourly ad costs'!AF30)/(1-CS30)), 'Summary, PPI''s'!AF31))</f>
        <v>59.502075539568359</v>
      </c>
      <c r="DK31" s="4">
        <v>45.850999999999999</v>
      </c>
      <c r="DM31" s="5">
        <f t="shared" si="65"/>
        <v>-3.6877906907139657E-2</v>
      </c>
      <c r="DN31" s="5">
        <f t="shared" si="66"/>
        <v>-3.6877906907139657E-2</v>
      </c>
      <c r="DO31" s="5">
        <f t="shared" si="67"/>
        <v>-2.0523490856131144E-2</v>
      </c>
      <c r="DP31" s="5">
        <f t="shared" si="68"/>
        <v>2.8363999057656741E-3</v>
      </c>
      <c r="DQ31" s="5">
        <f t="shared" si="69"/>
        <v>1.1237596842162301E-2</v>
      </c>
      <c r="DR31" s="5">
        <f t="shared" si="70"/>
        <v>1.2019796500749802E-2</v>
      </c>
      <c r="DS31" s="5">
        <f t="shared" si="71"/>
        <v>-3.3815825098640229E-2</v>
      </c>
      <c r="DT31" s="5">
        <f t="shared" si="72"/>
        <v>-2.9756331625778287E-2</v>
      </c>
      <c r="DU31" s="5">
        <f t="shared" si="73"/>
        <v>-3.5715964778639253E-2</v>
      </c>
      <c r="DV31" s="5">
        <f t="shared" si="74"/>
        <v>-9.9129726941528107E-3</v>
      </c>
      <c r="DW31" s="4">
        <f t="shared" si="78"/>
        <v>-8.4130992602216792E-2</v>
      </c>
      <c r="DX31" s="4">
        <f t="shared" si="78"/>
        <v>-1.9794328865902031E-2</v>
      </c>
      <c r="DY31" s="5">
        <f t="shared" si="75"/>
        <v>-3.2215469052037427E-2</v>
      </c>
      <c r="DZ31" s="5">
        <f t="shared" si="76"/>
        <v>-3.4830657617386018E-2</v>
      </c>
      <c r="EA31" s="5">
        <f t="shared" si="77"/>
        <v>-1.9996120155790664E-2</v>
      </c>
      <c r="EC31" s="1">
        <f t="shared" si="35"/>
        <v>86.604427847425995</v>
      </c>
      <c r="ED31" s="1">
        <f t="shared" si="36"/>
        <v>86.604427847425995</v>
      </c>
      <c r="EE31" s="1">
        <f t="shared" si="37"/>
        <v>71.344440529521336</v>
      </c>
      <c r="EF31" s="1">
        <f t="shared" si="38"/>
        <v>50.334221770952311</v>
      </c>
      <c r="EG31" s="1">
        <f t="shared" si="39"/>
        <v>50.1771077886239</v>
      </c>
      <c r="EH31" s="1">
        <f t="shared" si="40"/>
        <v>54.42336451338592</v>
      </c>
      <c r="EI31" s="1">
        <f t="shared" si="41"/>
        <v>53.057000000000002</v>
      </c>
      <c r="EJ31" s="1">
        <f t="shared" si="42"/>
        <v>63.250933901825853</v>
      </c>
      <c r="EK31" s="1">
        <f t="shared" si="43"/>
        <v>63.09852029685392</v>
      </c>
      <c r="EL31" s="1">
        <f t="shared" si="44"/>
        <v>42.928727555022334</v>
      </c>
      <c r="EM31" s="1">
        <f t="shared" si="45"/>
        <v>143.98032474599975</v>
      </c>
      <c r="EN31" s="1">
        <f t="shared" si="46"/>
        <v>96.88045875976735</v>
      </c>
      <c r="EO31" s="1">
        <f t="shared" si="47"/>
        <v>67.5945843112234</v>
      </c>
      <c r="EP31" s="1">
        <f t="shared" si="48"/>
        <v>51.297686585923223</v>
      </c>
      <c r="EQ31" s="1">
        <f t="shared" si="49"/>
        <v>59.502075539568359</v>
      </c>
      <c r="ES31" s="1">
        <f>IF(EF$26=".", 0, 'Summary, PPI''s'!E31)+IF(EG$26=".", 0, 'Summary, PPI''s'!F31)+IF(EH$26=".", 0, 'Summary, PPI''s'!G31)+IF(EI$26=".", 0, 'Summary, PPI''s'!H31)+IF(EJ$26=".", 0, 'Summary, PPI''s'!I31)+IF(EK$26=".", 0, 'Summary, PPI''s'!J31)+IF(EL$26=".", 0, 'Summary, PPI''s'!K31)+IF(EM$26=".", 0, 'Summary, PPI''s'!L31)+IF(EN$26=".", 0, 'Summary, PPI''s'!M31)+IF(EC$26=".", 0, 'Summary, PPI''s'!B31)+IF(ED$26=".", 0, 'Summary, PPI''s'!C31)+IF(EE$26=".", 0, 'Summary, PPI''s'!D31)+IF(EO$26=".", 0, 'Summary, PPI''s'!N31)+IF(EP$26=".", 0, 'Summary, PPI''s'!O31)+IF(EQ$26=".", 0, 'Summary, PPI''s'!P31)</f>
        <v>142088951.78963283</v>
      </c>
      <c r="ET31" s="1">
        <f>'Summary, hourly ad costs'!E31+'Summary, hourly ad costs'!F31+'Summary, hourly ad costs'!H31+'Summary, hourly ad costs'!I31+'Summary, hourly ad costs'!J31+'Summary, hourly ad costs'!K31+'Summary, hourly ad costs'!L31+'Summary, hourly ad costs'!M31+'Summary, hourly ad costs'!B31</f>
        <v>69793494.543402836</v>
      </c>
      <c r="EV31" s="13">
        <f>EV30*IF(EF$26=".", 1, (EF31/EF30)^(('Summary, PPI''s'!$E31+'Summary, PPI''s'!$E30)/('Predicted PPIs'!ES31+'Predicted PPIs'!ES30)))*IF(EG$26=".", 1, (EG31/EG30)^(('Summary, PPI''s'!$F31+'Summary, PPI''s'!$F30)/('Predicted PPIs'!ES31+'Predicted PPIs'!ES30)))*IF(EH$26=".", 1, (EH31/EH30)^(('Summary, PPI''s'!$G31+'Summary, PPI''s'!$G30)/('Predicted PPIs'!ES31+'Predicted PPIs'!ES30)))*IF(EI$26=".", 1, (EI31/EI30)^(('Summary, PPI''s'!$H31+'Summary, PPI''s'!$H30)/('Predicted PPIs'!ES31+'Predicted PPIs'!ES30)))*IF(EJ$26=".", 1, (EJ31/EJ30)^(('Summary, PPI''s'!$I31+'Summary, PPI''s'!$I30)/('Predicted PPIs'!ES31+'Predicted PPIs'!ES30)))*IF(EK$26=".", 1, (EK31/EK30)^(('Summary, PPI''s'!$J31+'Summary, PPI''s'!$J30)/('Predicted PPIs'!ES31+'Predicted PPIs'!ES30)))*IF(EL$26=".", 1, (EL31/EL30)^(('Summary, PPI''s'!$K31+'Summary, PPI''s'!$K30)/('Predicted PPIs'!ES31+'Predicted PPIs'!ES30)))*IF(EM$26=".", 1, (EM31/EM30)^(('Summary, PPI''s'!$L31+'Summary, PPI''s'!$L30)/('Predicted PPIs'!ES31+'Predicted PPIs'!ES30)))*IF(EN$26=".", 1, (EN31/EN30)^(('Summary, PPI''s'!$M31+'Summary, PPI''s'!$M30)/('Predicted PPIs'!ES31+'Predicted PPIs'!ES30)))*IF(EC$26=".", 1, (EC31/EC30)^(('Summary, PPI''s'!$B31+'Summary, PPI''s'!$B30)/('Predicted PPIs'!ES31+'Predicted PPIs'!ES30)))*IF(ED$26=".", 1, (ED31/ED30)^(('Summary, PPI''s'!$C31+'Summary, PPI''s'!$C30)/('Predicted PPIs'!ES31+'Predicted PPIs'!ES30)))*IF(EE$26=".", 1, (EE31/EE30)^(('Summary, PPI''s'!$D31+'Summary, PPI''s'!$D30)/('Predicted PPIs'!ES31+'Predicted PPIs'!ES30)))*IF(EO$26=".", 1, (EO31/EO30)^(('Summary, PPI''s'!$N31+'Summary, PPI''s'!$N30)/('Predicted PPIs'!ES31+'Predicted PPIs'!ES30)))*IF(EP$26=".", 1, (EP31/EP30)^(('Summary, PPI''s'!$O31+'Summary, PPI''s'!$O30)/('Predicted PPIs'!ES31+'Predicted PPIs'!ES30)))*IF(EQ$26=".", 1, (EQ31/EQ30)^(('Summary, PPI''s'!$P31+'Summary, PPI''s'!$P30)/('Predicted PPIs'!ES31+'Predicted PPIs'!ES30)))</f>
        <v>69.459661818319788</v>
      </c>
      <c r="EW31" s="13">
        <f>EW30*IF(EF$26=".", 1, (EF31/EF30)^(('Summary, PPI''s'!$E31+'Summary, PPI''s'!$E30)/('Predicted PPIs'!ET31+'Predicted PPIs'!ET30)))*IF(EG$26=".", 1, (EG31/EG30)^(('Summary, PPI''s'!$F31+'Summary, PPI''s'!$F30)/('Predicted PPIs'!ET31+'Predicted PPIs'!ET30)))*IF(EH$26=".", 1, (EH31/EH30)^(('Summary, PPI''s'!$G31+'Summary, PPI''s'!$G30)/('Predicted PPIs'!ET31+'Predicted PPIs'!ET30)))*IF(EK$26=".", 1, (EK31/EK30)^(('Summary, PPI''s'!$J31+'Summary, PPI''s'!$J30)/('Predicted PPIs'!ET31+'Predicted PPIs'!ET30)))*IF(EL$26=".", 1, (EL31/EL30)^(('Summary, PPI''s'!$K31+'Summary, PPI''s'!$K30)/('Predicted PPIs'!ET31+'Predicted PPIs'!ET30)))*IF(EM$26=".", 1, (EM31/EM30)^(('Summary, PPI''s'!$L31+'Summary, PPI''s'!$L30)/('Predicted PPIs'!ET31+'Predicted PPIs'!ET30)))*IF(EN$26=".", 1, (EN31/EN30)^(('Summary, PPI''s'!$M31+'Summary, PPI''s'!$M30)/('Predicted PPIs'!ET31+'Predicted PPIs'!ET30)))*IF(EC$26=".", 1, (EC31/EC30)^(('Summary, PPI''s'!$B31+'Summary, PPI''s'!$B30)/('Predicted PPIs'!ET31+'Predicted PPIs'!ET30)))</f>
        <v>73.967765649031747</v>
      </c>
      <c r="EY31" s="2"/>
    </row>
    <row r="32" spans="1:155" x14ac:dyDescent="0.3">
      <c r="A32" s="4">
        <v>1991</v>
      </c>
      <c r="B32" s="10">
        <f>IF(B31=".", ".", IF('Summary, PPI''s'!R32=".",IF(OR('Summary, hourly ad costs'!R32=-9999,'Summary, hourly ad costs'!R32=0), ".", 'Predicted PPIs'!B31*('Summary, hourly ad costs'!B32/'Summary, hourly ad costs'!R32)/('Summary, hourly ad costs'!B31/'Summary, hourly ad costs'!R31)), 'Summary, PPI''s'!R32))</f>
        <v>85.862896772472681</v>
      </c>
      <c r="C32" s="10">
        <f>IF(C31=".", ".", IF('Summary, PPI''s'!S32=".",IF(OR('Summary, hourly ad costs'!S32=-9999,'Summary, hourly ad costs'!S32=0), ".", 'Predicted PPIs'!C31*('Summary, hourly ad costs'!C32/'Summary, hourly ad costs'!S32)/('Summary, hourly ad costs'!C31/'Summary, hourly ad costs'!S31)), 'Summary, PPI''s'!S32))</f>
        <v>85.862896772472681</v>
      </c>
      <c r="D32" s="10">
        <f>IF(D31=".", ".", IF('Summary, PPI''s'!T32=".",IF(OR('Summary, hourly ad costs'!T32=-9999,'Summary, hourly ad costs'!T32=0), ".", 'Predicted PPIs'!D31*('Summary, hourly ad costs'!D32/'Summary, hourly ad costs'!T32)/('Summary, hourly ad costs'!D31/'Summary, hourly ad costs'!T31)), 'Summary, PPI''s'!T32))</f>
        <v>69.552524286505275</v>
      </c>
      <c r="E32" s="10">
        <f>IF(E31=".", ".", IF('Summary, PPI''s'!U32=".",IF(OR('Summary, hourly ad costs'!U32=-9999,'Summary, hourly ad costs'!U32=0), ".", 'Predicted PPIs'!E31*('Summary, hourly ad costs'!E32/'Summary, hourly ad costs'!U32)/('Summary, hourly ad costs'!E31/'Summary, hourly ad costs'!U31)), 'Summary, PPI''s'!U32))</f>
        <v>47.926978889029911</v>
      </c>
      <c r="F32" s="10">
        <f>IF(F31=".", ".", IF('Summary, PPI''s'!V32=".",IF(OR('Summary, hourly ad costs'!V32=-9999,'Summary, hourly ad costs'!V32=0), ".", 'Predicted PPIs'!F31*('Summary, hourly ad costs'!F32/'Summary, hourly ad costs'!V32)/('Summary, hourly ad costs'!F31/'Summary, hourly ad costs'!V31)), 'Summary, PPI''s'!V32))</f>
        <v>47.380452242678871</v>
      </c>
      <c r="G32" s="10">
        <f>IF(G31=".", ".", IF('Summary, PPI''s'!W32=".",IF(OR('Summary, hourly ad costs'!W32=-9999,'Summary, hourly ad costs'!W32=0), ".", 'Predicted PPIs'!G31*('Summary, hourly ad costs'!G32/'Summary, hourly ad costs'!W32)/('Summary, hourly ad costs'!G31/'Summary, hourly ad costs'!W31)), 'Summary, PPI''s'!W32))</f>
        <v>51.350321086121447</v>
      </c>
      <c r="H32" s="10">
        <f>IF(H31=".", ".", IF('Summary, PPI''s'!X32=".",IF(OR('Summary, hourly ad costs'!X32=-9999,'Summary, hourly ad costs'!X32=0), ".", 'Predicted PPIs'!H31*('Summary, hourly ad costs'!H32/'Summary, hourly ad costs'!X32)/('Summary, hourly ad costs'!H31/'Summary, hourly ad costs'!X31)), 'Summary, PPI''s'!X32))</f>
        <v>52.436</v>
      </c>
      <c r="I32" s="10">
        <f>IF(I31=".", ".", IF('Summary, PPI''s'!Y32=".",IF(OR('Summary, hourly ad costs'!Y32=-9999,'Summary, hourly ad costs'!Y32=0), ".", 'Predicted PPIs'!I31*('Summary, hourly ad costs'!I32/'Summary, hourly ad costs'!Y32)/('Summary, hourly ad costs'!I31/'Summary, hourly ad costs'!Y31)), 'Summary, PPI''s'!Y32))</f>
        <v>62.249076043672815</v>
      </c>
      <c r="J32" s="10">
        <f>IF(J31=".", ".", IF('Summary, PPI''s'!Z32=".",IF(OR('Summary, hourly ad costs'!Z32=-9999,'Summary, hourly ad costs'!Z32=0), ".", 'Predicted PPIs'!J31*('Summary, hourly ad costs'!J32/'Summary, hourly ad costs'!Z32)/('Summary, hourly ad costs'!J31/'Summary, hourly ad costs'!Z31)), 'Summary, PPI''s'!Z32))</f>
        <v>62.482871917470725</v>
      </c>
      <c r="K32" s="10">
        <f>IF(K31=".", ".", IF('Summary, PPI''s'!AA32=".",IF(OR('Summary, hourly ad costs'!AA32=-9999,'Summary, hourly ad costs'!AA32=0), ".", 'Predicted PPIs'!K31*('Summary, hourly ad costs'!K32/'Summary, hourly ad costs'!AA32)/('Summary, hourly ad costs'!K31/'Summary, hourly ad costs'!AA31)), 'Summary, PPI''s'!AA32))</f>
        <v>41.50382585144142</v>
      </c>
      <c r="L32" s="10" t="str">
        <f>IF(L31=".", ".", IF('Summary, PPI''s'!AB32=".",IF(OR('Summary, hourly ad costs'!AB32=-9999,'Summary, hourly ad costs'!AB32=0), ".", 'Predicted PPIs'!L31*('Summary, hourly ad costs'!L32/'Summary, hourly ad costs'!AB32)/('Summary, hourly ad costs'!L31/'Summary, hourly ad costs'!AB31)), 'Summary, PPI''s'!AB32))</f>
        <v>.</v>
      </c>
      <c r="M32" s="10" t="str">
        <f>IF(M31=".", ".", IF('Summary, PPI''s'!AC32=".",IF(OR('Summary, hourly ad costs'!AC32=-9999,'Summary, hourly ad costs'!AC32=0), ".", 'Predicted PPIs'!M31*('Summary, hourly ad costs'!M32/'Summary, hourly ad costs'!AC32)/('Summary, hourly ad costs'!M31/'Summary, hourly ad costs'!AC31)), 'Summary, PPI''s'!AC32))</f>
        <v>.</v>
      </c>
      <c r="N32" s="10">
        <f>IF(N31=".", ".", IF('Summary, PPI''s'!AD32=".",IF(OR('Summary, hourly ad costs'!AD32=-9999,'Summary, hourly ad costs'!AD32=0), ".", 'Predicted PPIs'!N31*('Summary, hourly ad costs'!N32/'Summary, hourly ad costs'!AD32)/('Summary, hourly ad costs'!N31/'Summary, hourly ad costs'!AD31)), 'Summary, PPI''s'!AD32))</f>
        <v>66.69296265107721</v>
      </c>
      <c r="O32" s="10">
        <f>IF(O31=".", ".", IF('Summary, PPI''s'!AE32=".",IF(OR('Summary, hourly ad costs'!AE32=-9999,'Summary, hourly ad costs'!AE32=0), ".", 'Predicted PPIs'!O31*('Summary, hourly ad costs'!O32/'Summary, hourly ad costs'!AE32)/('Summary, hourly ad costs'!O31/'Summary, hourly ad costs'!AE31)), 'Summary, PPI''s'!AE32))</f>
        <v>50.750584209323584</v>
      </c>
      <c r="P32" s="10">
        <f>IF(P31=".", ".", IF('Summary, PPI''s'!AF32=".",IF(OR('Summary, hourly ad costs'!AF32=-9999,'Summary, hourly ad costs'!AF32=0), ".", 'Predicted PPIs'!P31*('Summary, hourly ad costs'!P32/'Summary, hourly ad costs'!AF32)/('Summary, hourly ad costs'!P31/'Summary, hourly ad costs'!AF31)), 'Summary, PPI''s'!AF32))</f>
        <v>57.976381294964035</v>
      </c>
      <c r="R32" s="1">
        <f>IF(E$26=".", 0, 'Summary, PPI''s'!E32)+IF(F$26=".", 0, 'Summary, PPI''s'!F32)+IF(G$26=".", 0, 'Summary, PPI''s'!G32)+IF(H$26=".", 0, 'Summary, PPI''s'!H32)+IF(I$26=".", 0, 'Summary, PPI''s'!I32)+IF(J$26=".", 0, 'Summary, PPI''s'!J32)+IF(K$26=".", 0, 'Summary, PPI''s'!K32)+IF(L$26=".", 0, 'Summary, PPI''s'!L32)+IF(M$26=".", 0, 'Summary, PPI''s'!M32)+IF(B$26=".", 0, 'Summary, PPI''s'!B32)+IF(C$26=".", 0, 'Summary, PPI''s'!C32)+IF(D$26=".", 0, 'Summary, PPI''s'!D32)+IF(N$26=".", 0, 'Summary, PPI''s'!N32)+IF(O$26=".", 0, 'Summary, PPI''s'!O32)+IF(P$26=".", 0, 'Summary, PPI''s'!P32)</f>
        <v>136150083.58518529</v>
      </c>
      <c r="S32" s="1">
        <f>IF(E$36=".", 0, 'Summary, PPI''s'!E32)+IF(F$36=".", 0, 'Summary, PPI''s'!F32)+IF(G$36=".", 0, 'Summary, PPI''s'!G32)+IF(H$36=".", 0, 'Summary, PPI''s'!H32)+IF(I$36=".", 0, 'Summary, PPI''s'!I32)+IF(J$36=".", 0, 'Summary, PPI''s'!J32)+IF(K$36=".", 0, 'Summary, PPI''s'!K32)+IF(L$36=".", 0, 'Summary, PPI''s'!L32)+IF(M$36=".", 0, 'Summary, PPI''s'!M32)+IF(B$36=".", 0, 'Summary, PPI''s'!B32)+IF(C$36=".", 0, 'Summary, PPI''s'!C32)+IF(D$36=".", 0, 'Summary, PPI''s'!D32)+IF(N$36=".", 0, 'Summary, PPI''s'!N32)+IF(O$36=".", 0, 'Summary, PPI''s'!O32)+IF(P$36=".", 0, 'Summary, PPI''s'!P32)</f>
        <v>136150083.58518529</v>
      </c>
      <c r="T32" s="1">
        <f>IF(E$46=".", 0, 'Summary, PPI''s'!E32)+IF(F$46=".", 0, 'Summary, PPI''s'!F32)+IF(G$46=".", 0, 'Summary, PPI''s'!G32)+IF(H$46=".", 0, 'Summary, PPI''s'!H32)+IF(I$46=".", 0, 'Summary, PPI''s'!I32)+IF(J$46=".", 0, 'Summary, PPI''s'!J32)+IF(K$46=".", 0, 'Summary, PPI''s'!K32)+IF(L$46=".", 0, 'Summary, PPI''s'!L32)+IF(M$46=".", 0, 'Summary, PPI''s'!M32)+IF(B$46=".", 0, 'Summary, PPI''s'!B32)+IF(C$46=".", 0, 'Summary, PPI''s'!C32)+IF(D$46=".", 0, 'Summary, PPI''s'!D32)+IF(N$46=".", 0, 'Summary, PPI''s'!N32)+IF(O$46=".", 0, 'Summary, PPI''s'!O32)+IF(P$46=".", 0, 'Summary, PPI''s'!P32)</f>
        <v>94726067.553928316</v>
      </c>
      <c r="U32" s="1">
        <f>IF(E$60=".", 0, 'Summary, PPI''s'!E32)+IF(F$60=".", 0, 'Summary, PPI''s'!F32)+IF(G$60=".", 0, 'Summary, PPI''s'!G32)+IF(H$60=".", 0, 'Summary, PPI''s'!H32)+IF(I$60=".", 0, 'Summary, PPI''s'!I32)+IF(J$60=".", 0, 'Summary, PPI''s'!J32)+IF(K$60=".", 0, 'Summary, PPI''s'!K32)+IF(L$60=".", 0, 'Summary, PPI''s'!L32)+IF(M$60=".", 0, 'Summary, PPI''s'!M32)+IF(B$60=".", 0, 'Summary, PPI''s'!B32)+IF(C$60=".", 0, 'Summary, PPI''s'!C32)+IF(D$60=".", 0, 'Summary, PPI''s'!D32)+IF(N$60=".", 0, 'Summary, PPI''s'!N32)+IF(O$60=".", 0, 'Summary, PPI''s'!O32)+IF(P$60=".", 0, 'Summary, PPI''s'!P32)</f>
        <v>83767381.836256981</v>
      </c>
      <c r="V32" s="1">
        <f>IF(E$73=".", 0, 'Summary, PPI''s'!E32)+IF(F$73=".", 0, 'Summary, PPI''s'!F32)+IF(G$73=".", 0, 'Summary, PPI''s'!G32)+IF(H$73=".", 0, 'Summary, PPI''s'!H32)+IF(I$73=".", 0, 'Summary, PPI''s'!I32)+IF(J$73=".", 0, 'Summary, PPI''s'!J32)+IF(K$73=".", 0, 'Summary, PPI''s'!K32)+IF(L$73=".", 0, 'Summary, PPI''s'!L32)+IF(M$73=".", 0, 'Summary, PPI''s'!M32)+IF(B$73=".", 0, 'Summary, PPI''s'!B32)+IF(C$73=".", 0, 'Summary, PPI''s'!C32)+IF(D$73=".", 0, 'Summary, PPI''s'!D32)+IF(N$73=".", 0, 'Summary, PPI''s'!N32)+IF(O$73=".", 0, 'Summary, PPI''s'!O32)+IF(P$73=".", 0, 'Summary, PPI''s'!P32)</f>
        <v>63703738.876276277</v>
      </c>
      <c r="W32" s="1">
        <f>IF(E$94=".",0,'Summary, PPI''s'!E32)+IF(F$94=".",0,'Summary, PPI''s'!F32)+IF(G$94=".",0,'Summary, PPI''s'!G32)+IF(H$94=".",0,'Summary, PPI''s'!H32)+IF(I$94=".",0,'Summary, PPI''s'!I32)+IF(J$94=".",0,'Summary, PPI''s'!J32)+IF(K$94=".",0,'Summary, PPI''s'!K32)+IF(L$94=".",0,'Summary, PPI''s'!L32)+IF(M$94=".",0,'Summary, PPI''s'!M32)+IF(B$94=".",0,'Summary, PPI''s'!B32)+IF(C$94=".",0,'Summary, PPI''s'!C32)+IF(D$94=".",0,'Summary, PPI''s'!D32)+IF(N$94=".",0,'Summary, PPI''s'!N32)+IF(O$94=".",0,'Summary, PPI''s'!O32)+IF(P$94=".",0,'Summary, PPI''s'!P32)</f>
        <v>46220865.745297767</v>
      </c>
      <c r="X32" s="1">
        <f>IF(E$123=".", 0, 'Summary, PPI''s'!E32)+IF(F$123=".", 0, 'Summary, PPI''s'!F32)+IF(G$123=".", 0, 'Summary, PPI''s'!G32)+IF(H$123=".", 0, 'Summary, PPI''s'!H32)+IF(I$123=".", 0, 'Summary, PPI''s'!I32)+IF(J$123=".", 0, 'Summary, PPI''s'!J32)+IF(K$123=".", 0, 'Summary, PPI''s'!K32)+IF(L$123=".", 0, 'Summary, PPI''s'!L32)+IF(M$123=".", 0, 'Summary, PPI''s'!M32)+IF(B$123=".", 0, 'Summary, PPI''s'!B32)+IF(C$123=".", 0, 'Summary, PPI''s'!C32)+IF(D$123=".", 0, 'Summary, PPI''s'!D32)+IF(N$123=".", 0, 'Summary, PPI''s'!N32)+IF(O$123=".", 0, 'Summary, PPI''s'!O32)+IF(P$123=".", 0, 'Summary, PPI''s'!P32)</f>
        <v>39781228.304996654</v>
      </c>
      <c r="Z32" s="4" t="e">
        <f>Z31*IF(E$26=".", 1, (E32/E31)^(('Summary, PPI''s'!$E32+'Summary, PPI''s'!$E31)/('Predicted PPIs'!R32+'Predicted PPIs'!R31)))*IF(F$26=".", 1, (F32/F31)^(('Summary, PPI''s'!$F32+'Summary, PPI''s'!$F31)/('Predicted PPIs'!R32+'Predicted PPIs'!R31)))*IF(G$26=".", 1, (G32/G31)^(('Summary, PPI''s'!$G32+'Summary, PPI''s'!$G31)/('Predicted PPIs'!R32+'Predicted PPIs'!R31)))*IF(H$26=".", 1, (H32/H31)^(('Summary, PPI''s'!$H32+'Summary, PPI''s'!$H31)/('Predicted PPIs'!R32+'Predicted PPIs'!R31)))*IF(I$26=".", 1, (I32/I31)^(('Summary, PPI''s'!$I32+'Summary, PPI''s'!$I31)/('Predicted PPIs'!R32+'Predicted PPIs'!R31)))*IF(J$26=".", 1, (J32/J31)^(('Summary, PPI''s'!$J32+'Summary, PPI''s'!$J31)/('Predicted PPIs'!R32+'Predicted PPIs'!R31)))*IF(K$26=".", 1, (K32/K31)^(('Summary, PPI''s'!$K32+'Summary, PPI''s'!$K31)/('Predicted PPIs'!R32+'Predicted PPIs'!R31)))*IF(L$26=".", 1, (L32/L31)^(('Summary, PPI''s'!$L32+'Summary, PPI''s'!$L31)/('Predicted PPIs'!R32+'Predicted PPIs'!R31)))*IF(M$26=".", 1, (M32/M31)^(('Summary, PPI''s'!$M32+'Summary, PPI''s'!$M31)/('Predicted PPIs'!R32+'Predicted PPIs'!R31)))*IF(B$26=".", 1, (B32/B31)^(('Summary, PPI''s'!$B32+'Summary, PPI''s'!$B31)/('Predicted PPIs'!R32+'Predicted PPIs'!R31)))*IF(C$26=".", 1, (C32/C31)^(('Summary, PPI''s'!$C32+'Summary, PPI''s'!$C31)/('Predicted PPIs'!R32+'Predicted PPIs'!R31)))*IF(D$26=".", 1, (D32/D31)^(('Summary, PPI''s'!$D32+'Summary, PPI''s'!$D31)/('Predicted PPIs'!R32+'Predicted PPIs'!R31)))*IF(N$26=".", 1, (N32/N31)^(('Summary, PPI''s'!$N32+'Summary, PPI''s'!$N31)/('Predicted PPIs'!R32+'Predicted PPIs'!R31)))*IF(O$26=".", 1, (O32/O31)^(('Summary, PPI''s'!$O32+'Summary, PPI''s'!$O31)/('Predicted PPIs'!R32+'Predicted PPIs'!R31)))*IF(P$26=".", 1, (P32/P31)^(('Summary, PPI''s'!$P32+'Summary, PPI''s'!$P31)/('Predicted PPIs'!R32+'Predicted PPIs'!R31)))</f>
        <v>#VALUE!</v>
      </c>
      <c r="AA32" s="4">
        <f>AA31*IF(E$36=".", 1, (E32/E31)^(('Summary, PPI''s'!$E32+'Summary, PPI''s'!$E31)/('Predicted PPIs'!S32+'Predicted PPIs'!S31)))*IF(F$36=".", 1, (F32/F31)^(('Summary, PPI''s'!$F32+'Summary, PPI''s'!$F31)/('Predicted PPIs'!S32+'Predicted PPIs'!S31)))*IF(G$36=".", 1, (G32/G31)^(('Summary, PPI''s'!$G32+'Summary, PPI''s'!$G31)/('Predicted PPIs'!S32+'Predicted PPIs'!S31)))*IF(H$36=".", 1, (H32/H31)^(('Summary, PPI''s'!$H32+'Summary, PPI''s'!$H31)/('Predicted PPIs'!S32+'Predicted PPIs'!S31)))*IF(I$36=".", 1, (I32/I31)^(('Summary, PPI''s'!$I32+'Summary, PPI''s'!$I31)/('Predicted PPIs'!S32+'Predicted PPIs'!S31)))*IF(J$36=".", 1, (J32/J31)^(('Summary, PPI''s'!$J32+'Summary, PPI''s'!$J31)/('Predicted PPIs'!S32+'Predicted PPIs'!S31)))*IF(K$36=".", 1, (K32/K31)^(('Summary, PPI''s'!$K32+'Summary, PPI''s'!$K31)/('Predicted PPIs'!S32+'Predicted PPIs'!S31)))*IF(L$36=".", 1, (L32/L31)^(('Summary, PPI''s'!$L32+'Summary, PPI''s'!$L31)/('Predicted PPIs'!S32+'Predicted PPIs'!S31)))*IF(M$36=".", 1, (M32/M31)^(('Summary, PPI''s'!$M32+'Summary, PPI''s'!$M31)/('Predicted PPIs'!S32+'Predicted PPIs'!S31)))*IF(B$36=".", 1, (B32/B31)^(('Summary, PPI''s'!$B32+'Summary, PPI''s'!$B31)/('Predicted PPIs'!S32+'Predicted PPIs'!S31)))*IF(C$36=".", 1, (C32/C31)^(('Summary, PPI''s'!$C32+'Summary, PPI''s'!$C31)/('Predicted PPIs'!S32+'Predicted PPIs'!S31)))*IF(D$36=".", 1, (D32/D31)^(('Summary, PPI''s'!$D32+'Summary, PPI''s'!$D31)/('Predicted PPIs'!S32+'Predicted PPIs'!S31)))*IF(N$36=".", 1, (N32/N31)^(('Summary, PPI''s'!$N32+'Summary, PPI''s'!$N31)/('Predicted PPIs'!S32+'Predicted PPIs'!S31)))*IF(O$36=".", 1, (O32/O31)^(('Summary, PPI''s'!$O32+'Summary, PPI''s'!$O31)/('Predicted PPIs'!S32+'Predicted PPIs'!S31)))*IF(P$36=".", 1, (P32/P31)^(('Summary, PPI''s'!$P32+'Summary, PPI''s'!$P31)/('Predicted PPIs'!S32+'Predicted PPIs'!S31)))</f>
        <v>56.847736099716322</v>
      </c>
      <c r="AB32" s="4">
        <f>AB31*IF(E$46=".", 1, (E32/E31)^(('Summary, PPI''s'!$E32+'Summary, PPI''s'!$E31)/('Predicted PPIs'!T32+'Predicted PPIs'!T31)))*IF(F$46=".", 1, (F32/F31)^(('Summary, PPI''s'!$F32+'Summary, PPI''s'!$F31)/('Predicted PPIs'!T32+'Predicted PPIs'!T31)))*IF(G$46=".", 1, (G32/G31)^(('Summary, PPI''s'!$G32+'Summary, PPI''s'!$G31)/('Predicted PPIs'!T32+'Predicted PPIs'!T31)))*IF(H$46=".", 1, (H32/H31)^(('Summary, PPI''s'!$H32+'Summary, PPI''s'!$H31)/('Predicted PPIs'!T32+'Predicted PPIs'!T31)))*IF(I$46=".", 1, (I32/I31)^(('Summary, PPI''s'!$I32+'Summary, PPI''s'!$I31)/('Predicted PPIs'!T32+'Predicted PPIs'!T31)))*IF(J$46=".", 1, (J32/J31)^(('Summary, PPI''s'!$J32+'Summary, PPI''s'!$J31)/('Predicted PPIs'!T32+'Predicted PPIs'!T31)))*IF(K$46=".", 1, (K32/K31)^(('Summary, PPI''s'!$K32+'Summary, PPI''s'!$K31)/('Predicted PPIs'!T32+'Predicted PPIs'!T31)))*IF(L$46=".", 1, (L32/L31)^(('Summary, PPI''s'!$L32+'Summary, PPI''s'!$L31)/('Predicted PPIs'!T32+'Predicted PPIs'!T31)))*IF(M$46=".", 1, (M32/M31)^(('Summary, PPI''s'!$M32+'Summary, PPI''s'!$M31)/('Predicted PPIs'!T32+'Predicted PPIs'!T31)))*IF(B$46=".", 1, (B32/B31)^(('Summary, PPI''s'!$B32+'Summary, PPI''s'!$B31)/('Predicted PPIs'!T32+'Predicted PPIs'!T31)))*IF(C$46=".", 1, (C32/C31)^(('Summary, PPI''s'!$C32+'Summary, PPI''s'!$C31)/('Predicted PPIs'!T32+'Predicted PPIs'!T31)))*IF(D$46=".", 1, (D32/D31)^(('Summary, PPI''s'!$D32+'Summary, PPI''s'!$D31)/('Predicted PPIs'!T32+'Predicted PPIs'!T31)))*IF(N$46=".", 1, (N32/N31)^(('Summary, PPI''s'!$N32+'Summary, PPI''s'!$N31)/('Predicted PPIs'!T32+'Predicted PPIs'!T31)))*IF(O$46=".", 1, (O32/O31)^(('Summary, PPI''s'!$O32+'Summary, PPI''s'!$O31)/('Predicted PPIs'!T32+'Predicted PPIs'!T31)))*IF(P$46=".", 1, (P32/P31)^(('Summary, PPI''s'!$P32+'Summary, PPI''s'!$P31)/('Predicted PPIs'!T32+'Predicted PPIs'!T31)))</f>
        <v>54.638225401326395</v>
      </c>
      <c r="AC32" s="4">
        <f>AC31*IF(E$60=".",1,(E32/E31)^(('Summary, PPI''s'!$E32+'Summary, PPI''s'!$E31)/('Predicted PPIs'!U32+'Predicted PPIs'!U31)))*IF(F$60=".",1,(F32/F31)^(('Summary, PPI''s'!$F32+'Summary, PPI''s'!$F31)/('Predicted PPIs'!U32+'Predicted PPIs'!U31)))*IF(G$60=".",1,(G32/G31)^(('Summary, PPI''s'!$G32+'Summary, PPI''s'!$G31)/('Predicted PPIs'!U32+'Predicted PPIs'!U31)))*IF(H$60=".",1,(H32/H31)^(('Summary, PPI''s'!$H32+'Summary, PPI''s'!$H31)/('Predicted PPIs'!U32+'Predicted PPIs'!U31)))*IF(I$60=".",1,(I32/I31)^(('Summary, PPI''s'!$I32+'Summary, PPI''s'!$I31)/('Predicted PPIs'!U32+'Predicted PPIs'!U31)))*IF(J$60=".",1,(J32/J31)^(('Summary, PPI''s'!$J32+'Summary, PPI''s'!$J31)/('Predicted PPIs'!U32+'Predicted PPIs'!U31)))*IF(K$60=".",1,(K32/K31)^(('Summary, PPI''s'!$K32+'Summary, PPI''s'!$K31)/('Predicted PPIs'!U32+'Predicted PPIs'!U31)))*IF(L$60=".",1,(L32/L31)^(('Summary, PPI''s'!$L32+'Summary, PPI''s'!$L31)/('Predicted PPIs'!U32+'Predicted PPIs'!U31)))*IF(M$60=".",1,(M32/M31)^(('Summary, PPI''s'!$M32+'Summary, PPI''s'!$M31)/('Predicted PPIs'!U32+'Predicted PPIs'!U31)))*IF(B$60=".",1,(B32/B31)^(('Summary, PPI''s'!$B32+'Summary, PPI''s'!$B31)/('Predicted PPIs'!U32+'Predicted PPIs'!U31)))*IF(C$60=".",1,(C32/C31)^(('Summary, PPI''s'!$C32+'Summary, PPI''s'!$C31)/('Predicted PPIs'!U32+'Predicted PPIs'!U31)))*IF(D$60=".",1,(D32/D31)^(('Summary, PPI''s'!$D32+'Summary, PPI''s'!$D31)/('Predicted PPIs'!U32+'Predicted PPIs'!U31)))*IF(N$60=".",1,(N32/N31)^(('Summary, PPI''s'!$N32+'Summary, PPI''s'!$N31)/('Predicted PPIs'!U32+'Predicted PPIs'!U31)))*IF(O$60=".",1,(O32/O31)^(('Summary, PPI''s'!$O32+'Summary, PPI''s'!$O31)/('Predicted PPIs'!U32+'Predicted PPIs'!U31)))*IF(P$60=".",1,(P32/P31)^(('Summary, PPI''s'!$P32+'Summary, PPI''s'!$P31)/('Predicted PPIs'!U32+'Predicted PPIs'!U31)))</f>
        <v>59.874356367171906</v>
      </c>
      <c r="AD32" s="4">
        <f>AD31*IF(E$73=".", 1, (E32/E31)^(('Summary, PPI''s'!$E32+'Summary, PPI''s'!$E31)/('Predicted PPIs'!V32+'Predicted PPIs'!V31)))*IF(F$73=".", 1, (F32/F31)^(('Summary, PPI''s'!$F32+'Summary, PPI''s'!$F31)/('Predicted PPIs'!V32+'Predicted PPIs'!V31)))*IF(G$73=".", 1, (G32/G31)^(('Summary, PPI''s'!$G32+'Summary, PPI''s'!$G31)/('Predicted PPIs'!V32+'Predicted PPIs'!V31)))*IF(H$73=".", 1, (H32/H31)^(('Summary, PPI''s'!$H32+'Summary, PPI''s'!$H31)/('Predicted PPIs'!V32+'Predicted PPIs'!V31)))*IF(I$73=".", 1, (I32/I31)^(('Summary, PPI''s'!$I32+'Summary, PPI''s'!$I31)/('Predicted PPIs'!V32+'Predicted PPIs'!V31)))*IF(J$73=".", 1, (J32/J31)^(('Summary, PPI''s'!$J32+'Summary, PPI''s'!$J31)/('Predicted PPIs'!V32+'Predicted PPIs'!V31)))*IF(K$73=".", 1, (K32/K31)^(('Summary, PPI''s'!$K32+'Summary, PPI''s'!$K31)/('Predicted PPIs'!V32+'Predicted PPIs'!V31)))*IF(L$73=".", 1, (L32/L31)^(('Summary, PPI''s'!$L32+'Summary, PPI''s'!$L31)/('Predicted PPIs'!V32+'Predicted PPIs'!V31)))*IF(M$73=".", 1, (M32/M31)^(('Summary, PPI''s'!$M32+'Summary, PPI''s'!$M31)/('Predicted PPIs'!V32+'Predicted PPIs'!V31)))*IF(B$73=".", 1, (B32/B31)^(('Summary, PPI''s'!$B32+'Summary, PPI''s'!$B31)/('Predicted PPIs'!V32+'Predicted PPIs'!V31)))*IF(C$73=".", 1, (C32/C31)^(('Summary, PPI''s'!$C32+'Summary, PPI''s'!$C31)/('Predicted PPIs'!V32+'Predicted PPIs'!V31)))*IF(D$73=".", 1, (D32/D31)^(('Summary, PPI''s'!$D32+'Summary, PPI''s'!$D31)/('Predicted PPIs'!V32+'Predicted PPIs'!V31)))*IF(N$73=".", 1, (N32/N31)^(('Summary, PPI''s'!$N32+'Summary, PPI''s'!$N31)/('Predicted PPIs'!V32+'Predicted PPIs'!V31)))*IF(O$73=".", 1, (O32/O31)^(('Summary, PPI''s'!$O32+'Summary, PPI''s'!$O31)/('Predicted PPIs'!V32+'Predicted PPIs'!V31)))*IF(P$73=".", 1, (P32/P31)^(('Summary, PPI''s'!$P32+'Summary, PPI''s'!$P31)/('Predicted PPIs'!V32+'Predicted PPIs'!V31)))</f>
        <v>58.166303774228759</v>
      </c>
      <c r="AE32" s="4">
        <f>AE31*IF(E$94=".", 1, (E32/E31)^(('Summary, PPI''s'!$E32+'Summary, PPI''s'!$E31)/('Predicted PPIs'!W32+'Predicted PPIs'!W31)))*IF(F$94=".", 1, (F32/F31)^(('Summary, PPI''s'!$F32+'Summary, PPI''s'!$F31)/('Predicted PPIs'!W32+'Predicted PPIs'!W31)))*IF(G$94=".", 1, (G32/G31)^(('Summary, PPI''s'!$G32+'Summary, PPI''s'!$G31)/('Predicted PPIs'!W32+'Predicted PPIs'!W31)))*IF(H$94=".", 1, (H32/H31)^(('Summary, PPI''s'!$H32+'Summary, PPI''s'!$H31)/('Predicted PPIs'!W32+'Predicted PPIs'!W31)))*IF(I$94=".", 1, (I32/I31)^(('Summary, PPI''s'!$I32+'Summary, PPI''s'!$I31)/('Predicted PPIs'!W32+'Predicted PPIs'!W31)))*IF(J$94=".", 1, (J32/J31)^(('Summary, PPI''s'!$J32+'Summary, PPI''s'!$J31)/('Predicted PPIs'!W32+'Predicted PPIs'!W31)))*IF(K$94=".", 1, (K32/K31)^(('Summary, PPI''s'!$K32+'Summary, PPI''s'!$K31)/('Predicted PPIs'!W32+'Predicted PPIs'!W31)))*IF(L$94=".", 1, (L32/L31)^(('Summary, PPI''s'!$L32+'Summary, PPI''s'!$L31)/('Predicted PPIs'!W32+'Predicted PPIs'!W31)))*IF(M$94=".", 1, (M32/M31)^(('Summary, PPI''s'!$M32+'Summary, PPI''s'!$M31)/('Predicted PPIs'!W32+'Predicted PPIs'!W31)))*IF(B$94=".", 1, (B32/B31)^(('Summary, PPI''s'!$B32+'Summary, PPI''s'!$B31)/('Predicted PPIs'!W32+'Predicted PPIs'!W31)))*IF(C$94=".", 1, (C32/C31)^(('Summary, PPI''s'!$C32+'Summary, PPI''s'!$C31)/('Predicted PPIs'!W32+'Predicted PPIs'!W31)))*IF(D$94=".", 1, (D32/D31)^(('Summary, PPI''s'!$D32+'Summary, PPI''s'!$D31)/('Predicted PPIs'!W32+'Predicted PPIs'!W31)))*IF(N$94=".", 1, (N32/N31)^(('Summary, PPI''s'!$N32+'Summary, PPI''s'!$N31)/('Predicted PPIs'!W32+'Predicted PPIs'!W31)))*IF(O$94=".", 1, (O32/O31)^(('Summary, PPI''s'!$O32+'Summary, PPI''s'!$O31)/('Predicted PPIs'!W32+'Predicted PPIs'!W31)))*IF(P$94=".", 1, (P32/P31)^(('Summary, PPI''s'!$P32+'Summary, PPI''s'!$P31)/('Predicted PPIs'!W32+'Predicted PPIs'!W31)))</f>
        <v>53.919161239928648</v>
      </c>
      <c r="AF32" s="4">
        <f>AF31*IF(E$123=".", 1, (E32/E31)^(('Summary, PPI''s'!$E32+'Summary, PPI''s'!$E31)/('Predicted PPIs'!X32+'Predicted PPIs'!X31)))*IF(F$123=".", 1, (F32/F31)^(('Summary, PPI''s'!$F32+'Summary, PPI''s'!$F31)/('Predicted PPIs'!X32+'Predicted PPIs'!X31)))*IF(G$123=".", 1, (G32/G31)^(('Summary, PPI''s'!$G32+'Summary, PPI''s'!$G31)/('Predicted PPIs'!X32+'Predicted PPIs'!X31)))*IF(H$123=".", 1, (H32/H31)^(('Summary, PPI''s'!$H32+'Summary, PPI''s'!$H31)/('Predicted PPIs'!X32+'Predicted PPIs'!X31)))*IF(I$123=".", 1, (I32/I31)^(('Summary, PPI''s'!$I32+'Summary, PPI''s'!$I31)/('Predicted PPIs'!X32+'Predicted PPIs'!X31)))*IF(J$123=".", 1, (J32/J31)^(('Summary, PPI''s'!$J32+'Summary, PPI''s'!$J31)/('Predicted PPIs'!X32+'Predicted PPIs'!X31)))*IF(K$123=".", 1, (K32/K31)^(('Summary, PPI''s'!$K32+'Summary, PPI''s'!$K31)/('Predicted PPIs'!X32+'Predicted PPIs'!X31)))*IF(L$123=".", 1, (L32/L31)^(('Summary, PPI''s'!$L32+'Summary, PPI''s'!$L31)/('Predicted PPIs'!X32+'Predicted PPIs'!X31)))*IF(M$123=".", 1, (M32/M31)^(('Summary, PPI''s'!$M32+'Summary, PPI''s'!$M31)/('Predicted PPIs'!X32+'Predicted PPIs'!X31)))*IF(B$123=".", 1, (B32/B31)^(('Summary, PPI''s'!$B32+'Summary, PPI''s'!$B31)/('Predicted PPIs'!X32+'Predicted PPIs'!X31)))*IF(C$123=".", 1, (C32/C31)^(('Summary, PPI''s'!$C32+'Summary, PPI''s'!$C31)/('Predicted PPIs'!X32+'Predicted PPIs'!X31)))*IF(D$123=".", 1, (D32/D31)^(('Summary, PPI''s'!$D32+'Summary, PPI''s'!$D31)/('Predicted PPIs'!X32+'Predicted PPIs'!X31)))*IF(N$123=".", 1, (N32/N31)^(('Summary, PPI''s'!$N32+'Summary, PPI''s'!$N31)/('Predicted PPIs'!X32+'Predicted PPIs'!X31)))*IF(O$123=".", 1, (O32/O31)^(('Summary, PPI''s'!$O32+'Summary, PPI''s'!$O31)/('Predicted PPIs'!X32+'Predicted PPIs'!X31)))*IF(P$123=".", 1, (P32/P31)^(('Summary, PPI''s'!$P32+'Summary, PPI''s'!$P31)/('Predicted PPIs'!X32+'Predicted PPIs'!X31)))</f>
        <v>50.396135362537713</v>
      </c>
      <c r="AH32" s="13">
        <f t="shared" si="32"/>
        <v>64.073978563541615</v>
      </c>
      <c r="AJ32" s="4">
        <v>3943.4</v>
      </c>
      <c r="AK32" s="4">
        <v>-0.60699999999999998</v>
      </c>
      <c r="AL32" s="4">
        <v>-436.34500000000003</v>
      </c>
      <c r="AM32" s="4">
        <v>-6.774</v>
      </c>
      <c r="AN32" s="4">
        <v>4256.2</v>
      </c>
      <c r="AO32" s="4">
        <v>934.9</v>
      </c>
      <c r="AP32" s="4">
        <f>('[3]1991'!$I$14+'[3]1991'!$I$69+'[3]1991'!$I$71-'[3]1991'!$I$73)*0.001</f>
        <v>-47.576999999999998</v>
      </c>
      <c r="AQ32" s="4">
        <f>('[3]1991'!$AY$56+'[3]1991'!$AY$69+'[3]1991'!$AY$71-'[3]1991'!$AY$73)*0.001</f>
        <v>-195.536</v>
      </c>
      <c r="AR32" s="4">
        <v>-18.760999999999999</v>
      </c>
      <c r="AS32" s="4">
        <v>-29.396999999999998</v>
      </c>
      <c r="AT32" s="4">
        <v>65.344999999999999</v>
      </c>
      <c r="AU32" s="4">
        <v>73.447999999999993</v>
      </c>
      <c r="AV32" s="4">
        <v>57.774000000000001</v>
      </c>
      <c r="AW32" s="4">
        <v>38.805</v>
      </c>
      <c r="AX32" s="4">
        <v>62.012999999999998</v>
      </c>
      <c r="AY32" s="4">
        <v>81.683000000000007</v>
      </c>
      <c r="AZ32" s="4">
        <v>41.689</v>
      </c>
      <c r="BA32" s="4">
        <v>64.650999999999996</v>
      </c>
      <c r="BB32" s="4">
        <v>104.86799999999999</v>
      </c>
      <c r="BC32" s="4">
        <v>79.153999999999996</v>
      </c>
      <c r="BG32" s="4">
        <f t="shared" si="50"/>
        <v>54.611672830744006</v>
      </c>
      <c r="BI32" s="4">
        <f>BI$13*'[2]Ordinary Experience'!$D$394/'[2]Ordinary Experience'!$D$413</f>
        <v>252019084.94079617</v>
      </c>
      <c r="BJ32" s="4">
        <f>'[2]Ordinary Experience'!$E$394</f>
        <v>21.48997900790383</v>
      </c>
      <c r="BL32" s="4">
        <f t="shared" si="0"/>
        <v>69.640628878323326</v>
      </c>
      <c r="BM32" s="4">
        <f t="shared" si="34"/>
        <v>-2.8919737302011139E-2</v>
      </c>
      <c r="BO32" s="4">
        <f>IF(OR('Summary, hourly ad costs'!R32=-9999,'Summary, PPI''s'!R32="."),".",(('Summary, hourly ad costs'!B32/'Summary, hourly ad costs'!R32)*100/('Summary, hourly ad costs'!B$11/'Summary, hourly ad costs'!R$11))/('Summary, PPI''s'!R32))</f>
        <v>0.9136709016635578</v>
      </c>
      <c r="BP32" s="4" t="str">
        <f>IF(OR('Summary, hourly ad costs'!S32=-9999,'Summary, PPI''s'!S32="."),".",(('Summary, hourly ad costs'!C32/'Summary, hourly ad costs'!S32)*100/('Summary, hourly ad costs'!C$11/'Summary, hourly ad costs'!S$11))/('Summary, PPI''s'!S32))</f>
        <v>.</v>
      </c>
      <c r="BQ32" s="4" t="str">
        <f>IF(OR('Summary, hourly ad costs'!T32=-9999,'Summary, PPI''s'!T32="."),".",(('Summary, hourly ad costs'!D32/'Summary, hourly ad costs'!T32)*100/('Summary, hourly ad costs'!D$11/'Summary, hourly ad costs'!T$11))/('Summary, PPI''s'!T32))</f>
        <v>.</v>
      </c>
      <c r="BR32" s="4">
        <f>IF(OR('Summary, hourly ad costs'!U32=-9999,'Summary, PPI''s'!U32="."),".",(('Summary, hourly ad costs'!E32/'Summary, hourly ad costs'!U32)*100/('Summary, hourly ad costs'!E$11/'Summary, hourly ad costs'!U$11))/('Summary, PPI''s'!U32))</f>
        <v>1.8261506961140135</v>
      </c>
      <c r="BS32" s="4">
        <f>IF(OR('Summary, hourly ad costs'!V32=-9999,'Summary, PPI''s'!V32="."),".",(('Summary, hourly ad costs'!F32/'Summary, hourly ad costs'!V32)*100/('Summary, hourly ad costs'!F$11/'Summary, hourly ad costs'!V$11))/('Summary, PPI''s'!V32))</f>
        <v>1.554726988319991</v>
      </c>
      <c r="BT32" s="4" t="str">
        <f>IF(OR('Summary, hourly ad costs'!W32=-9999,'Summary, PPI''s'!W32="."),".",(('Summary, hourly ad costs'!G32/'Summary, hourly ad costs'!W32)*100/('Summary, hourly ad costs'!G$11/'Summary, hourly ad costs'!W$11))/('Summary, PPI''s'!W32))</f>
        <v>.</v>
      </c>
      <c r="BU32" s="4">
        <f>IF(OR('Summary, hourly ad costs'!X32=-9999,'Summary, PPI''s'!X32="."),".",(('Summary, hourly ad costs'!H32/'Summary, hourly ad costs'!X32)*100/('Summary, hourly ad costs'!H$11/'Summary, hourly ad costs'!X$11))/('Summary, PPI''s'!X32))</f>
        <v>1.1131412761862558</v>
      </c>
      <c r="BV32" s="4">
        <f>IF(OR('Summary, hourly ad costs'!Y32=-9999,'Summary, PPI''s'!Y32="."),".",(('Summary, hourly ad costs'!I32/'Summary, hourly ad costs'!Y32)*100/('Summary, hourly ad costs'!I$11/'Summary, hourly ad costs'!Y$11))/('Summary, PPI''s'!Y32))</f>
        <v>0.65313219292419356</v>
      </c>
      <c r="BW32" s="4">
        <f>IF(OR('Summary, hourly ad costs'!Z32=-9999,'Summary, PPI''s'!Z32="."),".",(('Summary, hourly ad costs'!J32/'Summary, hourly ad costs'!Z32)*100/('Summary, hourly ad costs'!J$11/'Summary, hourly ad costs'!Z$11))/('Summary, PPI''s'!Z32))</f>
        <v>0.75638035278673088</v>
      </c>
      <c r="BX32" s="4" t="str">
        <f>IF(OR('Summary, hourly ad costs'!AA32=-9999,'Summary, PPI''s'!AA32="."),".",(('Summary, hourly ad costs'!K32/'Summary, hourly ad costs'!AA32)*100/('Summary, hourly ad costs'!K$11/'Summary, hourly ad costs'!AA$11))/('Summary, PPI''s'!AA32))</f>
        <v>.</v>
      </c>
      <c r="BY32" s="4" t="str">
        <f>IF(OR('Summary, hourly ad costs'!AB32=-9999,'Summary, PPI''s'!AB32="."),".",(('Summary, hourly ad costs'!L32/'Summary, hourly ad costs'!AB32)*100/('Summary, hourly ad costs'!L$11/'Summary, hourly ad costs'!AB$11))/('Summary, PPI''s'!AB32))</f>
        <v>.</v>
      </c>
      <c r="BZ32" s="4" t="str">
        <f>IF(OR('Summary, hourly ad costs'!AC32=-9999,'Summary, PPI''s'!AC32="."),".",(('Summary, hourly ad costs'!M32/'Summary, hourly ad costs'!AC32)*100/('Summary, hourly ad costs'!M$11/'Summary, hourly ad costs'!AC$11))/('Summary, PPI''s'!AC32))</f>
        <v>.</v>
      </c>
      <c r="CA32" s="4" t="str">
        <f>IF(OR('Summary, hourly ad costs'!AD32=-9999,'Summary, PPI''s'!AD32="."),".",(('Summary, hourly ad costs'!N32/'Summary, hourly ad costs'!AD32)*100/('Summary, hourly ad costs'!N$11/'Summary, hourly ad costs'!AD$11))/('Summary, PPI''s'!AD32))</f>
        <v>.</v>
      </c>
      <c r="CB32" s="4" t="str">
        <f>IF(OR('Summary, hourly ad costs'!AE32=-9999,'Summary, PPI''s'!AE32="."),".",(('Summary, hourly ad costs'!O32/'Summary, hourly ad costs'!AE32)*100/('Summary, hourly ad costs'!O$11/'Summary, hourly ad costs'!AE$11))/('Summary, PPI''s'!AE32))</f>
        <v>.</v>
      </c>
      <c r="CC32" s="4" t="str">
        <f>IF(OR('Summary, hourly ad costs'!AF32=-9999,'Summary, PPI''s'!AF32="."),".",(('Summary, hourly ad costs'!P32/'Summary, hourly ad costs'!AF32)*100/('Summary, hourly ad costs'!P$11/'Summary, hourly ad costs'!AF$11))/('Summary, PPI''s'!AF32))</f>
        <v>.</v>
      </c>
      <c r="CE32" s="4">
        <f t="shared" si="80"/>
        <v>0.10000390748790799</v>
      </c>
      <c r="CF32" s="4" t="str">
        <f t="shared" si="81"/>
        <v>.</v>
      </c>
      <c r="CG32" s="4" t="str">
        <f t="shared" si="82"/>
        <v>.</v>
      </c>
      <c r="CH32" s="4">
        <f t="shared" si="83"/>
        <v>-0.12095901808881693</v>
      </c>
      <c r="CI32" s="4">
        <f t="shared" si="84"/>
        <v>-8.4400828493396141E-2</v>
      </c>
      <c r="CJ32" s="4" t="str">
        <f t="shared" si="85"/>
        <v>.</v>
      </c>
      <c r="CK32" s="4">
        <f t="shared" si="86"/>
        <v>3.8870552971914663E-6</v>
      </c>
      <c r="CL32" s="4">
        <f t="shared" si="87"/>
        <v>-5.7302527061060315E-2</v>
      </c>
      <c r="CM32" s="4">
        <f t="shared" si="88"/>
        <v>-7.1276609438990279E-2</v>
      </c>
      <c r="CN32" s="4">
        <f t="shared" si="89"/>
        <v>-6.0397173643944646E-2</v>
      </c>
      <c r="CO32" s="4">
        <f t="shared" si="79"/>
        <v>-0.19585908378697633</v>
      </c>
      <c r="CP32" s="4">
        <f t="shared" si="79"/>
        <v>0.26746951692503917</v>
      </c>
      <c r="CQ32" s="4" t="str">
        <f t="shared" si="62"/>
        <v>.</v>
      </c>
      <c r="CR32" s="4" t="str">
        <f t="shared" si="63"/>
        <v>.</v>
      </c>
      <c r="CS32" s="4" t="str">
        <f t="shared" si="64"/>
        <v>.</v>
      </c>
      <c r="CU32" s="5">
        <f>IF(CU31=".", ".", IF('Summary, PPI''s'!R32=".",IF(OR('Summary, hourly ad costs'!R32=-9999,'Summary, hourly ad costs'!R32=0), ".", 'Predicted PPIs'!CU31*('Summary, hourly ad costs'!B32/'Summary, hourly ad costs'!R32)/('Summary, hourly ad costs'!B31/'Summary, hourly ad costs'!R31)/(1-CE31)), 'Summary, PPI''s'!R32))</f>
        <v>85.862896772472681</v>
      </c>
      <c r="CV32" s="5">
        <f>IF(CV31=".", ".", IF('Summary, PPI''s'!S32=".",IF(OR('Summary, hourly ad costs'!S32=-9999,'Summary, hourly ad costs'!S32=0), ".", 'Predicted PPIs'!CV31*('Summary, hourly ad costs'!C32/'Summary, hourly ad costs'!S32)/('Summary, hourly ad costs'!C31/'Summary, hourly ad costs'!S31)/(1-CF31)), 'Summary, PPI''s'!S32))</f>
        <v>85.862896772472681</v>
      </c>
      <c r="CW32" s="5">
        <f>IF(CW31=".", ".", IF('Summary, PPI''s'!T32=".",IF(OR('Summary, hourly ad costs'!T32=-9999,'Summary, hourly ad costs'!T32=0), ".", 'Predicted PPIs'!CW31*('Summary, hourly ad costs'!D32/'Summary, hourly ad costs'!T32)/('Summary, hourly ad costs'!D31/'Summary, hourly ad costs'!T31)/(1-CG31)), 'Summary, PPI''s'!T32))</f>
        <v>69.552524286505275</v>
      </c>
      <c r="CX32" s="5">
        <f>IF(CX31=".", ".", IF('Summary, PPI''s'!U32=".",IF(OR('Summary, hourly ad costs'!U32=-9999,'Summary, hourly ad costs'!U32=0), ".", 'Predicted PPIs'!CX31*('Summary, hourly ad costs'!E32/'Summary, hourly ad costs'!U32)/('Summary, hourly ad costs'!E31/'Summary, hourly ad costs'!U31)/(1-CH31)), 'Summary, PPI''s'!U32))</f>
        <v>47.926978889029911</v>
      </c>
      <c r="CY32" s="5">
        <f>IF(CY31=".", ".", IF('Summary, PPI''s'!V32=".",IF(OR('Summary, hourly ad costs'!V32=-9999,'Summary, hourly ad costs'!V32=0), ".", 'Predicted PPIs'!CY31*('Summary, hourly ad costs'!F32/'Summary, hourly ad costs'!V32)/('Summary, hourly ad costs'!F31/'Summary, hourly ad costs'!V31)/(1-CI31)), 'Summary, PPI''s'!V32))</f>
        <v>47.380452242678871</v>
      </c>
      <c r="CZ32" s="5">
        <f>IF(CZ31=".", ".", IF('Summary, PPI''s'!W32=".",IF(OR('Summary, hourly ad costs'!W32=-9999,'Summary, hourly ad costs'!W32=0), ".", 'Predicted PPIs'!CZ31*('Summary, hourly ad costs'!G32/'Summary, hourly ad costs'!W32)/('Summary, hourly ad costs'!G31/'Summary, hourly ad costs'!W31)/(1-CJ31)), 'Summary, PPI''s'!W32))</f>
        <v>51.350321086121447</v>
      </c>
      <c r="DA32" s="5">
        <f>IF(DA31=".", ".", IF('Summary, PPI''s'!X32=".",IF(OR('Summary, hourly ad costs'!X32=-9999,'Summary, hourly ad costs'!X32=0), ".", 'Predicted PPIs'!DA31*('Summary, hourly ad costs'!H32/'Summary, hourly ad costs'!X32)/('Summary, hourly ad costs'!H31/'Summary, hourly ad costs'!X31)/(1-CK31)), 'Summary, PPI''s'!X32))</f>
        <v>52.436</v>
      </c>
      <c r="DB32" s="5">
        <f>IF(DB31=".", ".", IF('Summary, PPI''s'!Y32=".",IF(OR('Summary, hourly ad costs'!Y32=-9999,'Summary, hourly ad costs'!Y32=0), ".", 'Predicted PPIs'!DB31*('Summary, hourly ad costs'!I32/'Summary, hourly ad costs'!Y32)/('Summary, hourly ad costs'!I31/'Summary, hourly ad costs'!Y31)/(1-CL31)), 'Summary, PPI''s'!Y32))</f>
        <v>62.249076043672815</v>
      </c>
      <c r="DC32" s="5">
        <f>IF(DC31=".", ".", IF('Summary, PPI''s'!Z32=".",IF(OR('Summary, hourly ad costs'!Z32=-9999,'Summary, hourly ad costs'!Z32=0), ".", 'Predicted PPIs'!DC31*('Summary, hourly ad costs'!J32/'Summary, hourly ad costs'!Z32)/('Summary, hourly ad costs'!J31/'Summary, hourly ad costs'!Z31)/(1-CM31)), 'Summary, PPI''s'!Z32))</f>
        <v>62.482871917470725</v>
      </c>
      <c r="DD32" s="5">
        <f>IF(DD31=".", ".", IF('Summary, PPI''s'!AA32=".",IF(OR('Summary, hourly ad costs'!AA32=-9999,'Summary, hourly ad costs'!AA32=0), ".", 'Predicted PPIs'!DD31*('Summary, hourly ad costs'!K32/'Summary, hourly ad costs'!AA32)/('Summary, hourly ad costs'!K31/'Summary, hourly ad costs'!AA31)/(1-CN31)), 'Summary, PPI''s'!AA32))</f>
        <v>41.402010416860293</v>
      </c>
      <c r="DE32" s="5" t="str">
        <f>IF(DE31=".", ".", IF('Summary, PPI''s'!AB32=".",IF(OR('Summary, hourly ad costs'!AB32=-9999,'Summary, hourly ad costs'!AB32=0), ".", 'Predicted PPIs'!DE31*('Summary, hourly ad costs'!L32/'Summary, hourly ad costs'!AB32)/('Summary, hourly ad costs'!L31/'Summary, hourly ad costs'!AB31)/(1-CO31)), 'Summary, PPI''s'!AB32))</f>
        <v>.</v>
      </c>
      <c r="DF32" s="5" t="str">
        <f>IF(DF31=".", ".", IF('Summary, PPI''s'!AC32=".",IF(OR('Summary, hourly ad costs'!AC32=-9999,'Summary, hourly ad costs'!AC32=0), ".", 'Predicted PPIs'!DF31*('Summary, hourly ad costs'!M32/'Summary, hourly ad costs'!AC32)/('Summary, hourly ad costs'!M31/'Summary, hourly ad costs'!AC31)/(1-CP31)), 'Summary, PPI''s'!AC32))</f>
        <v>.</v>
      </c>
      <c r="DG32" s="5">
        <f>IF(DG31=".", ".", IF('Summary, PPI''s'!AD32=".",IF(OR('Summary, hourly ad costs'!AD32=-9999,'Summary, hourly ad costs'!AD32=0), ".", 'Predicted PPIs'!DG31*('Summary, hourly ad costs'!N32/'Summary, hourly ad costs'!AD32)/('Summary, hourly ad costs'!N31/'Summary, hourly ad costs'!AD31)/(1-CQ31)), 'Summary, PPI''s'!AD32))</f>
        <v>66.69296265107721</v>
      </c>
      <c r="DH32" s="5">
        <f>IF(DH31=".", ".", IF('Summary, PPI''s'!AE32=".",IF(OR('Summary, hourly ad costs'!AE32=-9999,'Summary, hourly ad costs'!AE32=0), ".", 'Predicted PPIs'!DH31*('Summary, hourly ad costs'!O32/'Summary, hourly ad costs'!AE32)/('Summary, hourly ad costs'!O31/'Summary, hourly ad costs'!AE31)/(1-CR31)), 'Summary, PPI''s'!AE32))</f>
        <v>50.750584209323584</v>
      </c>
      <c r="DI32" s="5">
        <f>IF(DI31=".", ".", IF('Summary, PPI''s'!AF32=".",IF(OR('Summary, hourly ad costs'!AF32=-9999,'Summary, hourly ad costs'!AF32=0), ".", 'Predicted PPIs'!DI31*('Summary, hourly ad costs'!P32/'Summary, hourly ad costs'!AF32)/('Summary, hourly ad costs'!P31/'Summary, hourly ad costs'!AF31)/(1-CS31)), 'Summary, PPI''s'!AF32))</f>
        <v>57.976381294964035</v>
      </c>
      <c r="DK32" s="4">
        <v>43.781999999999996</v>
      </c>
      <c r="DM32" s="5">
        <f t="shared" si="65"/>
        <v>-4.7665453902486998E-2</v>
      </c>
      <c r="DN32" s="5">
        <f t="shared" si="66"/>
        <v>-4.7665453902486998E-2</v>
      </c>
      <c r="DO32" s="5">
        <f t="shared" si="67"/>
        <v>-2.9294289405071727E-2</v>
      </c>
      <c r="DP32" s="5">
        <f t="shared" si="68"/>
        <v>1.2977721995580449E-2</v>
      </c>
      <c r="DQ32" s="5">
        <f t="shared" si="69"/>
        <v>2.3653490651512898E-2</v>
      </c>
      <c r="DR32" s="5">
        <f t="shared" si="70"/>
        <v>1.18633258893861E-2</v>
      </c>
      <c r="DS32" s="5">
        <f t="shared" si="71"/>
        <v>-1.4438301595659508E-3</v>
      </c>
      <c r="DT32" s="5">
        <f t="shared" si="72"/>
        <v>-3.5823452979421133E-2</v>
      </c>
      <c r="DU32" s="5">
        <f t="shared" si="73"/>
        <v>-8.6784444878259315E-2</v>
      </c>
      <c r="DV32" s="5">
        <f t="shared" si="74"/>
        <v>2.2378959647336716E-2</v>
      </c>
      <c r="DW32" s="4">
        <f t="shared" si="78"/>
        <v>6.5880457254354707E-2</v>
      </c>
      <c r="DX32" s="4">
        <f t="shared" si="78"/>
        <v>-0.29810721237911558</v>
      </c>
      <c r="DY32" s="5">
        <f t="shared" si="75"/>
        <v>-3.9005330135366889E-2</v>
      </c>
      <c r="DZ32" s="5">
        <f t="shared" si="76"/>
        <v>1.027397162331134E-3</v>
      </c>
      <c r="EA32" s="5">
        <f t="shared" si="77"/>
        <v>-2.3174312791576668E-2</v>
      </c>
      <c r="EC32" s="1">
        <f t="shared" si="35"/>
        <v>85.862896772472681</v>
      </c>
      <c r="ED32" s="1">
        <f t="shared" si="36"/>
        <v>85.862896772472681</v>
      </c>
      <c r="EE32" s="1">
        <f t="shared" si="37"/>
        <v>69.552524286505275</v>
      </c>
      <c r="EF32" s="1">
        <f t="shared" si="38"/>
        <v>47.926978889029911</v>
      </c>
      <c r="EG32" s="1">
        <f t="shared" si="39"/>
        <v>47.380452242678871</v>
      </c>
      <c r="EH32" s="1">
        <f t="shared" si="40"/>
        <v>51.350321086121447</v>
      </c>
      <c r="EI32" s="1">
        <f t="shared" si="41"/>
        <v>52.436</v>
      </c>
      <c r="EJ32" s="1">
        <f t="shared" si="42"/>
        <v>62.249076043672815</v>
      </c>
      <c r="EK32" s="1">
        <f t="shared" si="43"/>
        <v>62.482871917470725</v>
      </c>
      <c r="EL32" s="1">
        <f t="shared" si="44"/>
        <v>41.402010416860293</v>
      </c>
      <c r="EM32" s="1">
        <f t="shared" si="45"/>
        <v>126.81428383856675</v>
      </c>
      <c r="EN32" s="1">
        <f t="shared" si="46"/>
        <v>90.713177322656733</v>
      </c>
      <c r="EO32" s="1">
        <f t="shared" si="47"/>
        <v>66.69296265107721</v>
      </c>
      <c r="EP32" s="1">
        <f t="shared" si="48"/>
        <v>50.750584209323584</v>
      </c>
      <c r="EQ32" s="1">
        <f t="shared" si="49"/>
        <v>57.976381294964035</v>
      </c>
      <c r="ES32" s="1">
        <f>IF(EF$26=".", 0, 'Summary, PPI''s'!E32)+IF(EG$26=".", 0, 'Summary, PPI''s'!F32)+IF(EH$26=".", 0, 'Summary, PPI''s'!G32)+IF(EI$26=".", 0, 'Summary, PPI''s'!H32)+IF(EJ$26=".", 0, 'Summary, PPI''s'!I32)+IF(EK$26=".", 0, 'Summary, PPI''s'!J32)+IF(EL$26=".", 0, 'Summary, PPI''s'!K32)+IF(EM$26=".", 0, 'Summary, PPI''s'!L32)+IF(EN$26=".", 0, 'Summary, PPI''s'!M32)+IF(EC$26=".", 0, 'Summary, PPI''s'!B32)+IF(ED$26=".", 0, 'Summary, PPI''s'!C32)+IF(EE$26=".", 0, 'Summary, PPI''s'!D32)+IF(EO$26=".", 0, 'Summary, PPI''s'!N32)+IF(EP$26=".", 0, 'Summary, PPI''s'!O32)+IF(EQ$26=".", 0, 'Summary, PPI''s'!P32)</f>
        <v>136150083.58518529</v>
      </c>
      <c r="ET32" s="1">
        <f>'Summary, hourly ad costs'!E32+'Summary, hourly ad costs'!F32+'Summary, hourly ad costs'!H32+'Summary, hourly ad costs'!I32+'Summary, hourly ad costs'!J32+'Summary, hourly ad costs'!K32+'Summary, hourly ad costs'!L32+'Summary, hourly ad costs'!M32+'Summary, hourly ad costs'!B32</f>
        <v>67395710.342592895</v>
      </c>
      <c r="EV32" s="13">
        <f>EV31*IF(EF$26=".", 1, (EF32/EF31)^(('Summary, PPI''s'!$E32+'Summary, PPI''s'!$E31)/('Predicted PPIs'!ES32+'Predicted PPIs'!ES31)))*IF(EG$26=".", 1, (EG32/EG31)^(('Summary, PPI''s'!$F32+'Summary, PPI''s'!$F31)/('Predicted PPIs'!ES32+'Predicted PPIs'!ES31)))*IF(EH$26=".", 1, (EH32/EH31)^(('Summary, PPI''s'!$G32+'Summary, PPI''s'!$G31)/('Predicted PPIs'!ES32+'Predicted PPIs'!ES31)))*IF(EI$26=".", 1, (EI32/EI31)^(('Summary, PPI''s'!$H32+'Summary, PPI''s'!$H31)/('Predicted PPIs'!ES32+'Predicted PPIs'!ES31)))*IF(EJ$26=".", 1, (EJ32/EJ31)^(('Summary, PPI''s'!$I32+'Summary, PPI''s'!$I31)/('Predicted PPIs'!ES32+'Predicted PPIs'!ES31)))*IF(EK$26=".", 1, (EK32/EK31)^(('Summary, PPI''s'!$J32+'Summary, PPI''s'!$J31)/('Predicted PPIs'!ES32+'Predicted PPIs'!ES31)))*IF(EL$26=".", 1, (EL32/EL31)^(('Summary, PPI''s'!$K32+'Summary, PPI''s'!$K31)/('Predicted PPIs'!ES32+'Predicted PPIs'!ES31)))*IF(EM$26=".", 1, (EM32/EM31)^(('Summary, PPI''s'!$L32+'Summary, PPI''s'!$L31)/('Predicted PPIs'!ES32+'Predicted PPIs'!ES31)))*IF(EN$26=".", 1, (EN32/EN31)^(('Summary, PPI''s'!$M32+'Summary, PPI''s'!$M31)/('Predicted PPIs'!ES32+'Predicted PPIs'!ES31)))*IF(EC$26=".", 1, (EC32/EC31)^(('Summary, PPI''s'!$B32+'Summary, PPI''s'!$B31)/('Predicted PPIs'!ES32+'Predicted PPIs'!ES31)))*IF(ED$26=".", 1, (ED32/ED31)^(('Summary, PPI''s'!$C32+'Summary, PPI''s'!$C31)/('Predicted PPIs'!ES32+'Predicted PPIs'!ES31)))*IF(EE$26=".", 1, (EE32/EE31)^(('Summary, PPI''s'!$D32+'Summary, PPI''s'!$D31)/('Predicted PPIs'!ES32+'Predicted PPIs'!ES31)))*IF(EO$26=".", 1, (EO32/EO31)^(('Summary, PPI''s'!$N32+'Summary, PPI''s'!$N31)/('Predicted PPIs'!ES32+'Predicted PPIs'!ES31)))*IF(EP$26=".", 1, (EP32/EP31)^(('Summary, PPI''s'!$O32+'Summary, PPI''s'!$O31)/('Predicted PPIs'!ES32+'Predicted PPIs'!ES31)))*IF(EQ$26=".", 1, (EQ32/EQ31)^(('Summary, PPI''s'!$P32+'Summary, PPI''s'!$P31)/('Predicted PPIs'!ES32+'Predicted PPIs'!ES31)))</f>
        <v>67.645214832093956</v>
      </c>
      <c r="EW32" s="13">
        <f>EW31*IF(EF$26=".", 1, (EF32/EF31)^(('Summary, PPI''s'!$E32+'Summary, PPI''s'!$E31)/('Predicted PPIs'!ET32+'Predicted PPIs'!ET31)))*IF(EG$26=".", 1, (EG32/EG31)^(('Summary, PPI''s'!$F32+'Summary, PPI''s'!$F31)/('Predicted PPIs'!ET32+'Predicted PPIs'!ET31)))*IF(EH$26=".", 1, (EH32/EH31)^(('Summary, PPI''s'!$G32+'Summary, PPI''s'!$G31)/('Predicted PPIs'!ET32+'Predicted PPIs'!ET31)))*IF(EK$26=".", 1, (EK32/EK31)^(('Summary, PPI''s'!$J32+'Summary, PPI''s'!$J31)/('Predicted PPIs'!ET32+'Predicted PPIs'!ET31)))*IF(EL$26=".", 1, (EL32/EL31)^(('Summary, PPI''s'!$K32+'Summary, PPI''s'!$K31)/('Predicted PPIs'!ET32+'Predicted PPIs'!ET31)))*IF(EM$26=".", 1, (EM32/EM31)^(('Summary, PPI''s'!$L32+'Summary, PPI''s'!$L31)/('Predicted PPIs'!ET32+'Predicted PPIs'!ET31)))*IF(EN$26=".", 1, (EN32/EN31)^(('Summary, PPI''s'!$M32+'Summary, PPI''s'!$M31)/('Predicted PPIs'!ET32+'Predicted PPIs'!ET31)))*IF(EC$26=".", 1, (EC32/EC31)^(('Summary, PPI''s'!$B32+'Summary, PPI''s'!$B31)/('Predicted PPIs'!ET32+'Predicted PPIs'!ET31)))</f>
        <v>71.054621334390575</v>
      </c>
      <c r="EY32" s="2"/>
    </row>
    <row r="33" spans="1:155" x14ac:dyDescent="0.3">
      <c r="A33" s="4">
        <v>1990</v>
      </c>
      <c r="B33" s="10">
        <f>IF(B32=".", ".", IF('Summary, PPI''s'!R33=".",IF(OR('Summary, hourly ad costs'!R33=-9999,'Summary, hourly ad costs'!R33=0), ".", 'Predicted PPIs'!B32*('Summary, hourly ad costs'!B33/'Summary, hourly ad costs'!R33)/('Summary, hourly ad costs'!B32/'Summary, hourly ad costs'!R32)), 'Summary, PPI''s'!R33))</f>
        <v>85.473459589223779</v>
      </c>
      <c r="C33" s="10">
        <f>IF(C32=".", ".", IF('Summary, PPI''s'!S33=".",IF(OR('Summary, hourly ad costs'!S33=-9999,'Summary, hourly ad costs'!S33=0), ".", 'Predicted PPIs'!C32*('Summary, hourly ad costs'!C33/'Summary, hourly ad costs'!S33)/('Summary, hourly ad costs'!C32/'Summary, hourly ad costs'!S32)), 'Summary, PPI''s'!S33))</f>
        <v>85.473459589223779</v>
      </c>
      <c r="D33" s="10">
        <f>IF(D32=".", ".", IF('Summary, PPI''s'!T33=".",IF(OR('Summary, hourly ad costs'!T33=-9999,'Summary, hourly ad costs'!T33=0), ".", 'Predicted PPIs'!D32*('Summary, hourly ad costs'!D33/'Summary, hourly ad costs'!T33)/('Summary, hourly ad costs'!D32/'Summary, hourly ad costs'!T32)), 'Summary, PPI''s'!T33))</f>
        <v>67.926712639049683</v>
      </c>
      <c r="E33" s="10">
        <f>IF(E32=".", ".", IF('Summary, PPI''s'!U33=".",IF(OR('Summary, hourly ad costs'!U33=-9999,'Summary, hourly ad costs'!U33=0), ".", 'Predicted PPIs'!E32*('Summary, hourly ad costs'!E33/'Summary, hourly ad costs'!U33)/('Summary, hourly ad costs'!E32/'Summary, hourly ad costs'!U32)), 'Summary, PPI''s'!U33))</f>
        <v>44.853407792867102</v>
      </c>
      <c r="F33" s="10">
        <f>IF(F32=".", ".", IF('Summary, PPI''s'!V33=".",IF(OR('Summary, hourly ad costs'!V33=-9999,'Summary, hourly ad costs'!V33=0), ".", 'Predicted PPIs'!F32*('Summary, hourly ad costs'!F33/'Summary, hourly ad costs'!V33)/('Summary, hourly ad costs'!F32/'Summary, hourly ad costs'!V32)), 'Summary, PPI''s'!V33))</f>
        <v>43.879484328020091</v>
      </c>
      <c r="G33" s="10">
        <f>IF(G32=".", ".", IF('Summary, PPI''s'!W33=".",IF(OR('Summary, hourly ad costs'!W33=-9999,'Summary, hourly ad costs'!W33=0), ".", 'Predicted PPIs'!G32*('Summary, hourly ad costs'!G33/'Summary, hourly ad costs'!W33)/('Summary, hourly ad costs'!G32/'Summary, hourly ad costs'!W32)), 'Summary, PPI''s'!W33))</f>
        <v>48.110136938099288</v>
      </c>
      <c r="H33" s="10">
        <f>IF(H32=".", ".", IF('Summary, PPI''s'!X33=".",IF(OR('Summary, hourly ad costs'!X33=-9999,'Summary, hourly ad costs'!X33=0), ".", 'Predicted PPIs'!H32*('Summary, hourly ad costs'!H33/'Summary, hourly ad costs'!X33)/('Summary, hourly ad costs'!H32/'Summary, hourly ad costs'!X32)), 'Summary, PPI''s'!X33))</f>
        <v>49.781999999999996</v>
      </c>
      <c r="I33" s="10">
        <f>IF(I32=".", ".", IF('Summary, PPI''s'!Y33=".",IF(OR('Summary, hourly ad costs'!Y33=-9999,'Summary, hourly ad costs'!Y33=0), ".", 'Predicted PPIs'!I32*('Summary, hourly ad costs'!I33/'Summary, hourly ad costs'!Y33)/('Summary, hourly ad costs'!I32/'Summary, hourly ad costs'!Y32)), 'Summary, PPI''s'!Y33))</f>
        <v>61.205666477117148</v>
      </c>
      <c r="J33" s="10">
        <f>IF(J32=".", ".", IF('Summary, PPI''s'!Z33=".",IF(OR('Summary, hourly ad costs'!Z33=-9999,'Summary, hourly ad costs'!Z33=0), ".", 'Predicted PPIs'!J32*('Summary, hourly ad costs'!J33/'Summary, hourly ad costs'!Z33)/('Summary, hourly ad costs'!J32/'Summary, hourly ad costs'!Z32)), 'Summary, PPI''s'!Z33))</f>
        <v>64.863886586145313</v>
      </c>
      <c r="K33" s="10">
        <f>IF(K32=".", ".", IF('Summary, PPI''s'!AA33=".",IF(OR('Summary, hourly ad costs'!AA33=-9999,'Summary, hourly ad costs'!AA33=0), ".", 'Predicted PPIs'!K32*('Summary, hourly ad costs'!K33/'Summary, hourly ad costs'!AA33)/('Summary, hourly ad costs'!K32/'Summary, hourly ad costs'!AA32)), 'Summary, PPI''s'!AA33))</f>
        <v>40.809387399799242</v>
      </c>
      <c r="L33" s="10" t="str">
        <f>IF(L32=".", ".", IF('Summary, PPI''s'!AB33=".",IF(OR('Summary, hourly ad costs'!AB33=-9999,'Summary, hourly ad costs'!AB33=0), ".", 'Predicted PPIs'!L32*('Summary, hourly ad costs'!L33/'Summary, hourly ad costs'!AB33)/('Summary, hourly ad costs'!L32/'Summary, hourly ad costs'!AB32)), 'Summary, PPI''s'!AB33))</f>
        <v>.</v>
      </c>
      <c r="M33" s="10" t="str">
        <f>IF(M32=".", ".", IF('Summary, PPI''s'!AC33=".",IF(OR('Summary, hourly ad costs'!AC33=-9999,'Summary, hourly ad costs'!AC33=0), ".", 'Predicted PPIs'!M32*('Summary, hourly ad costs'!M33/'Summary, hourly ad costs'!AC33)/('Summary, hourly ad costs'!M32/'Summary, hourly ad costs'!AC32)), 'Summary, PPI''s'!AC33))</f>
        <v>.</v>
      </c>
      <c r="N33" s="10">
        <f>IF(N32=".", ".", IF('Summary, PPI''s'!AD33=".",IF(OR('Summary, hourly ad costs'!AD33=-9999,'Summary, hourly ad costs'!AD33=0), ".", 'Predicted PPIs'!N32*('Summary, hourly ad costs'!N33/'Summary, hourly ad costs'!AD33)/('Summary, hourly ad costs'!N32/'Summary, hourly ad costs'!AD32)), 'Summary, PPI''s'!AD33))</f>
        <v>65.792185997172936</v>
      </c>
      <c r="O33" s="10">
        <f>IF(O32=".", ".", IF('Summary, PPI''s'!AE33=".",IF(OR('Summary, hourly ad costs'!AE33=-9999,'Summary, hourly ad costs'!AE33=0), ".", 'Predicted PPIs'!O32*('Summary, hourly ad costs'!O33/'Summary, hourly ad costs'!AE33)/('Summary, hourly ad costs'!O32/'Summary, hourly ad costs'!AE32)), 'Summary, PPI''s'!AE33))</f>
        <v>48.062943784277884</v>
      </c>
      <c r="P33" s="10">
        <f>IF(P32=".", ".", IF('Summary, PPI''s'!AF33=".",IF(OR('Summary, hourly ad costs'!AF33=-9999,'Summary, hourly ad costs'!AF33=0), ".", 'Predicted PPIs'!P32*('Summary, hourly ad costs'!P33/'Summary, hourly ad costs'!AF33)/('Summary, hourly ad costs'!P32/'Summary, hourly ad costs'!AF32)), 'Summary, PPI''s'!AF33))</f>
        <v>56.266424460431665</v>
      </c>
      <c r="R33" s="1">
        <f>IF(E$26=".", 0, 'Summary, PPI''s'!E33)+IF(F$26=".", 0, 'Summary, PPI''s'!F33)+IF(G$26=".", 0, 'Summary, PPI''s'!G33)+IF(H$26=".", 0, 'Summary, PPI''s'!H33)+IF(I$26=".", 0, 'Summary, PPI''s'!I33)+IF(J$26=".", 0, 'Summary, PPI''s'!J33)+IF(K$26=".", 0, 'Summary, PPI''s'!K33)+IF(L$26=".", 0, 'Summary, PPI''s'!L33)+IF(M$26=".", 0, 'Summary, PPI''s'!M33)+IF(B$26=".", 0, 'Summary, PPI''s'!B33)+IF(C$26=".", 0, 'Summary, PPI''s'!C33)+IF(D$26=".", 0, 'Summary, PPI''s'!D33)+IF(N$26=".", 0, 'Summary, PPI''s'!N33)+IF(O$26=".", 0, 'Summary, PPI''s'!O33)+IF(P$26=".", 0, 'Summary, PPI''s'!P33)</f>
        <v>139133419.38532066</v>
      </c>
      <c r="S33" s="1">
        <f>IF(E$36=".", 0, 'Summary, PPI''s'!E33)+IF(F$36=".", 0, 'Summary, PPI''s'!F33)+IF(G$36=".", 0, 'Summary, PPI''s'!G33)+IF(H$36=".", 0, 'Summary, PPI''s'!H33)+IF(I$36=".", 0, 'Summary, PPI''s'!I33)+IF(J$36=".", 0, 'Summary, PPI''s'!J33)+IF(K$36=".", 0, 'Summary, PPI''s'!K33)+IF(L$36=".", 0, 'Summary, PPI''s'!L33)+IF(M$36=".", 0, 'Summary, PPI''s'!M33)+IF(B$36=".", 0, 'Summary, PPI''s'!B33)+IF(C$36=".", 0, 'Summary, PPI''s'!C33)+IF(D$36=".", 0, 'Summary, PPI''s'!D33)+IF(N$36=".", 0, 'Summary, PPI''s'!N33)+IF(O$36=".", 0, 'Summary, PPI''s'!O33)+IF(P$36=".", 0, 'Summary, PPI''s'!P33)</f>
        <v>139133419.38532066</v>
      </c>
      <c r="T33" s="1">
        <f>IF(E$46=".", 0, 'Summary, PPI''s'!E33)+IF(F$46=".", 0, 'Summary, PPI''s'!F33)+IF(G$46=".", 0, 'Summary, PPI''s'!G33)+IF(H$46=".", 0, 'Summary, PPI''s'!H33)+IF(I$46=".", 0, 'Summary, PPI''s'!I33)+IF(J$46=".", 0, 'Summary, PPI''s'!J33)+IF(K$46=".", 0, 'Summary, PPI''s'!K33)+IF(L$46=".", 0, 'Summary, PPI''s'!L33)+IF(M$46=".", 0, 'Summary, PPI''s'!M33)+IF(B$46=".", 0, 'Summary, PPI''s'!B33)+IF(C$46=".", 0, 'Summary, PPI''s'!C33)+IF(D$46=".", 0, 'Summary, PPI''s'!D33)+IF(N$46=".", 0, 'Summary, PPI''s'!N33)+IF(O$46=".", 0, 'Summary, PPI''s'!O33)+IF(P$46=".", 0, 'Summary, PPI''s'!P33)</f>
        <v>96257843.265169472</v>
      </c>
      <c r="U33" s="1">
        <f>IF(E$60=".", 0, 'Summary, PPI''s'!E33)+IF(F$60=".", 0, 'Summary, PPI''s'!F33)+IF(G$60=".", 0, 'Summary, PPI''s'!G33)+IF(H$60=".", 0, 'Summary, PPI''s'!H33)+IF(I$60=".", 0, 'Summary, PPI''s'!I33)+IF(J$60=".", 0, 'Summary, PPI''s'!J33)+IF(K$60=".", 0, 'Summary, PPI''s'!K33)+IF(L$60=".", 0, 'Summary, PPI''s'!L33)+IF(M$60=".", 0, 'Summary, PPI''s'!M33)+IF(B$60=".", 0, 'Summary, PPI''s'!B33)+IF(C$60=".", 0, 'Summary, PPI''s'!C33)+IF(D$60=".", 0, 'Summary, PPI''s'!D33)+IF(N$60=".", 0, 'Summary, PPI''s'!N33)+IF(O$60=".", 0, 'Summary, PPI''s'!O33)+IF(P$60=".", 0, 'Summary, PPI''s'!P33)</f>
        <v>85844818.054192498</v>
      </c>
      <c r="V33" s="1">
        <f>IF(E$73=".", 0, 'Summary, PPI''s'!E33)+IF(F$73=".", 0, 'Summary, PPI''s'!F33)+IF(G$73=".", 0, 'Summary, PPI''s'!G33)+IF(H$73=".", 0, 'Summary, PPI''s'!H33)+IF(I$73=".", 0, 'Summary, PPI''s'!I33)+IF(J$73=".", 0, 'Summary, PPI''s'!J33)+IF(K$73=".", 0, 'Summary, PPI''s'!K33)+IF(L$73=".", 0, 'Summary, PPI''s'!L33)+IF(M$73=".", 0, 'Summary, PPI''s'!M33)+IF(B$73=".", 0, 'Summary, PPI''s'!B33)+IF(C$73=".", 0, 'Summary, PPI''s'!C33)+IF(D$73=".", 0, 'Summary, PPI''s'!D33)+IF(N$73=".", 0, 'Summary, PPI''s'!N33)+IF(O$73=".", 0, 'Summary, PPI''s'!O33)+IF(P$73=".", 0, 'Summary, PPI''s'!P33)</f>
        <v>66499289.13134066</v>
      </c>
      <c r="W33" s="1">
        <f>IF(E$94=".",0,'Summary, PPI''s'!E33)+IF(F$94=".",0,'Summary, PPI''s'!F33)+IF(G$94=".",0,'Summary, PPI''s'!G33)+IF(H$94=".",0,'Summary, PPI''s'!H33)+IF(I$94=".",0,'Summary, PPI''s'!I33)+IF(J$94=".",0,'Summary, PPI''s'!J33)+IF(K$94=".",0,'Summary, PPI''s'!K33)+IF(L$94=".",0,'Summary, PPI''s'!L33)+IF(M$94=".",0,'Summary, PPI''s'!M33)+IF(B$94=".",0,'Summary, PPI''s'!B33)+IF(C$94=".",0,'Summary, PPI''s'!C33)+IF(D$94=".",0,'Summary, PPI''s'!D33)+IF(N$94=".",0,'Summary, PPI''s'!N33)+IF(O$94=".",0,'Summary, PPI''s'!O33)+IF(P$94=".",0,'Summary, PPI''s'!P33)</f>
        <v>47890719.783898756</v>
      </c>
      <c r="X33" s="1">
        <f>IF(E$123=".", 0, 'Summary, PPI''s'!E33)+IF(F$123=".", 0, 'Summary, PPI''s'!F33)+IF(G$123=".", 0, 'Summary, PPI''s'!G33)+IF(H$123=".", 0, 'Summary, PPI''s'!H33)+IF(I$123=".", 0, 'Summary, PPI''s'!I33)+IF(J$123=".", 0, 'Summary, PPI''s'!J33)+IF(K$123=".", 0, 'Summary, PPI''s'!K33)+IF(L$123=".", 0, 'Summary, PPI''s'!L33)+IF(M$123=".", 0, 'Summary, PPI''s'!M33)+IF(B$123=".", 0, 'Summary, PPI''s'!B33)+IF(C$123=".", 0, 'Summary, PPI''s'!C33)+IF(D$123=".", 0, 'Summary, PPI''s'!D33)+IF(N$123=".", 0, 'Summary, PPI''s'!N33)+IF(O$123=".", 0, 'Summary, PPI''s'!O33)+IF(P$123=".", 0, 'Summary, PPI''s'!P33)</f>
        <v>41186580.544525772</v>
      </c>
      <c r="Z33" s="4" t="e">
        <f>Z32*IF(E$26=".", 1, (E33/E32)^(('Summary, PPI''s'!$E33+'Summary, PPI''s'!$E32)/('Predicted PPIs'!R33+'Predicted PPIs'!R32)))*IF(F$26=".", 1, (F33/F32)^(('Summary, PPI''s'!$F33+'Summary, PPI''s'!$F32)/('Predicted PPIs'!R33+'Predicted PPIs'!R32)))*IF(G$26=".", 1, (G33/G32)^(('Summary, PPI''s'!$G33+'Summary, PPI''s'!$G32)/('Predicted PPIs'!R33+'Predicted PPIs'!R32)))*IF(H$26=".", 1, (H33/H32)^(('Summary, PPI''s'!$H33+'Summary, PPI''s'!$H32)/('Predicted PPIs'!R33+'Predicted PPIs'!R32)))*IF(I$26=".", 1, (I33/I32)^(('Summary, PPI''s'!$I33+'Summary, PPI''s'!$I32)/('Predicted PPIs'!R33+'Predicted PPIs'!R32)))*IF(J$26=".", 1, (J33/J32)^(('Summary, PPI''s'!$J33+'Summary, PPI''s'!$J32)/('Predicted PPIs'!R33+'Predicted PPIs'!R32)))*IF(K$26=".", 1, (K33/K32)^(('Summary, PPI''s'!$K33+'Summary, PPI''s'!$K32)/('Predicted PPIs'!R33+'Predicted PPIs'!R32)))*IF(L$26=".", 1, (L33/L32)^(('Summary, PPI''s'!$L33+'Summary, PPI''s'!$L32)/('Predicted PPIs'!R33+'Predicted PPIs'!R32)))*IF(M$26=".", 1, (M33/M32)^(('Summary, PPI''s'!$M33+'Summary, PPI''s'!$M32)/('Predicted PPIs'!R33+'Predicted PPIs'!R32)))*IF(B$26=".", 1, (B33/B32)^(('Summary, PPI''s'!$B33+'Summary, PPI''s'!$B32)/('Predicted PPIs'!R33+'Predicted PPIs'!R32)))*IF(C$26=".", 1, (C33/C32)^(('Summary, PPI''s'!$C33+'Summary, PPI''s'!$C32)/('Predicted PPIs'!R33+'Predicted PPIs'!R32)))*IF(D$26=".", 1, (D33/D32)^(('Summary, PPI''s'!$D33+'Summary, PPI''s'!$D32)/('Predicted PPIs'!R33+'Predicted PPIs'!R32)))*IF(N$26=".", 1, (N33/N32)^(('Summary, PPI''s'!$N33+'Summary, PPI''s'!$N32)/('Predicted PPIs'!R33+'Predicted PPIs'!R32)))*IF(O$26=".", 1, (O33/O32)^(('Summary, PPI''s'!$O33+'Summary, PPI''s'!$O32)/('Predicted PPIs'!R33+'Predicted PPIs'!R32)))*IF(P$26=".", 1, (P33/P32)^(('Summary, PPI''s'!$P33+'Summary, PPI''s'!$P32)/('Predicted PPIs'!R33+'Predicted PPIs'!R32)))</f>
        <v>#VALUE!</v>
      </c>
      <c r="AA33" s="4">
        <f>AA32*IF(E$36=".", 1, (E33/E32)^(('Summary, PPI''s'!$E33+'Summary, PPI''s'!$E32)/('Predicted PPIs'!S33+'Predicted PPIs'!S32)))*IF(F$36=".", 1, (F33/F32)^(('Summary, PPI''s'!$F33+'Summary, PPI''s'!$F32)/('Predicted PPIs'!S33+'Predicted PPIs'!S32)))*IF(G$36=".", 1, (G33/G32)^(('Summary, PPI''s'!$G33+'Summary, PPI''s'!$G32)/('Predicted PPIs'!S33+'Predicted PPIs'!S32)))*IF(H$36=".", 1, (H33/H32)^(('Summary, PPI''s'!$H33+'Summary, PPI''s'!$H32)/('Predicted PPIs'!S33+'Predicted PPIs'!S32)))*IF(I$36=".", 1, (I33/I32)^(('Summary, PPI''s'!$I33+'Summary, PPI''s'!$I32)/('Predicted PPIs'!S33+'Predicted PPIs'!S32)))*IF(J$36=".", 1, (J33/J32)^(('Summary, PPI''s'!$J33+'Summary, PPI''s'!$J32)/('Predicted PPIs'!S33+'Predicted PPIs'!S32)))*IF(K$36=".", 1, (K33/K32)^(('Summary, PPI''s'!$K33+'Summary, PPI''s'!$K32)/('Predicted PPIs'!S33+'Predicted PPIs'!S32)))*IF(L$36=".", 1, (L33/L32)^(('Summary, PPI''s'!$L33+'Summary, PPI''s'!$L32)/('Predicted PPIs'!S33+'Predicted PPIs'!S32)))*IF(M$36=".", 1, (M33/M32)^(('Summary, PPI''s'!$M33+'Summary, PPI''s'!$M32)/('Predicted PPIs'!S33+'Predicted PPIs'!S32)))*IF(B$36=".", 1, (B33/B32)^(('Summary, PPI''s'!$B33+'Summary, PPI''s'!$B32)/('Predicted PPIs'!S33+'Predicted PPIs'!S32)))*IF(C$36=".", 1, (C33/C32)^(('Summary, PPI''s'!$C33+'Summary, PPI''s'!$C32)/('Predicted PPIs'!S33+'Predicted PPIs'!S32)))*IF(D$36=".", 1, (D33/D32)^(('Summary, PPI''s'!$D33+'Summary, PPI''s'!$D32)/('Predicted PPIs'!S33+'Predicted PPIs'!S32)))*IF(N$36=".", 1, (N33/N32)^(('Summary, PPI''s'!$N33+'Summary, PPI''s'!$N32)/('Predicted PPIs'!S33+'Predicted PPIs'!S32)))*IF(O$36=".", 1, (O33/O32)^(('Summary, PPI''s'!$O33+'Summary, PPI''s'!$O32)/('Predicted PPIs'!S33+'Predicted PPIs'!S32)))*IF(P$36=".", 1, (P33/P32)^(('Summary, PPI''s'!$P33+'Summary, PPI''s'!$P32)/('Predicted PPIs'!S33+'Predicted PPIs'!S32)))</f>
        <v>55.420278605462521</v>
      </c>
      <c r="AB33" s="4">
        <f>AB32*IF(E$46=".", 1, (E33/E32)^(('Summary, PPI''s'!$E33+'Summary, PPI''s'!$E32)/('Predicted PPIs'!T33+'Predicted PPIs'!T32)))*IF(F$46=".", 1, (F33/F32)^(('Summary, PPI''s'!$F33+'Summary, PPI''s'!$F32)/('Predicted PPIs'!T33+'Predicted PPIs'!T32)))*IF(G$46=".", 1, (G33/G32)^(('Summary, PPI''s'!$G33+'Summary, PPI''s'!$G32)/('Predicted PPIs'!T33+'Predicted PPIs'!T32)))*IF(H$46=".", 1, (H33/H32)^(('Summary, PPI''s'!$H33+'Summary, PPI''s'!$H32)/('Predicted PPIs'!T33+'Predicted PPIs'!T32)))*IF(I$46=".", 1, (I33/I32)^(('Summary, PPI''s'!$I33+'Summary, PPI''s'!$I32)/('Predicted PPIs'!T33+'Predicted PPIs'!T32)))*IF(J$46=".", 1, (J33/J32)^(('Summary, PPI''s'!$J33+'Summary, PPI''s'!$J32)/('Predicted PPIs'!T33+'Predicted PPIs'!T32)))*IF(K$46=".", 1, (K33/K32)^(('Summary, PPI''s'!$K33+'Summary, PPI''s'!$K32)/('Predicted PPIs'!T33+'Predicted PPIs'!T32)))*IF(L$46=".", 1, (L33/L32)^(('Summary, PPI''s'!$L33+'Summary, PPI''s'!$L32)/('Predicted PPIs'!T33+'Predicted PPIs'!T32)))*IF(M$46=".", 1, (M33/M32)^(('Summary, PPI''s'!$M33+'Summary, PPI''s'!$M32)/('Predicted PPIs'!T33+'Predicted PPIs'!T32)))*IF(B$46=".", 1, (B33/B32)^(('Summary, PPI''s'!$B33+'Summary, PPI''s'!$B32)/('Predicted PPIs'!T33+'Predicted PPIs'!T32)))*IF(C$46=".", 1, (C33/C32)^(('Summary, PPI''s'!$C33+'Summary, PPI''s'!$C32)/('Predicted PPIs'!T33+'Predicted PPIs'!T32)))*IF(D$46=".", 1, (D33/D32)^(('Summary, PPI''s'!$D33+'Summary, PPI''s'!$D32)/('Predicted PPIs'!T33+'Predicted PPIs'!T32)))*IF(N$46=".", 1, (N33/N32)^(('Summary, PPI''s'!$N33+'Summary, PPI''s'!$N32)/('Predicted PPIs'!T33+'Predicted PPIs'!T32)))*IF(O$46=".", 1, (O33/O32)^(('Summary, PPI''s'!$O33+'Summary, PPI''s'!$O32)/('Predicted PPIs'!T33+'Predicted PPIs'!T32)))*IF(P$46=".", 1, (P33/P32)^(('Summary, PPI''s'!$P33+'Summary, PPI''s'!$P32)/('Predicted PPIs'!T33+'Predicted PPIs'!T32)))</f>
        <v>52.992079482660181</v>
      </c>
      <c r="AC33" s="4">
        <f>AC32*IF(E$60=".",1,(E33/E32)^(('Summary, PPI''s'!$E33+'Summary, PPI''s'!$E32)/('Predicted PPIs'!U33+'Predicted PPIs'!U32)))*IF(F$60=".",1,(F33/F32)^(('Summary, PPI''s'!$F33+'Summary, PPI''s'!$F32)/('Predicted PPIs'!U33+'Predicted PPIs'!U32)))*IF(G$60=".",1,(G33/G32)^(('Summary, PPI''s'!$G33+'Summary, PPI''s'!$G32)/('Predicted PPIs'!U33+'Predicted PPIs'!U32)))*IF(H$60=".",1,(H33/H32)^(('Summary, PPI''s'!$H33+'Summary, PPI''s'!$H32)/('Predicted PPIs'!U33+'Predicted PPIs'!U32)))*IF(I$60=".",1,(I33/I32)^(('Summary, PPI''s'!$I33+'Summary, PPI''s'!$I32)/('Predicted PPIs'!U33+'Predicted PPIs'!U32)))*IF(J$60=".",1,(J33/J32)^(('Summary, PPI''s'!$J33+'Summary, PPI''s'!$J32)/('Predicted PPIs'!U33+'Predicted PPIs'!U32)))*IF(K$60=".",1,(K33/K32)^(('Summary, PPI''s'!$K33+'Summary, PPI''s'!$K32)/('Predicted PPIs'!U33+'Predicted PPIs'!U32)))*IF(L$60=".",1,(L33/L32)^(('Summary, PPI''s'!$L33+'Summary, PPI''s'!$L32)/('Predicted PPIs'!U33+'Predicted PPIs'!U32)))*IF(M$60=".",1,(M33/M32)^(('Summary, PPI''s'!$M33+'Summary, PPI''s'!$M32)/('Predicted PPIs'!U33+'Predicted PPIs'!U32)))*IF(B$60=".",1,(B33/B32)^(('Summary, PPI''s'!$B33+'Summary, PPI''s'!$B32)/('Predicted PPIs'!U33+'Predicted PPIs'!U32)))*IF(C$60=".",1,(C33/C32)^(('Summary, PPI''s'!$C33+'Summary, PPI''s'!$C32)/('Predicted PPIs'!U33+'Predicted PPIs'!U32)))*IF(D$60=".",1,(D33/D32)^(('Summary, PPI''s'!$D33+'Summary, PPI''s'!$D32)/('Predicted PPIs'!U33+'Predicted PPIs'!U32)))*IF(N$60=".",1,(N33/N32)^(('Summary, PPI''s'!$N33+'Summary, PPI''s'!$N32)/('Predicted PPIs'!U33+'Predicted PPIs'!U32)))*IF(O$60=".",1,(O33/O32)^(('Summary, PPI''s'!$O33+'Summary, PPI''s'!$O32)/('Predicted PPIs'!U33+'Predicted PPIs'!U32)))*IF(P$60=".",1,(P33/P32)^(('Summary, PPI''s'!$P33+'Summary, PPI''s'!$P32)/('Predicted PPIs'!U33+'Predicted PPIs'!U32)))</f>
        <v>58.055096748590337</v>
      </c>
      <c r="AD33" s="4">
        <f>AD32*IF(E$73=".", 1, (E33/E32)^(('Summary, PPI''s'!$E33+'Summary, PPI''s'!$E32)/('Predicted PPIs'!V33+'Predicted PPIs'!V32)))*IF(F$73=".", 1, (F33/F32)^(('Summary, PPI''s'!$F33+'Summary, PPI''s'!$F32)/('Predicted PPIs'!V33+'Predicted PPIs'!V32)))*IF(G$73=".", 1, (G33/G32)^(('Summary, PPI''s'!$G33+'Summary, PPI''s'!$G32)/('Predicted PPIs'!V33+'Predicted PPIs'!V32)))*IF(H$73=".", 1, (H33/H32)^(('Summary, PPI''s'!$H33+'Summary, PPI''s'!$H32)/('Predicted PPIs'!V33+'Predicted PPIs'!V32)))*IF(I$73=".", 1, (I33/I32)^(('Summary, PPI''s'!$I33+'Summary, PPI''s'!$I32)/('Predicted PPIs'!V33+'Predicted PPIs'!V32)))*IF(J$73=".", 1, (J33/J32)^(('Summary, PPI''s'!$J33+'Summary, PPI''s'!$J32)/('Predicted PPIs'!V33+'Predicted PPIs'!V32)))*IF(K$73=".", 1, (K33/K32)^(('Summary, PPI''s'!$K33+'Summary, PPI''s'!$K32)/('Predicted PPIs'!V33+'Predicted PPIs'!V32)))*IF(L$73=".", 1, (L33/L32)^(('Summary, PPI''s'!$L33+'Summary, PPI''s'!$L32)/('Predicted PPIs'!V33+'Predicted PPIs'!V32)))*IF(M$73=".", 1, (M33/M32)^(('Summary, PPI''s'!$M33+'Summary, PPI''s'!$M32)/('Predicted PPIs'!V33+'Predicted PPIs'!V32)))*IF(B$73=".", 1, (B33/B32)^(('Summary, PPI''s'!$B33+'Summary, PPI''s'!$B32)/('Predicted PPIs'!V33+'Predicted PPIs'!V32)))*IF(C$73=".", 1, (C33/C32)^(('Summary, PPI''s'!$C33+'Summary, PPI''s'!$C32)/('Predicted PPIs'!V33+'Predicted PPIs'!V32)))*IF(D$73=".", 1, (D33/D32)^(('Summary, PPI''s'!$D33+'Summary, PPI''s'!$D32)/('Predicted PPIs'!V33+'Predicted PPIs'!V32)))*IF(N$73=".", 1, (N33/N32)^(('Summary, PPI''s'!$N33+'Summary, PPI''s'!$N32)/('Predicted PPIs'!V33+'Predicted PPIs'!V32)))*IF(O$73=".", 1, (O33/O32)^(('Summary, PPI''s'!$O33+'Summary, PPI''s'!$O32)/('Predicted PPIs'!V33+'Predicted PPIs'!V32)))*IF(P$73=".", 1, (P33/P32)^(('Summary, PPI''s'!$P33+'Summary, PPI''s'!$P32)/('Predicted PPIs'!V33+'Predicted PPIs'!V32)))</f>
        <v>56.449008080502004</v>
      </c>
      <c r="AE33" s="4">
        <f>AE32*IF(E$94=".", 1, (E33/E32)^(('Summary, PPI''s'!$E33+'Summary, PPI''s'!$E32)/('Predicted PPIs'!W33+'Predicted PPIs'!W32)))*IF(F$94=".", 1, (F33/F32)^(('Summary, PPI''s'!$F33+'Summary, PPI''s'!$F32)/('Predicted PPIs'!W33+'Predicted PPIs'!W32)))*IF(G$94=".", 1, (G33/G32)^(('Summary, PPI''s'!$G33+'Summary, PPI''s'!$G32)/('Predicted PPIs'!W33+'Predicted PPIs'!W32)))*IF(H$94=".", 1, (H33/H32)^(('Summary, PPI''s'!$H33+'Summary, PPI''s'!$H32)/('Predicted PPIs'!W33+'Predicted PPIs'!W32)))*IF(I$94=".", 1, (I33/I32)^(('Summary, PPI''s'!$I33+'Summary, PPI''s'!$I32)/('Predicted PPIs'!W33+'Predicted PPIs'!W32)))*IF(J$94=".", 1, (J33/J32)^(('Summary, PPI''s'!$J33+'Summary, PPI''s'!$J32)/('Predicted PPIs'!W33+'Predicted PPIs'!W32)))*IF(K$94=".", 1, (K33/K32)^(('Summary, PPI''s'!$K33+'Summary, PPI''s'!$K32)/('Predicted PPIs'!W33+'Predicted PPIs'!W32)))*IF(L$94=".", 1, (L33/L32)^(('Summary, PPI''s'!$L33+'Summary, PPI''s'!$L32)/('Predicted PPIs'!W33+'Predicted PPIs'!W32)))*IF(M$94=".", 1, (M33/M32)^(('Summary, PPI''s'!$M33+'Summary, PPI''s'!$M32)/('Predicted PPIs'!W33+'Predicted PPIs'!W32)))*IF(B$94=".", 1, (B33/B32)^(('Summary, PPI''s'!$B33+'Summary, PPI''s'!$B32)/('Predicted PPIs'!W33+'Predicted PPIs'!W32)))*IF(C$94=".", 1, (C33/C32)^(('Summary, PPI''s'!$C33+'Summary, PPI''s'!$C32)/('Predicted PPIs'!W33+'Predicted PPIs'!W32)))*IF(D$94=".", 1, (D33/D32)^(('Summary, PPI''s'!$D33+'Summary, PPI''s'!$D32)/('Predicted PPIs'!W33+'Predicted PPIs'!W32)))*IF(N$94=".", 1, (N33/N32)^(('Summary, PPI''s'!$N33+'Summary, PPI''s'!$N32)/('Predicted PPIs'!W33+'Predicted PPIs'!W32)))*IF(O$94=".", 1, (O33/O32)^(('Summary, PPI''s'!$O33+'Summary, PPI''s'!$O32)/('Predicted PPIs'!W33+'Predicted PPIs'!W32)))*IF(P$94=".", 1, (P33/P32)^(('Summary, PPI''s'!$P33+'Summary, PPI''s'!$P32)/('Predicted PPIs'!W33+'Predicted PPIs'!W32)))</f>
        <v>50.992695850573199</v>
      </c>
      <c r="AF33" s="4">
        <f>AF32*IF(E$123=".", 1, (E33/E32)^(('Summary, PPI''s'!$E33+'Summary, PPI''s'!$E32)/('Predicted PPIs'!X33+'Predicted PPIs'!X32)))*IF(F$123=".", 1, (F33/F32)^(('Summary, PPI''s'!$F33+'Summary, PPI''s'!$F32)/('Predicted PPIs'!X33+'Predicted PPIs'!X32)))*IF(G$123=".", 1, (G33/G32)^(('Summary, PPI''s'!$G33+'Summary, PPI''s'!$G32)/('Predicted PPIs'!X33+'Predicted PPIs'!X32)))*IF(H$123=".", 1, (H33/H32)^(('Summary, PPI''s'!$H33+'Summary, PPI''s'!$H32)/('Predicted PPIs'!X33+'Predicted PPIs'!X32)))*IF(I$123=".", 1, (I33/I32)^(('Summary, PPI''s'!$I33+'Summary, PPI''s'!$I32)/('Predicted PPIs'!X33+'Predicted PPIs'!X32)))*IF(J$123=".", 1, (J33/J32)^(('Summary, PPI''s'!$J33+'Summary, PPI''s'!$J32)/('Predicted PPIs'!X33+'Predicted PPIs'!X32)))*IF(K$123=".", 1, (K33/K32)^(('Summary, PPI''s'!$K33+'Summary, PPI''s'!$K32)/('Predicted PPIs'!X33+'Predicted PPIs'!X32)))*IF(L$123=".", 1, (L33/L32)^(('Summary, PPI''s'!$L33+'Summary, PPI''s'!$L32)/('Predicted PPIs'!X33+'Predicted PPIs'!X32)))*IF(M$123=".", 1, (M33/M32)^(('Summary, PPI''s'!$M33+'Summary, PPI''s'!$M32)/('Predicted PPIs'!X33+'Predicted PPIs'!X32)))*IF(B$123=".", 1, (B33/B32)^(('Summary, PPI''s'!$B33+'Summary, PPI''s'!$B32)/('Predicted PPIs'!X33+'Predicted PPIs'!X32)))*IF(C$123=".", 1, (C33/C32)^(('Summary, PPI''s'!$C33+'Summary, PPI''s'!$C32)/('Predicted PPIs'!X33+'Predicted PPIs'!X32)))*IF(D$123=".", 1, (D33/D32)^(('Summary, PPI''s'!$D33+'Summary, PPI''s'!$D32)/('Predicted PPIs'!X33+'Predicted PPIs'!X32)))*IF(N$123=".", 1, (N33/N32)^(('Summary, PPI''s'!$N33+'Summary, PPI''s'!$N32)/('Predicted PPIs'!X33+'Predicted PPIs'!X32)))*IF(O$123=".", 1, (O33/O32)^(('Summary, PPI''s'!$O33+'Summary, PPI''s'!$O32)/('Predicted PPIs'!X33+'Predicted PPIs'!X32)))*IF(P$123=".", 1, (P33/P32)^(('Summary, PPI''s'!$P33+'Summary, PPI''s'!$P32)/('Predicted PPIs'!X33+'Predicted PPIs'!X32)))</f>
        <v>47.360866418373256</v>
      </c>
      <c r="AH33" s="13">
        <f t="shared" si="32"/>
        <v>62.465068742986048</v>
      </c>
      <c r="AJ33" s="4">
        <v>3809</v>
      </c>
      <c r="AK33" s="4">
        <v>-0.64</v>
      </c>
      <c r="AL33" s="4">
        <v>-412.80799999999999</v>
      </c>
      <c r="AM33" s="4">
        <v>-6.3410000000000002</v>
      </c>
      <c r="AN33" s="4">
        <v>4289.8</v>
      </c>
      <c r="AO33" s="4">
        <v>972</v>
      </c>
      <c r="AP33" s="4">
        <f>('[3]1990'!$I$14+'[3]1990'!$I$69+'[3]1990'!$I$71-'[3]1990'!$I$73)*0.001</f>
        <v>-45.35</v>
      </c>
      <c r="AQ33" s="4">
        <f>('[3]1990'!$AY$56+'[3]1990'!$AY$69+'[3]1990'!$AY$71-'[3]1990'!$AY$73)*0.001</f>
        <v>-192.59800000000001</v>
      </c>
      <c r="AR33" s="4">
        <v>-17.870999999999999</v>
      </c>
      <c r="AS33" s="4">
        <v>-27.542999999999999</v>
      </c>
      <c r="AT33" s="4">
        <v>63.231000000000002</v>
      </c>
      <c r="AU33" s="4">
        <v>76.525999999999996</v>
      </c>
      <c r="AV33" s="4">
        <v>56.140999999999998</v>
      </c>
      <c r="AW33" s="4">
        <v>36.335999999999999</v>
      </c>
      <c r="AX33" s="4">
        <v>61.290999999999997</v>
      </c>
      <c r="AY33" s="4">
        <v>80.278000000000006</v>
      </c>
      <c r="AZ33" s="4">
        <v>40.948</v>
      </c>
      <c r="BA33" s="4">
        <v>62.802999999999997</v>
      </c>
      <c r="BB33" s="4">
        <v>103.47799999999999</v>
      </c>
      <c r="BC33" s="4">
        <v>74.944000000000003</v>
      </c>
      <c r="BG33" s="4">
        <f t="shared" si="50"/>
        <v>55.540326500325392</v>
      </c>
      <c r="BI33" s="4">
        <f>BI$13*'[2]Ordinary Experience'!$D$393/'[2]Ordinary Experience'!$D$413</f>
        <v>248924098.46840495</v>
      </c>
      <c r="BJ33" s="4">
        <f>'[2]Ordinary Experience'!$E$393</f>
        <v>21.5</v>
      </c>
      <c r="BL33" s="4">
        <f t="shared" si="0"/>
        <v>71.714596159990052</v>
      </c>
      <c r="BM33" s="4">
        <f t="shared" si="34"/>
        <v>3.4782466277369917E-3</v>
      </c>
      <c r="BO33" s="4">
        <f>IF(OR('Summary, hourly ad costs'!R33=-9999,'Summary, PPI''s'!R33="."),".",(('Summary, hourly ad costs'!B33/'Summary, hourly ad costs'!R33)*100/('Summary, hourly ad costs'!B$11/'Summary, hourly ad costs'!R$11))/('Summary, PPI''s'!R33))</f>
        <v>0.83060696006991364</v>
      </c>
      <c r="BP33" s="4" t="str">
        <f>IF(OR('Summary, hourly ad costs'!S33=-9999,'Summary, PPI''s'!S33="."),".",(('Summary, hourly ad costs'!C33/'Summary, hourly ad costs'!S33)*100/('Summary, hourly ad costs'!C$11/'Summary, hourly ad costs'!S$11))/('Summary, PPI''s'!S33))</f>
        <v>.</v>
      </c>
      <c r="BQ33" s="4" t="str">
        <f>IF(OR('Summary, hourly ad costs'!T33=-9999,'Summary, PPI''s'!T33="."),".",(('Summary, hourly ad costs'!D33/'Summary, hourly ad costs'!T33)*100/('Summary, hourly ad costs'!D$11/'Summary, hourly ad costs'!T$11))/('Summary, PPI''s'!T33))</f>
        <v>.</v>
      </c>
      <c r="BR33" s="4">
        <f>IF(OR('Summary, hourly ad costs'!U33=-9999,'Summary, PPI''s'!U33="."),".",(('Summary, hourly ad costs'!E33/'Summary, hourly ad costs'!U33)*100/('Summary, hourly ad costs'!E$11/'Summary, hourly ad costs'!U$11))/('Summary, PPI''s'!U33))</f>
        <v>2.077435220532784</v>
      </c>
      <c r="BS33" s="4">
        <f>IF(OR('Summary, hourly ad costs'!V33=-9999,'Summary, PPI''s'!V33="."),".",(('Summary, hourly ad costs'!F33/'Summary, hourly ad costs'!V33)*100/('Summary, hourly ad costs'!F$11/'Summary, hourly ad costs'!V$11))/('Summary, PPI''s'!V33))</f>
        <v>1.6980432450170444</v>
      </c>
      <c r="BT33" s="4" t="str">
        <f>IF(OR('Summary, hourly ad costs'!W33=-9999,'Summary, PPI''s'!W33="."),".",(('Summary, hourly ad costs'!G33/'Summary, hourly ad costs'!W33)*100/('Summary, hourly ad costs'!G$11/'Summary, hourly ad costs'!W$11))/('Summary, PPI''s'!W33))</f>
        <v>.</v>
      </c>
      <c r="BU33" s="4">
        <f>IF(OR('Summary, hourly ad costs'!X33=-9999,'Summary, PPI''s'!X33="."),".",(('Summary, hourly ad costs'!H33/'Summary, hourly ad costs'!X33)*100/('Summary, hourly ad costs'!H$11/'Summary, hourly ad costs'!X$11))/('Summary, PPI''s'!X33))</f>
        <v>1.1131369493613803</v>
      </c>
      <c r="BV33" s="4">
        <f>IF(OR('Summary, hourly ad costs'!Y33=-9999,'Summary, PPI''s'!Y33="."),".",(('Summary, hourly ad costs'!I33/'Summary, hourly ad costs'!Y33)*100/('Summary, hourly ad costs'!I$11/'Summary, hourly ad costs'!Y$11))/('Summary, PPI''s'!Y33))</f>
        <v>0.69283329135061567</v>
      </c>
      <c r="BW33" s="4">
        <f>IF(OR('Summary, hourly ad costs'!Z33=-9999,'Summary, PPI''s'!Z33="."),".",(('Summary, hourly ad costs'!J33/'Summary, hourly ad costs'!Z33)*100/('Summary, hourly ad costs'!J$11/'Summary, hourly ad costs'!Z$11))/('Summary, PPI''s'!Z33))</f>
        <v>0.81443017423070141</v>
      </c>
      <c r="BX33" s="4" t="str">
        <f>IF(OR('Summary, hourly ad costs'!AA33=-9999,'Summary, PPI''s'!AA33="."),".",(('Summary, hourly ad costs'!K33/'Summary, hourly ad costs'!AA33)*100/('Summary, hourly ad costs'!K$11/'Summary, hourly ad costs'!AA$11))/('Summary, PPI''s'!AA33))</f>
        <v>.</v>
      </c>
      <c r="BY33" s="4" t="str">
        <f>IF(OR('Summary, hourly ad costs'!AB33=-9999,'Summary, PPI''s'!AB33="."),".",(('Summary, hourly ad costs'!L33/'Summary, hourly ad costs'!AB33)*100/('Summary, hourly ad costs'!L$11/'Summary, hourly ad costs'!AB$11))/('Summary, PPI''s'!AB33))</f>
        <v>.</v>
      </c>
      <c r="BZ33" s="4" t="str">
        <f>IF(OR('Summary, hourly ad costs'!AC33=-9999,'Summary, PPI''s'!AC33="."),".",(('Summary, hourly ad costs'!M33/'Summary, hourly ad costs'!AC33)*100/('Summary, hourly ad costs'!M$11/'Summary, hourly ad costs'!AC$11))/('Summary, PPI''s'!AC33))</f>
        <v>.</v>
      </c>
      <c r="CA33" s="4" t="str">
        <f>IF(OR('Summary, hourly ad costs'!AD33=-9999,'Summary, PPI''s'!AD33="."),".",(('Summary, hourly ad costs'!N33/'Summary, hourly ad costs'!AD33)*100/('Summary, hourly ad costs'!N$11/'Summary, hourly ad costs'!AD$11))/('Summary, PPI''s'!AD33))</f>
        <v>.</v>
      </c>
      <c r="CB33" s="4" t="str">
        <f>IF(OR('Summary, hourly ad costs'!AE33=-9999,'Summary, PPI''s'!AE33="."),".",(('Summary, hourly ad costs'!O33/'Summary, hourly ad costs'!AE33)*100/('Summary, hourly ad costs'!O$11/'Summary, hourly ad costs'!AE$11))/('Summary, PPI''s'!AE33))</f>
        <v>.</v>
      </c>
      <c r="CC33" s="4" t="str">
        <f>IF(OR('Summary, hourly ad costs'!AF33=-9999,'Summary, PPI''s'!AF33="."),".",(('Summary, hourly ad costs'!P33/'Summary, hourly ad costs'!AF33)*100/('Summary, hourly ad costs'!P$11/'Summary, hourly ad costs'!AF$11))/('Summary, PPI''s'!AF33))</f>
        <v>.</v>
      </c>
      <c r="CE33" s="4">
        <f t="shared" si="80"/>
        <v>-7.6576066632437767E-3</v>
      </c>
      <c r="CF33" s="4" t="str">
        <f t="shared" si="81"/>
        <v>.</v>
      </c>
      <c r="CG33" s="4" t="str">
        <f t="shared" si="82"/>
        <v>.</v>
      </c>
      <c r="CH33" s="4">
        <f t="shared" si="83"/>
        <v>-6.421966850047911E-2</v>
      </c>
      <c r="CI33" s="4">
        <f t="shared" si="84"/>
        <v>-7.1720859510136514E-2</v>
      </c>
      <c r="CJ33" s="4" t="str">
        <f t="shared" si="85"/>
        <v>.</v>
      </c>
      <c r="CK33" s="4">
        <f t="shared" si="86"/>
        <v>2.1079957024383589E-6</v>
      </c>
      <c r="CL33" s="4">
        <f t="shared" si="87"/>
        <v>-5.1192431258877735E-2</v>
      </c>
      <c r="CM33" s="4">
        <f t="shared" si="88"/>
        <v>1.2919172971856518E-2</v>
      </c>
      <c r="CN33" s="4">
        <f t="shared" si="89"/>
        <v>-2.6869378042841303E-2</v>
      </c>
      <c r="CO33" s="4">
        <f t="shared" si="79"/>
        <v>1.7000850830524248E-2</v>
      </c>
      <c r="CP33" s="4">
        <f t="shared" si="79"/>
        <v>0.18168017610957274</v>
      </c>
      <c r="CQ33" s="4" t="str">
        <f t="shared" si="62"/>
        <v>.</v>
      </c>
      <c r="CR33" s="4" t="str">
        <f t="shared" si="63"/>
        <v>.</v>
      </c>
      <c r="CS33" s="4" t="str">
        <f t="shared" si="64"/>
        <v>.</v>
      </c>
      <c r="CU33" s="5">
        <f>IF(CU32=".", ".", IF('Summary, PPI''s'!R33=".",IF(OR('Summary, hourly ad costs'!R33=-9999,'Summary, hourly ad costs'!R33=0), ".", 'Predicted PPIs'!CU32*('Summary, hourly ad costs'!B33/'Summary, hourly ad costs'!R33)/('Summary, hourly ad costs'!B32/'Summary, hourly ad costs'!R32)/(1-CE32)), 'Summary, PPI''s'!R33))</f>
        <v>85.473459589223779</v>
      </c>
      <c r="CV33" s="5">
        <f>IF(CV32=".", ".", IF('Summary, PPI''s'!S33=".",IF(OR('Summary, hourly ad costs'!S33=-9999,'Summary, hourly ad costs'!S33=0), ".", 'Predicted PPIs'!CV32*('Summary, hourly ad costs'!C33/'Summary, hourly ad costs'!S33)/('Summary, hourly ad costs'!C32/'Summary, hourly ad costs'!S32)/(1-CF32)), 'Summary, PPI''s'!S33))</f>
        <v>85.473459589223779</v>
      </c>
      <c r="CW33" s="5">
        <f>IF(CW32=".", ".", IF('Summary, PPI''s'!T33=".",IF(OR('Summary, hourly ad costs'!T33=-9999,'Summary, hourly ad costs'!T33=0), ".", 'Predicted PPIs'!CW32*('Summary, hourly ad costs'!D33/'Summary, hourly ad costs'!T33)/('Summary, hourly ad costs'!D32/'Summary, hourly ad costs'!T32)/(1-CG32)), 'Summary, PPI''s'!T33))</f>
        <v>67.926712639049683</v>
      </c>
      <c r="CX33" s="5">
        <f>IF(CX32=".", ".", IF('Summary, PPI''s'!U33=".",IF(OR('Summary, hourly ad costs'!U33=-9999,'Summary, hourly ad costs'!U33=0), ".", 'Predicted PPIs'!CX32*('Summary, hourly ad costs'!E33/'Summary, hourly ad costs'!U33)/('Summary, hourly ad costs'!E32/'Summary, hourly ad costs'!U32)/(1-CH32)), 'Summary, PPI''s'!U33))</f>
        <v>44.853407792867102</v>
      </c>
      <c r="CY33" s="5">
        <f>IF(CY32=".", ".", IF('Summary, PPI''s'!V33=".",IF(OR('Summary, hourly ad costs'!V33=-9999,'Summary, hourly ad costs'!V33=0), ".", 'Predicted PPIs'!CY32*('Summary, hourly ad costs'!F33/'Summary, hourly ad costs'!V33)/('Summary, hourly ad costs'!F32/'Summary, hourly ad costs'!V32)/(1-CI32)), 'Summary, PPI''s'!V33))</f>
        <v>43.879484328020091</v>
      </c>
      <c r="CZ33" s="5">
        <f>IF(CZ32=".", ".", IF('Summary, PPI''s'!W33=".",IF(OR('Summary, hourly ad costs'!W33=-9999,'Summary, hourly ad costs'!W33=0), ".", 'Predicted PPIs'!CZ32*('Summary, hourly ad costs'!G33/'Summary, hourly ad costs'!W33)/('Summary, hourly ad costs'!G32/'Summary, hourly ad costs'!W32)/(1-CJ32)), 'Summary, PPI''s'!W33))</f>
        <v>48.110136938099288</v>
      </c>
      <c r="DA33" s="5">
        <f>IF(DA32=".", ".", IF('Summary, PPI''s'!X33=".",IF(OR('Summary, hourly ad costs'!X33=-9999,'Summary, hourly ad costs'!X33=0), ".", 'Predicted PPIs'!DA32*('Summary, hourly ad costs'!H33/'Summary, hourly ad costs'!X33)/('Summary, hourly ad costs'!H32/'Summary, hourly ad costs'!X32)/(1-CK32)), 'Summary, PPI''s'!X33))</f>
        <v>49.781999999999996</v>
      </c>
      <c r="DB33" s="5">
        <f>IF(DB32=".", ".", IF('Summary, PPI''s'!Y33=".",IF(OR('Summary, hourly ad costs'!Y33=-9999,'Summary, hourly ad costs'!Y33=0), ".", 'Predicted PPIs'!DB32*('Summary, hourly ad costs'!I33/'Summary, hourly ad costs'!Y33)/('Summary, hourly ad costs'!I32/'Summary, hourly ad costs'!Y32)/(1-CL32)), 'Summary, PPI''s'!Y33))</f>
        <v>61.205666477117148</v>
      </c>
      <c r="DC33" s="5">
        <f>IF(DC32=".", ".", IF('Summary, PPI''s'!Z33=".",IF(OR('Summary, hourly ad costs'!Z33=-9999,'Summary, hourly ad costs'!Z33=0), ".", 'Predicted PPIs'!DC32*('Summary, hourly ad costs'!J33/'Summary, hourly ad costs'!Z33)/('Summary, hourly ad costs'!J32/'Summary, hourly ad costs'!Z32)/(1-CM32)), 'Summary, PPI''s'!Z33))</f>
        <v>64.863886586145313</v>
      </c>
      <c r="DD33" s="5">
        <f>IF(DD32=".", ".", IF('Summary, PPI''s'!AA33=".",IF(OR('Summary, hourly ad costs'!AA33=-9999,'Summary, hourly ad costs'!AA33=0), ".", 'Predicted PPIs'!DD32*('Summary, hourly ad costs'!K33/'Summary, hourly ad costs'!AA33)/('Summary, hourly ad costs'!K32/'Summary, hourly ad costs'!AA32)/(1-CN32)), 'Summary, PPI''s'!AA33))</f>
        <v>38.39059226500666</v>
      </c>
      <c r="DE33" s="5" t="str">
        <f>IF(DE32=".", ".", IF('Summary, PPI''s'!AB33=".",IF(OR('Summary, hourly ad costs'!AB33=-9999,'Summary, hourly ad costs'!AB33=0), ".", 'Predicted PPIs'!DE32*('Summary, hourly ad costs'!L33/'Summary, hourly ad costs'!AB33)/('Summary, hourly ad costs'!L32/'Summary, hourly ad costs'!AB32)/(1-CO32)), 'Summary, PPI''s'!AB33))</f>
        <v>.</v>
      </c>
      <c r="DF33" s="5" t="str">
        <f>IF(DF32=".", ".", IF('Summary, PPI''s'!AC33=".",IF(OR('Summary, hourly ad costs'!AC33=-9999,'Summary, hourly ad costs'!AC33=0), ".", 'Predicted PPIs'!DF32*('Summary, hourly ad costs'!M33/'Summary, hourly ad costs'!AC33)/('Summary, hourly ad costs'!M32/'Summary, hourly ad costs'!AC32)/(1-CP32)), 'Summary, PPI''s'!AC33))</f>
        <v>.</v>
      </c>
      <c r="DG33" s="5">
        <f>IF(DG32=".", ".", IF('Summary, PPI''s'!AD33=".",IF(OR('Summary, hourly ad costs'!AD33=-9999,'Summary, hourly ad costs'!AD33=0), ".", 'Predicted PPIs'!DG32*('Summary, hourly ad costs'!N33/'Summary, hourly ad costs'!AD33)/('Summary, hourly ad costs'!N32/'Summary, hourly ad costs'!AD32)/(1-CQ32)), 'Summary, PPI''s'!AD33))</f>
        <v>65.792185997172936</v>
      </c>
      <c r="DH33" s="5">
        <f>IF(DH32=".", ".", IF('Summary, PPI''s'!AE33=".",IF(OR('Summary, hourly ad costs'!AE33=-9999,'Summary, hourly ad costs'!AE33=0), ".", 'Predicted PPIs'!DH32*('Summary, hourly ad costs'!O33/'Summary, hourly ad costs'!AE33)/('Summary, hourly ad costs'!O32/'Summary, hourly ad costs'!AE32)/(1-CR32)), 'Summary, PPI''s'!AE33))</f>
        <v>48.062943784277884</v>
      </c>
      <c r="DI33" s="5">
        <f>IF(DI32=".", ".", IF('Summary, PPI''s'!AF33=".",IF(OR('Summary, hourly ad costs'!AF33=-9999,'Summary, hourly ad costs'!AF33=0), ".", 'Predicted PPIs'!DI32*('Summary, hourly ad costs'!P33/'Summary, hourly ad costs'!AF33)/('Summary, hourly ad costs'!P32/'Summary, hourly ad costs'!AF32)/(1-CS32)), 'Summary, PPI''s'!AF33))</f>
        <v>56.266424460431665</v>
      </c>
      <c r="DK33" s="4">
        <v>41.506</v>
      </c>
      <c r="DM33" s="5">
        <f t="shared" si="65"/>
        <v>-3.2352929313073209E-2</v>
      </c>
      <c r="DN33" s="5">
        <f t="shared" si="66"/>
        <v>-3.2352929313073209E-2</v>
      </c>
      <c r="DO33" s="5">
        <f t="shared" si="67"/>
        <v>-3.5532290662520838E-2</v>
      </c>
      <c r="DP33" s="5">
        <f t="shared" si="68"/>
        <v>7.366056246003172E-4</v>
      </c>
      <c r="DQ33" s="5">
        <f t="shared" si="69"/>
        <v>1.0165427017496897E-2</v>
      </c>
      <c r="DR33" s="5">
        <f t="shared" si="70"/>
        <v>-2.7299166501143501E-2</v>
      </c>
      <c r="DS33" s="5">
        <f t="shared" si="71"/>
        <v>-2.6801542525329847E-3</v>
      </c>
      <c r="DT33" s="5">
        <f t="shared" si="72"/>
        <v>-1.0064340689112328E-2</v>
      </c>
      <c r="DU33" s="5">
        <f t="shared" si="73"/>
        <v>1.6394134026098683E-4</v>
      </c>
      <c r="DV33" s="5">
        <f t="shared" si="74"/>
        <v>-8.4329618670446527E-2</v>
      </c>
      <c r="DW33" s="4">
        <f t="shared" si="78"/>
        <v>-2.8107546069230258E-2</v>
      </c>
      <c r="DX33" s="4">
        <f t="shared" si="78"/>
        <v>-0.12373337461108781</v>
      </c>
      <c r="DY33" s="5">
        <f t="shared" si="75"/>
        <v>-2.7299049022488475E-2</v>
      </c>
      <c r="DZ33" s="5">
        <f t="shared" si="76"/>
        <v>-3.6253381932975781E-3</v>
      </c>
      <c r="EA33" s="5">
        <f t="shared" si="77"/>
        <v>-2.6307650037853514E-2</v>
      </c>
      <c r="EC33" s="1">
        <f t="shared" si="35"/>
        <v>85.473459589223779</v>
      </c>
      <c r="ED33" s="1">
        <f t="shared" si="36"/>
        <v>85.473459589223779</v>
      </c>
      <c r="EE33" s="1">
        <f t="shared" si="37"/>
        <v>67.926712639049683</v>
      </c>
      <c r="EF33" s="1">
        <f t="shared" si="38"/>
        <v>44.853407792867102</v>
      </c>
      <c r="EG33" s="1">
        <f t="shared" si="39"/>
        <v>43.879484328020091</v>
      </c>
      <c r="EH33" s="1">
        <f t="shared" si="40"/>
        <v>48.110136938099288</v>
      </c>
      <c r="EI33" s="1">
        <f t="shared" si="41"/>
        <v>49.781999999999996</v>
      </c>
      <c r="EJ33" s="1">
        <f t="shared" si="42"/>
        <v>61.205666477117148</v>
      </c>
      <c r="EK33" s="1">
        <f t="shared" si="43"/>
        <v>64.863886586145313</v>
      </c>
      <c r="EL33" s="1">
        <f t="shared" si="44"/>
        <v>38.39059226500666</v>
      </c>
      <c r="EM33" s="1">
        <f t="shared" si="45"/>
        <v>128.70072710111705</v>
      </c>
      <c r="EN33" s="1">
        <f t="shared" si="46"/>
        <v>66.24835533025562</v>
      </c>
      <c r="EO33" s="1">
        <f t="shared" si="47"/>
        <v>65.792185997172936</v>
      </c>
      <c r="EP33" s="1">
        <f t="shared" si="48"/>
        <v>48.062943784277884</v>
      </c>
      <c r="EQ33" s="1">
        <f t="shared" si="49"/>
        <v>56.266424460431665</v>
      </c>
      <c r="ES33" s="1">
        <f>IF(EF$26=".", 0, 'Summary, PPI''s'!E33)+IF(EG$26=".", 0, 'Summary, PPI''s'!F33)+IF(EH$26=".", 0, 'Summary, PPI''s'!G33)+IF(EI$26=".", 0, 'Summary, PPI''s'!H33)+IF(EJ$26=".", 0, 'Summary, PPI''s'!I33)+IF(EK$26=".", 0, 'Summary, PPI''s'!J33)+IF(EL$26=".", 0, 'Summary, PPI''s'!K33)+IF(EM$26=".", 0, 'Summary, PPI''s'!L33)+IF(EN$26=".", 0, 'Summary, PPI''s'!M33)+IF(EC$26=".", 0, 'Summary, PPI''s'!B33)+IF(ED$26=".", 0, 'Summary, PPI''s'!C33)+IF(EE$26=".", 0, 'Summary, PPI''s'!D33)+IF(EO$26=".", 0, 'Summary, PPI''s'!N33)+IF(EP$26=".", 0, 'Summary, PPI''s'!O33)+IF(EQ$26=".", 0, 'Summary, PPI''s'!P33)</f>
        <v>139133419.38532066</v>
      </c>
      <c r="ET33" s="1">
        <f>'Summary, hourly ad costs'!E33+'Summary, hourly ad costs'!F33+'Summary, hourly ad costs'!H33+'Summary, hourly ad costs'!I33+'Summary, hourly ad costs'!J33+'Summary, hourly ad costs'!K33+'Summary, hourly ad costs'!L33+'Summary, hourly ad costs'!M33+'Summary, hourly ad costs'!B33</f>
        <v>69715565.94848606</v>
      </c>
      <c r="EV33" s="13">
        <f>EV32*IF(EF$26=".", 1, (EF33/EF32)^(('Summary, PPI''s'!$E33+'Summary, PPI''s'!$E32)/('Predicted PPIs'!ES33+'Predicted PPIs'!ES32)))*IF(EG$26=".", 1, (EG33/EG32)^(('Summary, PPI''s'!$F33+'Summary, PPI''s'!$F32)/('Predicted PPIs'!ES33+'Predicted PPIs'!ES32)))*IF(EH$26=".", 1, (EH33/EH32)^(('Summary, PPI''s'!$G33+'Summary, PPI''s'!$G32)/('Predicted PPIs'!ES33+'Predicted PPIs'!ES32)))*IF(EI$26=".", 1, (EI33/EI32)^(('Summary, PPI''s'!$H33+'Summary, PPI''s'!$H32)/('Predicted PPIs'!ES33+'Predicted PPIs'!ES32)))*IF(EJ$26=".", 1, (EJ33/EJ32)^(('Summary, PPI''s'!$I33+'Summary, PPI''s'!$I32)/('Predicted PPIs'!ES33+'Predicted PPIs'!ES32)))*IF(EK$26=".", 1, (EK33/EK32)^(('Summary, PPI''s'!$J33+'Summary, PPI''s'!$J32)/('Predicted PPIs'!ES33+'Predicted PPIs'!ES32)))*IF(EL$26=".", 1, (EL33/EL32)^(('Summary, PPI''s'!$K33+'Summary, PPI''s'!$K32)/('Predicted PPIs'!ES33+'Predicted PPIs'!ES32)))*IF(EM$26=".", 1, (EM33/EM32)^(('Summary, PPI''s'!$L33+'Summary, PPI''s'!$L32)/('Predicted PPIs'!ES33+'Predicted PPIs'!ES32)))*IF(EN$26=".", 1, (EN33/EN32)^(('Summary, PPI''s'!$M33+'Summary, PPI''s'!$M32)/('Predicted PPIs'!ES33+'Predicted PPIs'!ES32)))*IF(EC$26=".", 1, (EC33/EC32)^(('Summary, PPI''s'!$B33+'Summary, PPI''s'!$B32)/('Predicted PPIs'!ES33+'Predicted PPIs'!ES32)))*IF(ED$26=".", 1, (ED33/ED32)^(('Summary, PPI''s'!$C33+'Summary, PPI''s'!$C32)/('Predicted PPIs'!ES33+'Predicted PPIs'!ES32)))*IF(EE$26=".", 1, (EE33/EE32)^(('Summary, PPI''s'!$D33+'Summary, PPI''s'!$D32)/('Predicted PPIs'!ES33+'Predicted PPIs'!ES32)))*IF(EO$26=".", 1, (EO33/EO32)^(('Summary, PPI''s'!$N33+'Summary, PPI''s'!$N32)/('Predicted PPIs'!ES33+'Predicted PPIs'!ES32)))*IF(EP$26=".", 1, (EP33/EP32)^(('Summary, PPI''s'!$O33+'Summary, PPI''s'!$O32)/('Predicted PPIs'!ES33+'Predicted PPIs'!ES32)))*IF(EQ$26=".", 1, (EQ33/EQ32)^(('Summary, PPI''s'!$P33+'Summary, PPI''s'!$P32)/('Predicted PPIs'!ES33+'Predicted PPIs'!ES32)))</f>
        <v>65.849650864724111</v>
      </c>
      <c r="EW33" s="13">
        <f>EW32*IF(EF$26=".", 1, (EF33/EF32)^(('Summary, PPI''s'!$E33+'Summary, PPI''s'!$E32)/('Predicted PPIs'!ET33+'Predicted PPIs'!ET32)))*IF(EG$26=".", 1, (EG33/EG32)^(('Summary, PPI''s'!$F33+'Summary, PPI''s'!$F32)/('Predicted PPIs'!ET33+'Predicted PPIs'!ET32)))*IF(EH$26=".", 1, (EH33/EH32)^(('Summary, PPI''s'!$G33+'Summary, PPI''s'!$G32)/('Predicted PPIs'!ET33+'Predicted PPIs'!ET32)))*IF(EK$26=".", 1, (EK33/EK32)^(('Summary, PPI''s'!$J33+'Summary, PPI''s'!$J32)/('Predicted PPIs'!ET33+'Predicted PPIs'!ET32)))*IF(EL$26=".", 1, (EL33/EL32)^(('Summary, PPI''s'!$K33+'Summary, PPI''s'!$K32)/('Predicted PPIs'!ET33+'Predicted PPIs'!ET32)))*IF(EM$26=".", 1, (EM33/EM32)^(('Summary, PPI''s'!$L33+'Summary, PPI''s'!$L32)/('Predicted PPIs'!ET33+'Predicted PPIs'!ET32)))*IF(EN$26=".", 1, (EN33/EN32)^(('Summary, PPI''s'!$M33+'Summary, PPI''s'!$M32)/('Predicted PPIs'!ET33+'Predicted PPIs'!ET32)))*IF(EC$26=".", 1, (EC33/EC32)^(('Summary, PPI''s'!$B33+'Summary, PPI''s'!$B32)/('Predicted PPIs'!ET33+'Predicted PPIs'!ET32)))</f>
        <v>68.294466271930347</v>
      </c>
      <c r="EY33" s="2"/>
    </row>
    <row r="34" spans="1:155" x14ac:dyDescent="0.3">
      <c r="A34" s="4">
        <v>1989</v>
      </c>
      <c r="B34" s="10">
        <f>IF(B33=".", ".", IF('Summary, PPI''s'!R34=".",IF(OR('Summary, hourly ad costs'!R34=-9999,'Summary, hourly ad costs'!R34=0), ".", 'Predicted PPIs'!B33*('Summary, hourly ad costs'!B34/'Summary, hourly ad costs'!R34)/('Summary, hourly ad costs'!B33/'Summary, hourly ad costs'!R33)), 'Summary, PPI''s'!R34))</f>
        <v>82.976793811683123</v>
      </c>
      <c r="C34" s="10">
        <f>IF(C33=".", ".", IF('Summary, PPI''s'!S34=".",IF(OR('Summary, hourly ad costs'!S34=-9999,'Summary, hourly ad costs'!S34=0), ".", 'Predicted PPIs'!C33*('Summary, hourly ad costs'!C34/'Summary, hourly ad costs'!S34)/('Summary, hourly ad costs'!C33/'Summary, hourly ad costs'!S33)), 'Summary, PPI''s'!S34))</f>
        <v>82.976793811683123</v>
      </c>
      <c r="D34" s="10">
        <f>IF(D33=".", ".", IF('Summary, PPI''s'!T34=".",IF(OR('Summary, hourly ad costs'!T34=-9999,'Summary, hourly ad costs'!T34=0), ".", 'Predicted PPIs'!D33*('Summary, hourly ad costs'!D34/'Summary, hourly ad costs'!T34)/('Summary, hourly ad costs'!D33/'Summary, hourly ad costs'!T33)), 'Summary, PPI''s'!T34))</f>
        <v>66.159963758997336</v>
      </c>
      <c r="E34" s="10">
        <f>IF(E33=".", ".", IF('Summary, PPI''s'!U34=".",IF(OR('Summary, hourly ad costs'!U34=-9999,'Summary, hourly ad costs'!U34=0), ".", 'Predicted PPIs'!E33*('Summary, hourly ad costs'!E34/'Summary, hourly ad costs'!U34)/('Summary, hourly ad costs'!E33/'Summary, hourly ad costs'!U33)), 'Summary, PPI''s'!U34))</f>
        <v>42.103481829335351</v>
      </c>
      <c r="F34" s="10">
        <f>IF(F33=".", ".", IF('Summary, PPI''s'!V34=".",IF(OR('Summary, hourly ad costs'!V34=-9999,'Summary, hourly ad costs'!V34=0), ".", 'Predicted PPIs'!F33*('Summary, hourly ad costs'!F34/'Summary, hourly ad costs'!V34)/('Summary, hourly ad costs'!F33/'Summary, hourly ad costs'!V33)), 'Summary, PPI''s'!V34))</f>
        <v>40.804810741793318</v>
      </c>
      <c r="G34" s="10">
        <f>IF(G33=".", ".", IF('Summary, PPI''s'!W34=".",IF(OR('Summary, hourly ad costs'!W34=-9999,'Summary, hourly ad costs'!W34=0), ".", 'Predicted PPIs'!G33*('Summary, hourly ad costs'!G34/'Summary, hourly ad costs'!W34)/('Summary, hourly ad costs'!G33/'Summary, hourly ad costs'!W33)), 'Summary, PPI''s'!W34))</f>
        <v>46.462188077295252</v>
      </c>
      <c r="H34" s="10">
        <f>IF(H33=".", ".", IF('Summary, PPI''s'!X34=".",IF(OR('Summary, hourly ad costs'!X34=-9999,'Summary, hourly ad costs'!X34=0), ".", 'Predicted PPIs'!H33*('Summary, hourly ad costs'!H34/'Summary, hourly ad costs'!X34)/('Summary, hourly ad costs'!H33/'Summary, hourly ad costs'!X33)), 'Summary, PPI''s'!X34))</f>
        <v>46.89</v>
      </c>
      <c r="I34" s="10">
        <f>IF(I33=".", ".", IF('Summary, PPI''s'!Y34=".",IF(OR('Summary, hourly ad costs'!Y34=-9999,'Summary, hourly ad costs'!Y34=0), ".", 'Predicted PPIs'!I33*('Summary, hourly ad costs'!I34/'Summary, hourly ad costs'!Y34)/('Summary, hourly ad costs'!I33/'Summary, hourly ad costs'!Y33)), 'Summary, PPI''s'!Y34))</f>
        <v>58.080054633939341</v>
      </c>
      <c r="J34" s="10">
        <f>IF(J33=".", ".", IF('Summary, PPI''s'!Z34=".",IF(OR('Summary, hourly ad costs'!Z34=-9999,'Summary, hourly ad costs'!Z34=0), ".", 'Predicted PPIs'!J33*('Summary, hourly ad costs'!J34/'Summary, hourly ad costs'!Z34)/('Summary, hourly ad costs'!J33/'Summary, hourly ad costs'!Z33)), 'Summary, PPI''s'!Z34))</f>
        <v>60.921996609317198</v>
      </c>
      <c r="K34" s="10">
        <f>IF(K33=".", ".", IF('Summary, PPI''s'!AA34=".",IF(OR('Summary, hourly ad costs'!AA34=-9999,'Summary, hourly ad costs'!AA34=0), ".", 'Predicted PPIs'!K33*('Summary, hourly ad costs'!K34/'Summary, hourly ad costs'!AA34)/('Summary, hourly ad costs'!K33/'Summary, hourly ad costs'!AA33)), 'Summary, PPI''s'!AA34))</f>
        <v>42.991090902779014</v>
      </c>
      <c r="L34" s="10" t="str">
        <f>IF(L33=".", ".", IF('Summary, PPI''s'!AB34=".",IF(OR('Summary, hourly ad costs'!AB34=-9999,'Summary, hourly ad costs'!AB34=0), ".", 'Predicted PPIs'!L33*('Summary, hourly ad costs'!L34/'Summary, hourly ad costs'!AB34)/('Summary, hourly ad costs'!L33/'Summary, hourly ad costs'!AB33)), 'Summary, PPI''s'!AB34))</f>
        <v>.</v>
      </c>
      <c r="M34" s="10" t="str">
        <f>IF(M33=".", ".", IF('Summary, PPI''s'!AC34=".",IF(OR('Summary, hourly ad costs'!AC34=-9999,'Summary, hourly ad costs'!AC34=0), ".", 'Predicted PPIs'!M33*('Summary, hourly ad costs'!M34/'Summary, hourly ad costs'!AC34)/('Summary, hourly ad costs'!M33/'Summary, hourly ad costs'!AC33)), 'Summary, PPI''s'!AC34))</f>
        <v>.</v>
      </c>
      <c r="N34" s="10">
        <f>IF(N33=".", ".", IF('Summary, PPI''s'!AD34=".",IF(OR('Summary, hourly ad costs'!AD34=-9999,'Summary, hourly ad costs'!AD34=0), ".", 'Predicted PPIs'!N33*('Summary, hourly ad costs'!N34/'Summary, hourly ad costs'!AD34)/('Summary, hourly ad costs'!N33/'Summary, hourly ad costs'!AD33)), 'Summary, PPI''s'!AD34))</f>
        <v>63.53855434992839</v>
      </c>
      <c r="O34" s="10">
        <f>IF(O33=".", ".", IF('Summary, PPI''s'!AE34=".",IF(OR('Summary, hourly ad costs'!AE34=-9999,'Summary, hourly ad costs'!AE34=0), ".", 'Predicted PPIs'!O33*('Summary, hourly ad costs'!O34/'Summary, hourly ad costs'!AE34)/('Summary, hourly ad costs'!O33/'Summary, hourly ad costs'!AE33)), 'Summary, PPI''s'!AE34))</f>
        <v>45.313754341864723</v>
      </c>
      <c r="P34" s="10">
        <f>IF(P33=".", ".", IF('Summary, PPI''s'!AF34=".",IF(OR('Summary, hourly ad costs'!AF34=-9999,'Summary, hourly ad costs'!AF34=0), ".", 'Predicted PPIs'!P33*('Summary, hourly ad costs'!P34/'Summary, hourly ad costs'!AF34)/('Summary, hourly ad costs'!P33/'Summary, hourly ad costs'!AF33)), 'Summary, PPI''s'!AF34))</f>
        <v>54.283758992805765</v>
      </c>
      <c r="R34" s="1">
        <f>IF(E$26=".", 0, 'Summary, PPI''s'!E34)+IF(F$26=".", 0, 'Summary, PPI''s'!F34)+IF(G$26=".", 0, 'Summary, PPI''s'!G34)+IF(H$26=".", 0, 'Summary, PPI''s'!H34)+IF(I$26=".", 0, 'Summary, PPI''s'!I34)+IF(J$26=".", 0, 'Summary, PPI''s'!J34)+IF(K$26=".", 0, 'Summary, PPI''s'!K34)+IF(L$26=".", 0, 'Summary, PPI''s'!L34)+IF(M$26=".", 0, 'Summary, PPI''s'!M34)+IF(B$26=".", 0, 'Summary, PPI''s'!B34)+IF(C$26=".", 0, 'Summary, PPI''s'!C34)+IF(D$26=".", 0, 'Summary, PPI''s'!D34)+IF(N$26=".", 0, 'Summary, PPI''s'!N34)+IF(O$26=".", 0, 'Summary, PPI''s'!O34)+IF(P$26=".", 0, 'Summary, PPI''s'!P34)</f>
        <v>132465824.60381775</v>
      </c>
      <c r="S34" s="1">
        <f>IF(E$36=".", 0, 'Summary, PPI''s'!E34)+IF(F$36=".", 0, 'Summary, PPI''s'!F34)+IF(G$36=".", 0, 'Summary, PPI''s'!G34)+IF(H$36=".", 0, 'Summary, PPI''s'!H34)+IF(I$36=".", 0, 'Summary, PPI''s'!I34)+IF(J$36=".", 0, 'Summary, PPI''s'!J34)+IF(K$36=".", 0, 'Summary, PPI''s'!K34)+IF(L$36=".", 0, 'Summary, PPI''s'!L34)+IF(M$36=".", 0, 'Summary, PPI''s'!M34)+IF(B$36=".", 0, 'Summary, PPI''s'!B34)+IF(C$36=".", 0, 'Summary, PPI''s'!C34)+IF(D$36=".", 0, 'Summary, PPI''s'!D34)+IF(N$36=".", 0, 'Summary, PPI''s'!N34)+IF(O$36=".", 0, 'Summary, PPI''s'!O34)+IF(P$36=".", 0, 'Summary, PPI''s'!P34)</f>
        <v>132465824.60381775</v>
      </c>
      <c r="T34" s="1">
        <f>IF(E$46=".", 0, 'Summary, PPI''s'!E34)+IF(F$46=".", 0, 'Summary, PPI''s'!F34)+IF(G$46=".", 0, 'Summary, PPI''s'!G34)+IF(H$46=".", 0, 'Summary, PPI''s'!H34)+IF(I$46=".", 0, 'Summary, PPI''s'!I34)+IF(J$46=".", 0, 'Summary, PPI''s'!J34)+IF(K$46=".", 0, 'Summary, PPI''s'!K34)+IF(L$46=".", 0, 'Summary, PPI''s'!L34)+IF(M$46=".", 0, 'Summary, PPI''s'!M34)+IF(B$46=".", 0, 'Summary, PPI''s'!B34)+IF(C$46=".", 0, 'Summary, PPI''s'!C34)+IF(D$46=".", 0, 'Summary, PPI''s'!D34)+IF(N$46=".", 0, 'Summary, PPI''s'!N34)+IF(O$46=".", 0, 'Summary, PPI''s'!O34)+IF(P$46=".", 0, 'Summary, PPI''s'!P34)</f>
        <v>92953916.212885991</v>
      </c>
      <c r="U34" s="1">
        <f>IF(E$60=".", 0, 'Summary, PPI''s'!E34)+IF(F$60=".", 0, 'Summary, PPI''s'!F34)+IF(G$60=".", 0, 'Summary, PPI''s'!G34)+IF(H$60=".", 0, 'Summary, PPI''s'!H34)+IF(I$60=".", 0, 'Summary, PPI''s'!I34)+IF(J$60=".", 0, 'Summary, PPI''s'!J34)+IF(K$60=".", 0, 'Summary, PPI''s'!K34)+IF(L$60=".", 0, 'Summary, PPI''s'!L34)+IF(M$60=".", 0, 'Summary, PPI''s'!M34)+IF(B$60=".", 0, 'Summary, PPI''s'!B34)+IF(C$60=".", 0, 'Summary, PPI''s'!C34)+IF(D$60=".", 0, 'Summary, PPI''s'!D34)+IF(N$60=".", 0, 'Summary, PPI''s'!N34)+IF(O$60=".", 0, 'Summary, PPI''s'!O34)+IF(P$60=".", 0, 'Summary, PPI''s'!P34)</f>
        <v>83092764.279348433</v>
      </c>
      <c r="V34" s="1">
        <f>IF(E$73=".", 0, 'Summary, PPI''s'!E34)+IF(F$73=".", 0, 'Summary, PPI''s'!F34)+IF(G$73=".", 0, 'Summary, PPI''s'!G34)+IF(H$73=".", 0, 'Summary, PPI''s'!H34)+IF(I$73=".", 0, 'Summary, PPI''s'!I34)+IF(J$73=".", 0, 'Summary, PPI''s'!J34)+IF(K$73=".", 0, 'Summary, PPI''s'!K34)+IF(L$73=".", 0, 'Summary, PPI''s'!L34)+IF(M$73=".", 0, 'Summary, PPI''s'!M34)+IF(B$73=".", 0, 'Summary, PPI''s'!B34)+IF(C$73=".", 0, 'Summary, PPI''s'!C34)+IF(D$73=".", 0, 'Summary, PPI''s'!D34)+IF(N$73=".", 0, 'Summary, PPI''s'!N34)+IF(O$73=".", 0, 'Summary, PPI''s'!O34)+IF(P$73=".", 0, 'Summary, PPI''s'!P34)</f>
        <v>64967084.618184574</v>
      </c>
      <c r="W34" s="1">
        <f>IF(E$94=".",0,'Summary, PPI''s'!E34)+IF(F$94=".",0,'Summary, PPI''s'!F34)+IF(G$94=".",0,'Summary, PPI''s'!G34)+IF(H$94=".",0,'Summary, PPI''s'!H34)+IF(I$94=".",0,'Summary, PPI''s'!I34)+IF(J$94=".",0,'Summary, PPI''s'!J34)+IF(K$94=".",0,'Summary, PPI''s'!K34)+IF(L$94=".",0,'Summary, PPI''s'!L34)+IF(M$94=".",0,'Summary, PPI''s'!M34)+IF(B$94=".",0,'Summary, PPI''s'!B34)+IF(C$94=".",0,'Summary, PPI''s'!C34)+IF(D$94=".",0,'Summary, PPI''s'!D34)+IF(N$94=".",0,'Summary, PPI''s'!N34)+IF(O$94=".",0,'Summary, PPI''s'!O34)+IF(P$94=".",0,'Summary, PPI''s'!P34)</f>
        <v>47382422.641359203</v>
      </c>
      <c r="X34" s="1">
        <f>IF(E$123=".", 0, 'Summary, PPI''s'!E34)+IF(F$123=".", 0, 'Summary, PPI''s'!F34)+IF(G$123=".", 0, 'Summary, PPI''s'!G34)+IF(H$123=".", 0, 'Summary, PPI''s'!H34)+IF(I$123=".", 0, 'Summary, PPI''s'!I34)+IF(J$123=".", 0, 'Summary, PPI''s'!J34)+IF(K$123=".", 0, 'Summary, PPI''s'!K34)+IF(L$123=".", 0, 'Summary, PPI''s'!L34)+IF(M$123=".", 0, 'Summary, PPI''s'!M34)+IF(B$123=".", 0, 'Summary, PPI''s'!B34)+IF(C$123=".", 0, 'Summary, PPI''s'!C34)+IF(D$123=".", 0, 'Summary, PPI''s'!D34)+IF(N$123=".", 0, 'Summary, PPI''s'!N34)+IF(O$123=".", 0, 'Summary, PPI''s'!O34)+IF(P$123=".", 0, 'Summary, PPI''s'!P34)</f>
        <v>40676414.1313214</v>
      </c>
      <c r="Z34" s="4" t="e">
        <f>Z33*IF(E$26=".", 1, (E34/E33)^(('Summary, PPI''s'!$E34+'Summary, PPI''s'!$E33)/('Predicted PPIs'!R34+'Predicted PPIs'!R33)))*IF(F$26=".", 1, (F34/F33)^(('Summary, PPI''s'!$F34+'Summary, PPI''s'!$F33)/('Predicted PPIs'!R34+'Predicted PPIs'!R33)))*IF(G$26=".", 1, (G34/G33)^(('Summary, PPI''s'!$G34+'Summary, PPI''s'!$G33)/('Predicted PPIs'!R34+'Predicted PPIs'!R33)))*IF(H$26=".", 1, (H34/H33)^(('Summary, PPI''s'!$H34+'Summary, PPI''s'!$H33)/('Predicted PPIs'!R34+'Predicted PPIs'!R33)))*IF(I$26=".", 1, (I34/I33)^(('Summary, PPI''s'!$I34+'Summary, PPI''s'!$I33)/('Predicted PPIs'!R34+'Predicted PPIs'!R33)))*IF(J$26=".", 1, (J34/J33)^(('Summary, PPI''s'!$J34+'Summary, PPI''s'!$J33)/('Predicted PPIs'!R34+'Predicted PPIs'!R33)))*IF(K$26=".", 1, (K34/K33)^(('Summary, PPI''s'!$K34+'Summary, PPI''s'!$K33)/('Predicted PPIs'!R34+'Predicted PPIs'!R33)))*IF(L$26=".", 1, (L34/L33)^(('Summary, PPI''s'!$L34+'Summary, PPI''s'!$L33)/('Predicted PPIs'!R34+'Predicted PPIs'!R33)))*IF(M$26=".", 1, (M34/M33)^(('Summary, PPI''s'!$M34+'Summary, PPI''s'!$M33)/('Predicted PPIs'!R34+'Predicted PPIs'!R33)))*IF(B$26=".", 1, (B34/B33)^(('Summary, PPI''s'!$B34+'Summary, PPI''s'!$B33)/('Predicted PPIs'!R34+'Predicted PPIs'!R33)))*IF(C$26=".", 1, (C34/C33)^(('Summary, PPI''s'!$C34+'Summary, PPI''s'!$C33)/('Predicted PPIs'!R34+'Predicted PPIs'!R33)))*IF(D$26=".", 1, (D34/D33)^(('Summary, PPI''s'!$D34+'Summary, PPI''s'!$D33)/('Predicted PPIs'!R34+'Predicted PPIs'!R33)))*IF(N$26=".", 1, (N34/N33)^(('Summary, PPI''s'!$N34+'Summary, PPI''s'!$N33)/('Predicted PPIs'!R34+'Predicted PPIs'!R33)))*IF(O$26=".", 1, (O34/O33)^(('Summary, PPI''s'!$O34+'Summary, PPI''s'!$O33)/('Predicted PPIs'!R34+'Predicted PPIs'!R33)))*IF(P$26=".", 1, (P34/P33)^(('Summary, PPI''s'!$P34+'Summary, PPI''s'!$P33)/('Predicted PPIs'!R34+'Predicted PPIs'!R33)))</f>
        <v>#VALUE!</v>
      </c>
      <c r="AA34" s="4">
        <f>AA33*IF(E$36=".", 1, (E34/E33)^(('Summary, PPI''s'!$E34+'Summary, PPI''s'!$E33)/('Predicted PPIs'!S34+'Predicted PPIs'!S33)))*IF(F$36=".", 1, (F34/F33)^(('Summary, PPI''s'!$F34+'Summary, PPI''s'!$F33)/('Predicted PPIs'!S34+'Predicted PPIs'!S33)))*IF(G$36=".", 1, (G34/G33)^(('Summary, PPI''s'!$G34+'Summary, PPI''s'!$G33)/('Predicted PPIs'!S34+'Predicted PPIs'!S33)))*IF(H$36=".", 1, (H34/H33)^(('Summary, PPI''s'!$H34+'Summary, PPI''s'!$H33)/('Predicted PPIs'!S34+'Predicted PPIs'!S33)))*IF(I$36=".", 1, (I34/I33)^(('Summary, PPI''s'!$I34+'Summary, PPI''s'!$I33)/('Predicted PPIs'!S34+'Predicted PPIs'!S33)))*IF(J$36=".", 1, (J34/J33)^(('Summary, PPI''s'!$J34+'Summary, PPI''s'!$J33)/('Predicted PPIs'!S34+'Predicted PPIs'!S33)))*IF(K$36=".", 1, (K34/K33)^(('Summary, PPI''s'!$K34+'Summary, PPI''s'!$K33)/('Predicted PPIs'!S34+'Predicted PPIs'!S33)))*IF(L$36=".", 1, (L34/L33)^(('Summary, PPI''s'!$L34+'Summary, PPI''s'!$L33)/('Predicted PPIs'!S34+'Predicted PPIs'!S33)))*IF(M$36=".", 1, (M34/M33)^(('Summary, PPI''s'!$M34+'Summary, PPI''s'!$M33)/('Predicted PPIs'!S34+'Predicted PPIs'!S33)))*IF(B$36=".", 1, (B34/B33)^(('Summary, PPI''s'!$B34+'Summary, PPI''s'!$B33)/('Predicted PPIs'!S34+'Predicted PPIs'!S33)))*IF(C$36=".", 1, (C34/C33)^(('Summary, PPI''s'!$C34+'Summary, PPI''s'!$C33)/('Predicted PPIs'!S34+'Predicted PPIs'!S33)))*IF(D$36=".", 1, (D34/D33)^(('Summary, PPI''s'!$D34+'Summary, PPI''s'!$D33)/('Predicted PPIs'!S34+'Predicted PPIs'!S33)))*IF(N$36=".", 1, (N34/N33)^(('Summary, PPI''s'!$N34+'Summary, PPI''s'!$N33)/('Predicted PPIs'!S34+'Predicted PPIs'!S33)))*IF(O$36=".", 1, (O34/O33)^(('Summary, PPI''s'!$O34+'Summary, PPI''s'!$O33)/('Predicted PPIs'!S34+'Predicted PPIs'!S33)))*IF(P$36=".", 1, (P34/P33)^(('Summary, PPI''s'!$P34+'Summary, PPI''s'!$P33)/('Predicted PPIs'!S34+'Predicted PPIs'!S33)))</f>
        <v>52.951118151990066</v>
      </c>
      <c r="AB34" s="4">
        <f>AB33*IF(E$46=".", 1, (E34/E33)^(('Summary, PPI''s'!$E34+'Summary, PPI''s'!$E33)/('Predicted PPIs'!T34+'Predicted PPIs'!T33)))*IF(F$46=".", 1, (F34/F33)^(('Summary, PPI''s'!$F34+'Summary, PPI''s'!$F33)/('Predicted PPIs'!T34+'Predicted PPIs'!T33)))*IF(G$46=".", 1, (G34/G33)^(('Summary, PPI''s'!$G34+'Summary, PPI''s'!$G33)/('Predicted PPIs'!T34+'Predicted PPIs'!T33)))*IF(H$46=".", 1, (H34/H33)^(('Summary, PPI''s'!$H34+'Summary, PPI''s'!$H33)/('Predicted PPIs'!T34+'Predicted PPIs'!T33)))*IF(I$46=".", 1, (I34/I33)^(('Summary, PPI''s'!$I34+'Summary, PPI''s'!$I33)/('Predicted PPIs'!T34+'Predicted PPIs'!T33)))*IF(J$46=".", 1, (J34/J33)^(('Summary, PPI''s'!$J34+'Summary, PPI''s'!$J33)/('Predicted PPIs'!T34+'Predicted PPIs'!T33)))*IF(K$46=".", 1, (K34/K33)^(('Summary, PPI''s'!$K34+'Summary, PPI''s'!$K33)/('Predicted PPIs'!T34+'Predicted PPIs'!T33)))*IF(L$46=".", 1, (L34/L33)^(('Summary, PPI''s'!$L34+'Summary, PPI''s'!$L33)/('Predicted PPIs'!T34+'Predicted PPIs'!T33)))*IF(M$46=".", 1, (M34/M33)^(('Summary, PPI''s'!$M34+'Summary, PPI''s'!$M33)/('Predicted PPIs'!T34+'Predicted PPIs'!T33)))*IF(B$46=".", 1, (B34/B33)^(('Summary, PPI''s'!$B34+'Summary, PPI''s'!$B33)/('Predicted PPIs'!T34+'Predicted PPIs'!T33)))*IF(C$46=".", 1, (C34/C33)^(('Summary, PPI''s'!$C34+'Summary, PPI''s'!$C33)/('Predicted PPIs'!T34+'Predicted PPIs'!T33)))*IF(D$46=".", 1, (D34/D33)^(('Summary, PPI''s'!$D34+'Summary, PPI''s'!$D33)/('Predicted PPIs'!T34+'Predicted PPIs'!T33)))*IF(N$46=".", 1, (N34/N33)^(('Summary, PPI''s'!$N34+'Summary, PPI''s'!$N33)/('Predicted PPIs'!T34+'Predicted PPIs'!T33)))*IF(O$46=".", 1, (O34/O33)^(('Summary, PPI''s'!$O34+'Summary, PPI''s'!$O33)/('Predicted PPIs'!T34+'Predicted PPIs'!T33)))*IF(P$46=".", 1, (P34/P33)^(('Summary, PPI''s'!$P34+'Summary, PPI''s'!$P33)/('Predicted PPIs'!T34+'Predicted PPIs'!T33)))</f>
        <v>50.395470689251461</v>
      </c>
      <c r="AC34" s="4">
        <f>AC33*IF(E$60=".",1,(E34/E33)^(('Summary, PPI''s'!$E34+'Summary, PPI''s'!$E33)/('Predicted PPIs'!U34+'Predicted PPIs'!U33)))*IF(F$60=".",1,(F34/F33)^(('Summary, PPI''s'!$F34+'Summary, PPI''s'!$F33)/('Predicted PPIs'!U34+'Predicted PPIs'!U33)))*IF(G$60=".",1,(G34/G33)^(('Summary, PPI''s'!$G34+'Summary, PPI''s'!$G33)/('Predicted PPIs'!U34+'Predicted PPIs'!U33)))*IF(H$60=".",1,(H34/H33)^(('Summary, PPI''s'!$H34+'Summary, PPI''s'!$H33)/('Predicted PPIs'!U34+'Predicted PPIs'!U33)))*IF(I$60=".",1,(I34/I33)^(('Summary, PPI''s'!$I34+'Summary, PPI''s'!$I33)/('Predicted PPIs'!U34+'Predicted PPIs'!U33)))*IF(J$60=".",1,(J34/J33)^(('Summary, PPI''s'!$J34+'Summary, PPI''s'!$J33)/('Predicted PPIs'!U34+'Predicted PPIs'!U33)))*IF(K$60=".",1,(K34/K33)^(('Summary, PPI''s'!$K34+'Summary, PPI''s'!$K33)/('Predicted PPIs'!U34+'Predicted PPIs'!U33)))*IF(L$60=".",1,(L34/L33)^(('Summary, PPI''s'!$L34+'Summary, PPI''s'!$L33)/('Predicted PPIs'!U34+'Predicted PPIs'!U33)))*IF(M$60=".",1,(M34/M33)^(('Summary, PPI''s'!$M34+'Summary, PPI''s'!$M33)/('Predicted PPIs'!U34+'Predicted PPIs'!U33)))*IF(B$60=".",1,(B34/B33)^(('Summary, PPI''s'!$B34+'Summary, PPI''s'!$B33)/('Predicted PPIs'!U34+'Predicted PPIs'!U33)))*IF(C$60=".",1,(C34/C33)^(('Summary, PPI''s'!$C34+'Summary, PPI''s'!$C33)/('Predicted PPIs'!U34+'Predicted PPIs'!U33)))*IF(D$60=".",1,(D34/D33)^(('Summary, PPI''s'!$D34+'Summary, PPI''s'!$D33)/('Predicted PPIs'!U34+'Predicted PPIs'!U33)))*IF(N$60=".",1,(N34/N33)^(('Summary, PPI''s'!$N34+'Summary, PPI''s'!$N33)/('Predicted PPIs'!U34+'Predicted PPIs'!U33)))*IF(O$60=".",1,(O34/O33)^(('Summary, PPI''s'!$O34+'Summary, PPI''s'!$O33)/('Predicted PPIs'!U34+'Predicted PPIs'!U33)))*IF(P$60=".",1,(P34/P33)^(('Summary, PPI''s'!$P34+'Summary, PPI''s'!$P33)/('Predicted PPIs'!U34+'Predicted PPIs'!U33)))</f>
        <v>54.951887745775487</v>
      </c>
      <c r="AD34" s="4">
        <f>AD33*IF(E$73=".", 1, (E34/E33)^(('Summary, PPI''s'!$E34+'Summary, PPI''s'!$E33)/('Predicted PPIs'!V34+'Predicted PPIs'!V33)))*IF(F$73=".", 1, (F34/F33)^(('Summary, PPI''s'!$F34+'Summary, PPI''s'!$F33)/('Predicted PPIs'!V34+'Predicted PPIs'!V33)))*IF(G$73=".", 1, (G34/G33)^(('Summary, PPI''s'!$G34+'Summary, PPI''s'!$G33)/('Predicted PPIs'!V34+'Predicted PPIs'!V33)))*IF(H$73=".", 1, (H34/H33)^(('Summary, PPI''s'!$H34+'Summary, PPI''s'!$H33)/('Predicted PPIs'!V34+'Predicted PPIs'!V33)))*IF(I$73=".", 1, (I34/I33)^(('Summary, PPI''s'!$I34+'Summary, PPI''s'!$I33)/('Predicted PPIs'!V34+'Predicted PPIs'!V33)))*IF(J$73=".", 1, (J34/J33)^(('Summary, PPI''s'!$J34+'Summary, PPI''s'!$J33)/('Predicted PPIs'!V34+'Predicted PPIs'!V33)))*IF(K$73=".", 1, (K34/K33)^(('Summary, PPI''s'!$K34+'Summary, PPI''s'!$K33)/('Predicted PPIs'!V34+'Predicted PPIs'!V33)))*IF(L$73=".", 1, (L34/L33)^(('Summary, PPI''s'!$L34+'Summary, PPI''s'!$L33)/('Predicted PPIs'!V34+'Predicted PPIs'!V33)))*IF(M$73=".", 1, (M34/M33)^(('Summary, PPI''s'!$M34+'Summary, PPI''s'!$M33)/('Predicted PPIs'!V34+'Predicted PPIs'!V33)))*IF(B$73=".", 1, (B34/B33)^(('Summary, PPI''s'!$B34+'Summary, PPI''s'!$B33)/('Predicted PPIs'!V34+'Predicted PPIs'!V33)))*IF(C$73=".", 1, (C34/C33)^(('Summary, PPI''s'!$C34+'Summary, PPI''s'!$C33)/('Predicted PPIs'!V34+'Predicted PPIs'!V33)))*IF(D$73=".", 1, (D34/D33)^(('Summary, PPI''s'!$D34+'Summary, PPI''s'!$D33)/('Predicted PPIs'!V34+'Predicted PPIs'!V33)))*IF(N$73=".", 1, (N34/N33)^(('Summary, PPI''s'!$N34+'Summary, PPI''s'!$N33)/('Predicted PPIs'!V34+'Predicted PPIs'!V33)))*IF(O$73=".", 1, (O34/O33)^(('Summary, PPI''s'!$O34+'Summary, PPI''s'!$O33)/('Predicted PPIs'!V34+'Predicted PPIs'!V33)))*IF(P$73=".", 1, (P34/P33)^(('Summary, PPI''s'!$P34+'Summary, PPI''s'!$P33)/('Predicted PPIs'!V34+'Predicted PPIs'!V33)))</f>
        <v>53.085973980536174</v>
      </c>
      <c r="AE34" s="4">
        <f>AE33*IF(E$94=".", 1, (E34/E33)^(('Summary, PPI''s'!$E34+'Summary, PPI''s'!$E33)/('Predicted PPIs'!W34+'Predicted PPIs'!W33)))*IF(F$94=".", 1, (F34/F33)^(('Summary, PPI''s'!$F34+'Summary, PPI''s'!$F33)/('Predicted PPIs'!W34+'Predicted PPIs'!W33)))*IF(G$94=".", 1, (G34/G33)^(('Summary, PPI''s'!$G34+'Summary, PPI''s'!$G33)/('Predicted PPIs'!W34+'Predicted PPIs'!W33)))*IF(H$94=".", 1, (H34/H33)^(('Summary, PPI''s'!$H34+'Summary, PPI''s'!$H33)/('Predicted PPIs'!W34+'Predicted PPIs'!W33)))*IF(I$94=".", 1, (I34/I33)^(('Summary, PPI''s'!$I34+'Summary, PPI''s'!$I33)/('Predicted PPIs'!W34+'Predicted PPIs'!W33)))*IF(J$94=".", 1, (J34/J33)^(('Summary, PPI''s'!$J34+'Summary, PPI''s'!$J33)/('Predicted PPIs'!W34+'Predicted PPIs'!W33)))*IF(K$94=".", 1, (K34/K33)^(('Summary, PPI''s'!$K34+'Summary, PPI''s'!$K33)/('Predicted PPIs'!W34+'Predicted PPIs'!W33)))*IF(L$94=".", 1, (L34/L33)^(('Summary, PPI''s'!$L34+'Summary, PPI''s'!$L33)/('Predicted PPIs'!W34+'Predicted PPIs'!W33)))*IF(M$94=".", 1, (M34/M33)^(('Summary, PPI''s'!$M34+'Summary, PPI''s'!$M33)/('Predicted PPIs'!W34+'Predicted PPIs'!W33)))*IF(B$94=".", 1, (B34/B33)^(('Summary, PPI''s'!$B34+'Summary, PPI''s'!$B33)/('Predicted PPIs'!W34+'Predicted PPIs'!W33)))*IF(C$94=".", 1, (C34/C33)^(('Summary, PPI''s'!$C34+'Summary, PPI''s'!$C33)/('Predicted PPIs'!W34+'Predicted PPIs'!W33)))*IF(D$94=".", 1, (D34/D33)^(('Summary, PPI''s'!$D34+'Summary, PPI''s'!$D33)/('Predicted PPIs'!W34+'Predicted PPIs'!W33)))*IF(N$94=".", 1, (N34/N33)^(('Summary, PPI''s'!$N34+'Summary, PPI''s'!$N33)/('Predicted PPIs'!W34+'Predicted PPIs'!W33)))*IF(O$94=".", 1, (O34/O33)^(('Summary, PPI''s'!$O34+'Summary, PPI''s'!$O33)/('Predicted PPIs'!W34+'Predicted PPIs'!W33)))*IF(P$94=".", 1, (P34/P33)^(('Summary, PPI''s'!$P34+'Summary, PPI''s'!$P33)/('Predicted PPIs'!W34+'Predicted PPIs'!W33)))</f>
        <v>47.977903411994639</v>
      </c>
      <c r="AF34" s="4">
        <f>AF33*IF(E$123=".", 1, (E34/E33)^(('Summary, PPI''s'!$E34+'Summary, PPI''s'!$E33)/('Predicted PPIs'!X34+'Predicted PPIs'!X33)))*IF(F$123=".", 1, (F34/F33)^(('Summary, PPI''s'!$F34+'Summary, PPI''s'!$F33)/('Predicted PPIs'!X34+'Predicted PPIs'!X33)))*IF(G$123=".", 1, (G34/G33)^(('Summary, PPI''s'!$G34+'Summary, PPI''s'!$G33)/('Predicted PPIs'!X34+'Predicted PPIs'!X33)))*IF(H$123=".", 1, (H34/H33)^(('Summary, PPI''s'!$H34+'Summary, PPI''s'!$H33)/('Predicted PPIs'!X34+'Predicted PPIs'!X33)))*IF(I$123=".", 1, (I34/I33)^(('Summary, PPI''s'!$I34+'Summary, PPI''s'!$I33)/('Predicted PPIs'!X34+'Predicted PPIs'!X33)))*IF(J$123=".", 1, (J34/J33)^(('Summary, PPI''s'!$J34+'Summary, PPI''s'!$J33)/('Predicted PPIs'!X34+'Predicted PPIs'!X33)))*IF(K$123=".", 1, (K34/K33)^(('Summary, PPI''s'!$K34+'Summary, PPI''s'!$K33)/('Predicted PPIs'!X34+'Predicted PPIs'!X33)))*IF(L$123=".", 1, (L34/L33)^(('Summary, PPI''s'!$L34+'Summary, PPI''s'!$L33)/('Predicted PPIs'!X34+'Predicted PPIs'!X33)))*IF(M$123=".", 1, (M34/M33)^(('Summary, PPI''s'!$M34+'Summary, PPI''s'!$M33)/('Predicted PPIs'!X34+'Predicted PPIs'!X33)))*IF(B$123=".", 1, (B34/B33)^(('Summary, PPI''s'!$B34+'Summary, PPI''s'!$B33)/('Predicted PPIs'!X34+'Predicted PPIs'!X33)))*IF(C$123=".", 1, (C34/C33)^(('Summary, PPI''s'!$C34+'Summary, PPI''s'!$C33)/('Predicted PPIs'!X34+'Predicted PPIs'!X33)))*IF(D$123=".", 1, (D34/D33)^(('Summary, PPI''s'!$D34+'Summary, PPI''s'!$D33)/('Predicted PPIs'!X34+'Predicted PPIs'!X33)))*IF(N$123=".", 1, (N34/N33)^(('Summary, PPI''s'!$N34+'Summary, PPI''s'!$N33)/('Predicted PPIs'!X34+'Predicted PPIs'!X33)))*IF(O$123=".", 1, (O34/O33)^(('Summary, PPI''s'!$O34+'Summary, PPI''s'!$O33)/('Predicted PPIs'!X34+'Predicted PPIs'!X33)))*IF(P$123=".", 1, (P34/P33)^(('Summary, PPI''s'!$P34+'Summary, PPI''s'!$P33)/('Predicted PPIs'!X34+'Predicted PPIs'!X33)))</f>
        <v>44.498614042988237</v>
      </c>
      <c r="AH34" s="13">
        <f t="shared" si="32"/>
        <v>59.68203911295425</v>
      </c>
      <c r="AJ34" s="4">
        <v>3576.8</v>
      </c>
      <c r="AK34" s="4">
        <v>-0.67200000000000004</v>
      </c>
      <c r="AL34" s="4">
        <v>-384.44200000000001</v>
      </c>
      <c r="AM34" s="4">
        <v>-5.907</v>
      </c>
      <c r="AN34" s="4">
        <v>4085.1</v>
      </c>
      <c r="AO34" s="4">
        <v>961.8</v>
      </c>
      <c r="AP34" s="4">
        <f>('[3]1989'!$I$14+'[3]1989'!$I$69+'[3]1989'!$I$71-'[3]1989'!$I$73)*0.001</f>
        <v>-41.978999999999999</v>
      </c>
      <c r="AQ34" s="4">
        <f>('[3]1989'!$AY$56+'[3]1989'!$AY$69+'[3]1989'!$AY$71-'[3]1989'!$AY$73)*0.001</f>
        <v>-185.55</v>
      </c>
      <c r="AR34" s="4">
        <v>-17.167000000000002</v>
      </c>
      <c r="AS34" s="4">
        <v>-25.41</v>
      </c>
      <c r="AT34" s="4">
        <v>60.572000000000003</v>
      </c>
      <c r="AU34" s="4">
        <v>70.962000000000003</v>
      </c>
      <c r="AV34" s="4">
        <v>53.570999999999998</v>
      </c>
      <c r="AW34" s="4">
        <v>34.000999999999998</v>
      </c>
      <c r="AX34" s="4">
        <v>59.332999999999998</v>
      </c>
      <c r="AY34" s="4">
        <v>78.561000000000007</v>
      </c>
      <c r="AZ34" s="4">
        <v>39.665999999999997</v>
      </c>
      <c r="BA34" s="4">
        <v>61.378999999999998</v>
      </c>
      <c r="BB34" s="4">
        <v>103.346</v>
      </c>
      <c r="BC34" s="4">
        <v>71.590999999999994</v>
      </c>
      <c r="BG34" s="4">
        <f t="shared" si="50"/>
        <v>54.758477677130323</v>
      </c>
      <c r="BI34" s="4">
        <f>BI$13*'[2]Ordinary Experience'!$D$392/'[2]Ordinary Experience'!$D$413</f>
        <v>246611453.45455247</v>
      </c>
      <c r="BJ34" s="4">
        <f>'[2]Ordinary Experience'!$E$392</f>
        <v>21.607546577251174</v>
      </c>
      <c r="BL34" s="4">
        <f t="shared" si="0"/>
        <v>71.466019717908452</v>
      </c>
      <c r="BM34" s="4">
        <f t="shared" si="34"/>
        <v>1.1243089385594596E-2</v>
      </c>
      <c r="BO34" s="4">
        <f>IF(OR('Summary, hourly ad costs'!R34=-9999,'Summary, PPI''s'!R34="."),".",(('Summary, hourly ad costs'!B34/'Summary, hourly ad costs'!R34)*100/('Summary, hourly ad costs'!B$11/'Summary, hourly ad costs'!R$11))/('Summary, PPI''s'!R34))</f>
        <v>0.8370165032222332</v>
      </c>
      <c r="BP34" s="4" t="str">
        <f>IF(OR('Summary, hourly ad costs'!S34=-9999,'Summary, PPI''s'!S34="."),".",(('Summary, hourly ad costs'!C34/'Summary, hourly ad costs'!S34)*100/('Summary, hourly ad costs'!C$11/'Summary, hourly ad costs'!S$11))/('Summary, PPI''s'!S34))</f>
        <v>.</v>
      </c>
      <c r="BQ34" s="4" t="str">
        <f>IF(OR('Summary, hourly ad costs'!T34=-9999,'Summary, PPI''s'!T34="."),".",(('Summary, hourly ad costs'!D34/'Summary, hourly ad costs'!T34)*100/('Summary, hourly ad costs'!D$11/'Summary, hourly ad costs'!T$11))/('Summary, PPI''s'!T34))</f>
        <v>.</v>
      </c>
      <c r="BR34" s="4">
        <f>IF(OR('Summary, hourly ad costs'!U34=-9999,'Summary, PPI''s'!U34="."),".",(('Summary, hourly ad costs'!E34/'Summary, hourly ad costs'!U34)*100/('Summary, hourly ad costs'!E$11/'Summary, hourly ad costs'!U$11))/('Summary, PPI''s'!U34))</f>
        <v>2.2200030825651602</v>
      </c>
      <c r="BS34" s="4">
        <f>IF(OR('Summary, hourly ad costs'!V34=-9999,'Summary, PPI''s'!V34="."),".",(('Summary, hourly ad costs'!F34/'Summary, hourly ad costs'!V34)*100/('Summary, hourly ad costs'!F$11/'Summary, hourly ad costs'!V$11))/('Summary, PPI''s'!V34))</f>
        <v>1.8292377485946389</v>
      </c>
      <c r="BT34" s="4" t="str">
        <f>IF(OR('Summary, hourly ad costs'!W34=-9999,'Summary, PPI''s'!W34="."),".",(('Summary, hourly ad costs'!G34/'Summary, hourly ad costs'!W34)*100/('Summary, hourly ad costs'!G$11/'Summary, hourly ad costs'!W$11))/('Summary, PPI''s'!W34))</f>
        <v>.</v>
      </c>
      <c r="BU34" s="4">
        <f>IF(OR('Summary, hourly ad costs'!X34=-9999,'Summary, PPI''s'!X34="."),".",(('Summary, hourly ad costs'!H34/'Summary, hourly ad costs'!X34)*100/('Summary, hourly ad costs'!H$11/'Summary, hourly ad costs'!X$11))/('Summary, PPI''s'!X34))</f>
        <v>1.1131346028784213</v>
      </c>
      <c r="BV34" s="4">
        <f>IF(OR('Summary, hourly ad costs'!Y34=-9999,'Summary, PPI''s'!Y34="."),".",(('Summary, hourly ad costs'!I34/'Summary, hourly ad costs'!Y34)*100/('Summary, hourly ad costs'!I$11/'Summary, hourly ad costs'!Y$11))/('Summary, PPI''s'!Y34))</f>
        <v>0.73021476026995313</v>
      </c>
      <c r="BW34" s="4">
        <f>IF(OR('Summary, hourly ad costs'!Z34=-9999,'Summary, PPI''s'!Z34="."),".",(('Summary, hourly ad costs'!J34/'Summary, hourly ad costs'!Z34)*100/('Summary, hourly ad costs'!J$11/'Summary, hourly ad costs'!Z$11))/('Summary, PPI''s'!Z34))</f>
        <v>0.80404260869226329</v>
      </c>
      <c r="BX34" s="4" t="str">
        <f>IF(OR('Summary, hourly ad costs'!AA34=-9999,'Summary, PPI''s'!AA34="."),".",(('Summary, hourly ad costs'!K34/'Summary, hourly ad costs'!AA34)*100/('Summary, hourly ad costs'!K$11/'Summary, hourly ad costs'!AA$11))/('Summary, PPI''s'!AA34))</f>
        <v>.</v>
      </c>
      <c r="BY34" s="4" t="str">
        <f>IF(OR('Summary, hourly ad costs'!AB34=-9999,'Summary, PPI''s'!AB34="."),".",(('Summary, hourly ad costs'!L34/'Summary, hourly ad costs'!AB34)*100/('Summary, hourly ad costs'!L$11/'Summary, hourly ad costs'!AB$11))/('Summary, PPI''s'!AB34))</f>
        <v>.</v>
      </c>
      <c r="BZ34" s="4" t="str">
        <f>IF(OR('Summary, hourly ad costs'!AC34=-9999,'Summary, PPI''s'!AC34="."),".",(('Summary, hourly ad costs'!M34/'Summary, hourly ad costs'!AC34)*100/('Summary, hourly ad costs'!M$11/'Summary, hourly ad costs'!AC$11))/('Summary, PPI''s'!AC34))</f>
        <v>.</v>
      </c>
      <c r="CA34" s="4" t="str">
        <f>IF(OR('Summary, hourly ad costs'!AD34=-9999,'Summary, PPI''s'!AD34="."),".",(('Summary, hourly ad costs'!N34/'Summary, hourly ad costs'!AD34)*100/('Summary, hourly ad costs'!N$11/'Summary, hourly ad costs'!AD$11))/('Summary, PPI''s'!AD34))</f>
        <v>.</v>
      </c>
      <c r="CB34" s="4" t="str">
        <f>IF(OR('Summary, hourly ad costs'!AE34=-9999,'Summary, PPI''s'!AE34="."),".",(('Summary, hourly ad costs'!O34/'Summary, hourly ad costs'!AE34)*100/('Summary, hourly ad costs'!O$11/'Summary, hourly ad costs'!AE$11))/('Summary, PPI''s'!AE34))</f>
        <v>.</v>
      </c>
      <c r="CC34" s="4" t="str">
        <f>IF(OR('Summary, hourly ad costs'!AF34=-9999,'Summary, PPI''s'!AF34="."),".",(('Summary, hourly ad costs'!P34/'Summary, hourly ad costs'!AF34)*100/('Summary, hourly ad costs'!P$11/'Summary, hourly ad costs'!AF$11))/('Summary, PPI''s'!AF34))</f>
        <v>.</v>
      </c>
      <c r="CE34" s="4">
        <f t="shared" si="80"/>
        <v>2.7037313308793998E-2</v>
      </c>
      <c r="CF34" s="4" t="str">
        <f t="shared" si="81"/>
        <v>.</v>
      </c>
      <c r="CG34" s="4" t="str">
        <f t="shared" si="82"/>
        <v>.</v>
      </c>
      <c r="CH34" s="4">
        <f t="shared" si="83"/>
        <v>-3.8427655642900072E-2</v>
      </c>
      <c r="CI34" s="4">
        <f t="shared" si="84"/>
        <v>-3.4214094512321491E-3</v>
      </c>
      <c r="CJ34" s="4" t="str">
        <f t="shared" si="85"/>
        <v>.</v>
      </c>
      <c r="CK34" s="4">
        <f t="shared" si="86"/>
        <v>-8.7623242698287029E-6</v>
      </c>
      <c r="CL34" s="4">
        <f t="shared" si="87"/>
        <v>4.5549347902846815E-3</v>
      </c>
      <c r="CM34" s="4">
        <f t="shared" si="88"/>
        <v>5.8145580475931657E-2</v>
      </c>
      <c r="CN34" s="4">
        <f t="shared" si="89"/>
        <v>-1.8833752695761839E-2</v>
      </c>
      <c r="CO34" s="4">
        <f t="shared" si="79"/>
        <v>6.8017109290826286E-2</v>
      </c>
      <c r="CP34" s="4">
        <f t="shared" si="79"/>
        <v>0.16111899726656775</v>
      </c>
      <c r="CQ34" s="4" t="str">
        <f t="shared" si="62"/>
        <v>.</v>
      </c>
      <c r="CR34" s="4" t="str">
        <f t="shared" si="63"/>
        <v>.</v>
      </c>
      <c r="CS34" s="4" t="str">
        <f t="shared" si="64"/>
        <v>.</v>
      </c>
      <c r="CU34" s="5">
        <f>IF(CU33=".", ".", IF('Summary, PPI''s'!R34=".",IF(OR('Summary, hourly ad costs'!R34=-9999,'Summary, hourly ad costs'!R34=0), ".", 'Predicted PPIs'!CU33*('Summary, hourly ad costs'!B34/'Summary, hourly ad costs'!R34)/('Summary, hourly ad costs'!B33/'Summary, hourly ad costs'!R33)/(1-CE33)), 'Summary, PPI''s'!R34))</f>
        <v>82.976793811683123</v>
      </c>
      <c r="CV34" s="5">
        <f>IF(CV33=".", ".", IF('Summary, PPI''s'!S34=".",IF(OR('Summary, hourly ad costs'!S34=-9999,'Summary, hourly ad costs'!S34=0), ".", 'Predicted PPIs'!CV33*('Summary, hourly ad costs'!C34/'Summary, hourly ad costs'!S34)/('Summary, hourly ad costs'!C33/'Summary, hourly ad costs'!S33)/(1-CF33)), 'Summary, PPI''s'!S34))</f>
        <v>82.976793811683123</v>
      </c>
      <c r="CW34" s="5">
        <f>IF(CW33=".", ".", IF('Summary, PPI''s'!T34=".",IF(OR('Summary, hourly ad costs'!T34=-9999,'Summary, hourly ad costs'!T34=0), ".", 'Predicted PPIs'!CW33*('Summary, hourly ad costs'!D34/'Summary, hourly ad costs'!T34)/('Summary, hourly ad costs'!D33/'Summary, hourly ad costs'!T33)/(1-CG33)), 'Summary, PPI''s'!T34))</f>
        <v>66.159963758997336</v>
      </c>
      <c r="CX34" s="5">
        <f>IF(CX33=".", ".", IF('Summary, PPI''s'!U34=".",IF(OR('Summary, hourly ad costs'!U34=-9999,'Summary, hourly ad costs'!U34=0), ".", 'Predicted PPIs'!CX33*('Summary, hourly ad costs'!E34/'Summary, hourly ad costs'!U34)/('Summary, hourly ad costs'!E33/'Summary, hourly ad costs'!U33)/(1-CH33)), 'Summary, PPI''s'!U34))</f>
        <v>42.103481829335351</v>
      </c>
      <c r="CY34" s="5">
        <f>IF(CY33=".", ".", IF('Summary, PPI''s'!V34=".",IF(OR('Summary, hourly ad costs'!V34=-9999,'Summary, hourly ad costs'!V34=0), ".", 'Predicted PPIs'!CY33*('Summary, hourly ad costs'!F34/'Summary, hourly ad costs'!V34)/('Summary, hourly ad costs'!F33/'Summary, hourly ad costs'!V33)/(1-CI33)), 'Summary, PPI''s'!V34))</f>
        <v>40.804810741793318</v>
      </c>
      <c r="CZ34" s="5">
        <f>IF(CZ33=".", ".", IF('Summary, PPI''s'!W34=".",IF(OR('Summary, hourly ad costs'!W34=-9999,'Summary, hourly ad costs'!W34=0), ".", 'Predicted PPIs'!CZ33*('Summary, hourly ad costs'!G34/'Summary, hourly ad costs'!W34)/('Summary, hourly ad costs'!G33/'Summary, hourly ad costs'!W33)/(1-CJ33)), 'Summary, PPI''s'!W34))</f>
        <v>46.462188077295252</v>
      </c>
      <c r="DA34" s="5">
        <f>IF(DA33=".", ".", IF('Summary, PPI''s'!X34=".",IF(OR('Summary, hourly ad costs'!X34=-9999,'Summary, hourly ad costs'!X34=0), ".", 'Predicted PPIs'!DA33*('Summary, hourly ad costs'!H34/'Summary, hourly ad costs'!X34)/('Summary, hourly ad costs'!H33/'Summary, hourly ad costs'!X33)/(1-CK33)), 'Summary, PPI''s'!X34))</f>
        <v>46.89</v>
      </c>
      <c r="DB34" s="5">
        <f>IF(DB33=".", ".", IF('Summary, PPI''s'!Y34=".",IF(OR('Summary, hourly ad costs'!Y34=-9999,'Summary, hourly ad costs'!Y34=0), ".", 'Predicted PPIs'!DB33*('Summary, hourly ad costs'!I34/'Summary, hourly ad costs'!Y34)/('Summary, hourly ad costs'!I33/'Summary, hourly ad costs'!Y33)/(1-CL33)), 'Summary, PPI''s'!Y34))</f>
        <v>58.080054633939341</v>
      </c>
      <c r="DC34" s="5">
        <f>IF(DC33=".", ".", IF('Summary, PPI''s'!Z34=".",IF(OR('Summary, hourly ad costs'!Z34=-9999,'Summary, hourly ad costs'!Z34=0), ".", 'Predicted PPIs'!DC33*('Summary, hourly ad costs'!J34/'Summary, hourly ad costs'!Z34)/('Summary, hourly ad costs'!J33/'Summary, hourly ad costs'!Z33)/(1-CM33)), 'Summary, PPI''s'!Z34))</f>
        <v>60.921996609317198</v>
      </c>
      <c r="DD34" s="5">
        <f>IF(DD33=".", ".", IF('Summary, PPI''s'!AA34=".",IF(OR('Summary, hourly ad costs'!AA34=-9999,'Summary, hourly ad costs'!AA34=0), ".", 'Predicted PPIs'!DD33*('Summary, hourly ad costs'!K34/'Summary, hourly ad costs'!AA34)/('Summary, hourly ad costs'!K33/'Summary, hourly ad costs'!AA33)/(1-CN33)), 'Summary, PPI''s'!AA34))</f>
        <v>39.384741477591866</v>
      </c>
      <c r="DE34" s="5" t="str">
        <f>IF(DE33=".", ".", IF('Summary, PPI''s'!AB34=".",IF(OR('Summary, hourly ad costs'!AB34=-9999,'Summary, hourly ad costs'!AB34=0), ".", 'Predicted PPIs'!DE33*('Summary, hourly ad costs'!L34/'Summary, hourly ad costs'!AB34)/('Summary, hourly ad costs'!L33/'Summary, hourly ad costs'!AB33)/(1-CO33)), 'Summary, PPI''s'!AB34))</f>
        <v>.</v>
      </c>
      <c r="DF34" s="5" t="str">
        <f>IF(DF33=".", ".", IF('Summary, PPI''s'!AC34=".",IF(OR('Summary, hourly ad costs'!AC34=-9999,'Summary, hourly ad costs'!AC34=0), ".", 'Predicted PPIs'!DF33*('Summary, hourly ad costs'!M34/'Summary, hourly ad costs'!AC34)/('Summary, hourly ad costs'!M33/'Summary, hourly ad costs'!AC33)/(1-CP33)), 'Summary, PPI''s'!AC34))</f>
        <v>.</v>
      </c>
      <c r="DG34" s="5">
        <f>IF(DG33=".", ".", IF('Summary, PPI''s'!AD34=".",IF(OR('Summary, hourly ad costs'!AD34=-9999,'Summary, hourly ad costs'!AD34=0), ".", 'Predicted PPIs'!DG33*('Summary, hourly ad costs'!N34/'Summary, hourly ad costs'!AD34)/('Summary, hourly ad costs'!N33/'Summary, hourly ad costs'!AD33)/(1-CQ33)), 'Summary, PPI''s'!AD34))</f>
        <v>63.53855434992839</v>
      </c>
      <c r="DH34" s="5">
        <f>IF(DH33=".", ".", IF('Summary, PPI''s'!AE34=".",IF(OR('Summary, hourly ad costs'!AE34=-9999,'Summary, hourly ad costs'!AE34=0), ".", 'Predicted PPIs'!DH33*('Summary, hourly ad costs'!O34/'Summary, hourly ad costs'!AE34)/('Summary, hourly ad costs'!O33/'Summary, hourly ad costs'!AE33)/(1-CR33)), 'Summary, PPI''s'!AE34))</f>
        <v>45.313754341864723</v>
      </c>
      <c r="DI34" s="5">
        <f>IF(DI33=".", ".", IF('Summary, PPI''s'!AF34=".",IF(OR('Summary, hourly ad costs'!AF34=-9999,'Summary, hourly ad costs'!AF34=0), ".", 'Predicted PPIs'!DI33*('Summary, hourly ad costs'!P34/'Summary, hourly ad costs'!AF34)/('Summary, hourly ad costs'!P33/'Summary, hourly ad costs'!AF33)/(1-CS33)), 'Summary, PPI''s'!AF34))</f>
        <v>54.283758992805765</v>
      </c>
      <c r="DK34" s="4">
        <v>38.99</v>
      </c>
      <c r="DM34" s="5">
        <f t="shared" si="65"/>
        <v>-2.436984788007579E-3</v>
      </c>
      <c r="DN34" s="5">
        <f t="shared" si="66"/>
        <v>-2.436984788007579E-3</v>
      </c>
      <c r="DO34" s="5">
        <f t="shared" si="67"/>
        <v>-2.8276135639346056E-2</v>
      </c>
      <c r="DP34" s="5">
        <f t="shared" si="68"/>
        <v>2.2775681320300167E-2</v>
      </c>
      <c r="DQ34" s="5">
        <f t="shared" si="69"/>
        <v>1.6280806739707554E-2</v>
      </c>
      <c r="DR34" s="5">
        <f t="shared" si="70"/>
        <v>-6.5845450998417432E-3</v>
      </c>
      <c r="DS34" s="5">
        <f t="shared" si="71"/>
        <v>1.591142224322506E-2</v>
      </c>
      <c r="DT34" s="5">
        <f t="shared" si="72"/>
        <v>-1.8180141440597319E-2</v>
      </c>
      <c r="DU34" s="5">
        <f t="shared" si="73"/>
        <v>-3.9368567197185067E-2</v>
      </c>
      <c r="DV34" s="5">
        <f t="shared" si="74"/>
        <v>3.7634690942137672E-2</v>
      </c>
      <c r="DW34" s="4">
        <f t="shared" si="78"/>
        <v>-5.0633702897850824E-2</v>
      </c>
      <c r="DX34" s="4">
        <f t="shared" si="78"/>
        <v>-8.1941100305103459E-2</v>
      </c>
      <c r="DY34" s="5">
        <f t="shared" si="75"/>
        <v>-1.007139982285632E-3</v>
      </c>
      <c r="DZ34" s="5">
        <f t="shared" si="76"/>
        <v>1.5940953852210393E-2</v>
      </c>
      <c r="EA34" s="5">
        <f t="shared" si="77"/>
        <v>-4.0861733124006872E-3</v>
      </c>
      <c r="EC34" s="1">
        <f t="shared" si="35"/>
        <v>82.976793811683123</v>
      </c>
      <c r="ED34" s="1">
        <f t="shared" si="36"/>
        <v>82.976793811683123</v>
      </c>
      <c r="EE34" s="1">
        <f t="shared" si="37"/>
        <v>66.159963758997336</v>
      </c>
      <c r="EF34" s="1">
        <f t="shared" si="38"/>
        <v>42.103481829335351</v>
      </c>
      <c r="EG34" s="1">
        <f t="shared" si="39"/>
        <v>40.804810741793318</v>
      </c>
      <c r="EH34" s="1">
        <f t="shared" si="40"/>
        <v>46.462188077295252</v>
      </c>
      <c r="EI34" s="1">
        <f t="shared" si="41"/>
        <v>46.89</v>
      </c>
      <c r="EJ34" s="1">
        <f t="shared" si="42"/>
        <v>58.080054633939341</v>
      </c>
      <c r="EK34" s="1">
        <f t="shared" si="43"/>
        <v>60.921996609317198</v>
      </c>
      <c r="EL34" s="1">
        <f t="shared" si="44"/>
        <v>39.384741477591866</v>
      </c>
      <c r="EM34" s="1">
        <f t="shared" si="45"/>
        <v>117.59390356682478</v>
      </c>
      <c r="EN34" s="1">
        <f t="shared" si="46"/>
        <v>55.380156026410809</v>
      </c>
      <c r="EO34" s="1">
        <f t="shared" si="47"/>
        <v>63.53855434992839</v>
      </c>
      <c r="EP34" s="1">
        <f t="shared" si="48"/>
        <v>45.313754341864723</v>
      </c>
      <c r="EQ34" s="1">
        <f t="shared" si="49"/>
        <v>54.283758992805765</v>
      </c>
      <c r="ES34" s="1">
        <f>IF(EF$26=".", 0, 'Summary, PPI''s'!E34)+IF(EG$26=".", 0, 'Summary, PPI''s'!F34)+IF(EH$26=".", 0, 'Summary, PPI''s'!G34)+IF(EI$26=".", 0, 'Summary, PPI''s'!H34)+IF(EJ$26=".", 0, 'Summary, PPI''s'!I34)+IF(EK$26=".", 0, 'Summary, PPI''s'!J34)+IF(EL$26=".", 0, 'Summary, PPI''s'!K34)+IF(EM$26=".", 0, 'Summary, PPI''s'!L34)+IF(EN$26=".", 0, 'Summary, PPI''s'!M34)+IF(EC$26=".", 0, 'Summary, PPI''s'!B34)+IF(ED$26=".", 0, 'Summary, PPI''s'!C34)+IF(EE$26=".", 0, 'Summary, PPI''s'!D34)+IF(EO$26=".", 0, 'Summary, PPI''s'!N34)+IF(EP$26=".", 0, 'Summary, PPI''s'!O34)+IF(EQ$26=".", 0, 'Summary, PPI''s'!P34)</f>
        <v>132465824.60381775</v>
      </c>
      <c r="ET34" s="1">
        <f>'Summary, hourly ad costs'!E34+'Summary, hourly ad costs'!F34+'Summary, hourly ad costs'!H34+'Summary, hourly ad costs'!I34+'Summary, hourly ad costs'!J34+'Summary, hourly ad costs'!K34+'Summary, hourly ad costs'!L34+'Summary, hourly ad costs'!M34+'Summary, hourly ad costs'!B34</f>
        <v>67711922.030236647</v>
      </c>
      <c r="EV34" s="13">
        <f>EV33*IF(EF$26=".", 1, (EF34/EF33)^(('Summary, PPI''s'!$E34+'Summary, PPI''s'!$E33)/('Predicted PPIs'!ES34+'Predicted PPIs'!ES33)))*IF(EG$26=".", 1, (EG34/EG33)^(('Summary, PPI''s'!$F34+'Summary, PPI''s'!$F33)/('Predicted PPIs'!ES34+'Predicted PPIs'!ES33)))*IF(EH$26=".", 1, (EH34/EH33)^(('Summary, PPI''s'!$G34+'Summary, PPI''s'!$G33)/('Predicted PPIs'!ES34+'Predicted PPIs'!ES33)))*IF(EI$26=".", 1, (EI34/EI33)^(('Summary, PPI''s'!$H34+'Summary, PPI''s'!$H33)/('Predicted PPIs'!ES34+'Predicted PPIs'!ES33)))*IF(EJ$26=".", 1, (EJ34/EJ33)^(('Summary, PPI''s'!$I34+'Summary, PPI''s'!$I33)/('Predicted PPIs'!ES34+'Predicted PPIs'!ES33)))*IF(EK$26=".", 1, (EK34/EK33)^(('Summary, PPI''s'!$J34+'Summary, PPI''s'!$J33)/('Predicted PPIs'!ES34+'Predicted PPIs'!ES33)))*IF(EL$26=".", 1, (EL34/EL33)^(('Summary, PPI''s'!$K34+'Summary, PPI''s'!$K33)/('Predicted PPIs'!ES34+'Predicted PPIs'!ES33)))*IF(EM$26=".", 1, (EM34/EM33)^(('Summary, PPI''s'!$L34+'Summary, PPI''s'!$L33)/('Predicted PPIs'!ES34+'Predicted PPIs'!ES33)))*IF(EN$26=".", 1, (EN34/EN33)^(('Summary, PPI''s'!$M34+'Summary, PPI''s'!$M33)/('Predicted PPIs'!ES34+'Predicted PPIs'!ES33)))*IF(EC$26=".", 1, (EC34/EC33)^(('Summary, PPI''s'!$B34+'Summary, PPI''s'!$B33)/('Predicted PPIs'!ES34+'Predicted PPIs'!ES33)))*IF(ED$26=".", 1, (ED34/ED33)^(('Summary, PPI''s'!$C34+'Summary, PPI''s'!$C33)/('Predicted PPIs'!ES34+'Predicted PPIs'!ES33)))*IF(EE$26=".", 1, (EE34/EE33)^(('Summary, PPI''s'!$D34+'Summary, PPI''s'!$D33)/('Predicted PPIs'!ES34+'Predicted PPIs'!ES33)))*IF(EO$26=".", 1, (EO34/EO33)^(('Summary, PPI''s'!$N34+'Summary, PPI''s'!$N33)/('Predicted PPIs'!ES34+'Predicted PPIs'!ES33)))*IF(EP$26=".", 1, (EP34/EP33)^(('Summary, PPI''s'!$O34+'Summary, PPI''s'!$O33)/('Predicted PPIs'!ES34+'Predicted PPIs'!ES33)))*IF(EQ$26=".", 1, (EQ34/EQ33)^(('Summary, PPI''s'!$P34+'Summary, PPI''s'!$P33)/('Predicted PPIs'!ES34+'Predicted PPIs'!ES33)))</f>
        <v>62.87922342206064</v>
      </c>
      <c r="EW34" s="13">
        <f>EW33*IF(EF$26=".", 1, (EF34/EF33)^(('Summary, PPI''s'!$E34+'Summary, PPI''s'!$E33)/('Predicted PPIs'!ET34+'Predicted PPIs'!ET33)))*IF(EG$26=".", 1, (EG34/EG33)^(('Summary, PPI''s'!$F34+'Summary, PPI''s'!$F33)/('Predicted PPIs'!ET34+'Predicted PPIs'!ET33)))*IF(EH$26=".", 1, (EH34/EH33)^(('Summary, PPI''s'!$G34+'Summary, PPI''s'!$G33)/('Predicted PPIs'!ET34+'Predicted PPIs'!ET33)))*IF(EK$26=".", 1, (EK34/EK33)^(('Summary, PPI''s'!$J34+'Summary, PPI''s'!$J33)/('Predicted PPIs'!ET34+'Predicted PPIs'!ET33)))*IF(EL$26=".", 1, (EL34/EL33)^(('Summary, PPI''s'!$K34+'Summary, PPI''s'!$K33)/('Predicted PPIs'!ET34+'Predicted PPIs'!ET33)))*IF(EM$26=".", 1, (EM34/EM33)^(('Summary, PPI''s'!$L34+'Summary, PPI''s'!$L33)/('Predicted PPIs'!ET34+'Predicted PPIs'!ET33)))*IF(EN$26=".", 1, (EN34/EN33)^(('Summary, PPI''s'!$M34+'Summary, PPI''s'!$M33)/('Predicted PPIs'!ET34+'Predicted PPIs'!ET33)))*IF(EC$26=".", 1, (EC34/EC33)^(('Summary, PPI''s'!$B34+'Summary, PPI''s'!$B33)/('Predicted PPIs'!ET34+'Predicted PPIs'!ET33)))</f>
        <v>64.506154917291113</v>
      </c>
      <c r="EY34" s="2"/>
    </row>
    <row r="35" spans="1:155" x14ac:dyDescent="0.3">
      <c r="A35" s="4">
        <v>1988</v>
      </c>
      <c r="B35" s="10">
        <f>IF(B34=".", ".", IF('Summary, PPI''s'!R35=".",IF(OR('Summary, hourly ad costs'!R35=-9999,'Summary, hourly ad costs'!R35=0), ".", 'Predicted PPIs'!B34*('Summary, hourly ad costs'!B35/'Summary, hourly ad costs'!R35)/('Summary, hourly ad costs'!B34/'Summary, hourly ad costs'!R34)), 'Summary, PPI''s'!R35))</f>
        <v>78.970392104561228</v>
      </c>
      <c r="C35" s="10">
        <f>IF(C34=".", ".", IF('Summary, PPI''s'!S35=".",IF(OR('Summary, hourly ad costs'!S35=-9999,'Summary, hourly ad costs'!S35=0), ".", 'Predicted PPIs'!C34*('Summary, hourly ad costs'!C35/'Summary, hourly ad costs'!S35)/('Summary, hourly ad costs'!C34/'Summary, hourly ad costs'!S34)), 'Summary, PPI''s'!S35))</f>
        <v>78.970392104561228</v>
      </c>
      <c r="D35" s="10">
        <f>IF(D34=".", ".", IF('Summary, PPI''s'!T35=".",IF(OR('Summary, hourly ad costs'!T35=-9999,'Summary, hourly ad costs'!T35=0), ".", 'Predicted PPIs'!D34*('Summary, hourly ad costs'!D35/'Summary, hourly ad costs'!T35)/('Summary, hourly ad costs'!D34/'Summary, hourly ad costs'!T34)), 'Summary, PPI''s'!T35))</f>
        <v>64.639855035989342</v>
      </c>
      <c r="E35" s="10">
        <f>IF(E34=".", ".", IF('Summary, PPI''s'!U35=".",IF(OR('Summary, hourly ad costs'!U35=-9999,'Summary, hourly ad costs'!U35=0), ".", 'Predicted PPIs'!E34*('Summary, hourly ad costs'!E35/'Summary, hourly ad costs'!U35)/('Summary, hourly ad costs'!E34/'Summary, hourly ad costs'!U34)), 'Summary, PPI''s'!U35))</f>
        <v>39.08279392477894</v>
      </c>
      <c r="F35" s="10">
        <f>IF(F34=".", ".", IF('Summary, PPI''s'!V35=".",IF(OR('Summary, hourly ad costs'!V35=-9999,'Summary, hourly ad costs'!V35=0), ".", 'Predicted PPIs'!F34*('Summary, hourly ad costs'!F35/'Summary, hourly ad costs'!V35)/('Summary, hourly ad costs'!F34/'Summary, hourly ad costs'!V34)), 'Summary, PPI''s'!V35))</f>
        <v>38.11936241196095</v>
      </c>
      <c r="G35" s="10">
        <f>IF(G34=".", ".", IF('Summary, PPI''s'!W35=".",IF(OR('Summary, hourly ad costs'!W35=-9999,'Summary, hourly ad costs'!W35=0), ".", 'Predicted PPIs'!G34*('Summary, hourly ad costs'!G35/'Summary, hourly ad costs'!W35)/('Summary, hourly ad costs'!G34/'Summary, hourly ad costs'!W34)), 'Summary, PPI''s'!W35))</f>
        <v>44.403451575841096</v>
      </c>
      <c r="H35" s="10">
        <f>IF(H34=".", ".", IF('Summary, PPI''s'!X35=".",IF(OR('Summary, hourly ad costs'!X35=-9999,'Summary, hourly ad costs'!X35=0), ".", 'Predicted PPIs'!H34*('Summary, hourly ad costs'!H35/'Summary, hourly ad costs'!X35)/('Summary, hourly ad costs'!H34/'Summary, hourly ad costs'!X34)), 'Summary, PPI''s'!X35))</f>
        <v>43.82</v>
      </c>
      <c r="I35" s="10">
        <f>IF(I34=".", ".", IF('Summary, PPI''s'!Y35=".",IF(OR('Summary, hourly ad costs'!Y35=-9999,'Summary, hourly ad costs'!Y35=0), ".", 'Predicted PPIs'!I34*('Summary, hourly ad costs'!I35/'Summary, hourly ad costs'!Y35)/('Summary, hourly ad costs'!I34/'Summary, hourly ad costs'!Y34)), 'Summary, PPI''s'!Y35))</f>
        <v>56.16208053814676</v>
      </c>
      <c r="J35" s="10">
        <f>IF(J34=".", ".", IF('Summary, PPI''s'!Z35=".",IF(OR('Summary, hourly ad costs'!Z35=-9999,'Summary, hourly ad costs'!Z35=0), ".", 'Predicted PPIs'!J34*('Summary, hourly ad costs'!J35/'Summary, hourly ad costs'!Z35)/('Summary, hourly ad costs'!J34/'Summary, hourly ad costs'!Z34)), 'Summary, PPI''s'!Z35))</f>
        <v>60.209541329288946</v>
      </c>
      <c r="K35" s="10">
        <f>IF(K34=".", ".", IF('Summary, PPI''s'!AA35=".",IF(OR('Summary, hourly ad costs'!AA35=-9999,'Summary, hourly ad costs'!AA35=0), ".", 'Predicted PPIs'!K34*('Summary, hourly ad costs'!K35/'Summary, hourly ad costs'!AA35)/('Summary, hourly ad costs'!K34/'Summary, hourly ad costs'!AA34)), 'Summary, PPI''s'!AA35))</f>
        <v>40.076085131540459</v>
      </c>
      <c r="L35" s="10" t="str">
        <f>IF(L34=".", ".", IF('Summary, PPI''s'!AB35=".",IF(OR('Summary, hourly ad costs'!AB35=-9999,'Summary, hourly ad costs'!AB35=0), ".", 'Predicted PPIs'!L34*('Summary, hourly ad costs'!L35/'Summary, hourly ad costs'!AB35)/('Summary, hourly ad costs'!L34/'Summary, hourly ad costs'!AB34)), 'Summary, PPI''s'!AB35))</f>
        <v>.</v>
      </c>
      <c r="M35" s="10" t="str">
        <f>IF(M34=".", ".", IF('Summary, PPI''s'!AC35=".",IF(OR('Summary, hourly ad costs'!AC35=-9999,'Summary, hourly ad costs'!AC35=0), ".", 'Predicted PPIs'!M34*('Summary, hourly ad costs'!M35/'Summary, hourly ad costs'!AC35)/('Summary, hourly ad costs'!M34/'Summary, hourly ad costs'!AC34)), 'Summary, PPI''s'!AC35))</f>
        <v>.</v>
      </c>
      <c r="N35" s="10">
        <f>IF(N34=".", ".", IF('Summary, PPI''s'!AD35=".",IF(OR('Summary, hourly ad costs'!AD35=-9999,'Summary, hourly ad costs'!AD35=0), ".", 'Predicted PPIs'!N34*('Summary, hourly ad costs'!N35/'Summary, hourly ad costs'!AD35)/('Summary, hourly ad costs'!N34/'Summary, hourly ad costs'!AD34)), 'Summary, PPI''s'!AD35))</f>
        <v>60.384146048779577</v>
      </c>
      <c r="O35" s="10">
        <f>IF(O34=".", ".", IF('Summary, PPI''s'!AE35=".",IF(OR('Summary, hourly ad costs'!AE35=-9999,'Summary, hourly ad costs'!AE35=0), ".", 'Predicted PPIs'!O34*('Summary, hourly ad costs'!O35/'Summary, hourly ad costs'!AE35)/('Summary, hourly ad costs'!O34/'Summary, hourly ad costs'!AE34)), 'Summary, PPI''s'!AE35))</f>
        <v>42.345723948811703</v>
      </c>
      <c r="P35" s="10">
        <f>IF(P34=".", ".", IF('Summary, PPI''s'!AF35=".",IF(OR('Summary, hourly ad costs'!AF35=-9999,'Summary, hourly ad costs'!AF35=0), ".", 'Predicted PPIs'!P34*('Summary, hourly ad costs'!P35/'Summary, hourly ad costs'!AF35)/('Summary, hourly ad costs'!P34/'Summary, hourly ad costs'!AF34)), 'Summary, PPI''s'!AF35))</f>
        <v>51.748305755395691</v>
      </c>
      <c r="R35" s="1">
        <f>IF(E$26=".", 0, 'Summary, PPI''s'!E35)+IF(F$26=".", 0, 'Summary, PPI''s'!F35)+IF(G$26=".", 0, 'Summary, PPI''s'!G35)+IF(H$26=".", 0, 'Summary, PPI''s'!H35)+IF(I$26=".", 0, 'Summary, PPI''s'!I35)+IF(J$26=".", 0, 'Summary, PPI''s'!J35)+IF(K$26=".", 0, 'Summary, PPI''s'!K35)+IF(L$26=".", 0, 'Summary, PPI''s'!L35)+IF(M$26=".", 0, 'Summary, PPI''s'!M35)+IF(B$26=".", 0, 'Summary, PPI''s'!B35)+IF(C$26=".", 0, 'Summary, PPI''s'!C35)+IF(D$26=".", 0, 'Summary, PPI''s'!D35)+IF(N$26=".", 0, 'Summary, PPI''s'!N35)+IF(O$26=".", 0, 'Summary, PPI''s'!O35)+IF(P$26=".", 0, 'Summary, PPI''s'!P35)</f>
        <v>123436884.71601245</v>
      </c>
      <c r="S35" s="1">
        <f>IF(E$36=".", 0, 'Summary, PPI''s'!E35)+IF(F$36=".", 0, 'Summary, PPI''s'!F35)+IF(G$36=".", 0, 'Summary, PPI''s'!G35)+IF(H$36=".", 0, 'Summary, PPI''s'!H35)+IF(I$36=".", 0, 'Summary, PPI''s'!I35)+IF(J$36=".", 0, 'Summary, PPI''s'!J35)+IF(K$36=".", 0, 'Summary, PPI''s'!K35)+IF(L$36=".", 0, 'Summary, PPI''s'!L35)+IF(M$36=".", 0, 'Summary, PPI''s'!M35)+IF(B$36=".", 0, 'Summary, PPI''s'!B35)+IF(C$36=".", 0, 'Summary, PPI''s'!C35)+IF(D$36=".", 0, 'Summary, PPI''s'!D35)+IF(N$36=".", 0, 'Summary, PPI''s'!N35)+IF(O$36=".", 0, 'Summary, PPI''s'!O35)+IF(P$36=".", 0, 'Summary, PPI''s'!P35)</f>
        <v>123436884.71601245</v>
      </c>
      <c r="T35" s="1">
        <f>IF(E$46=".", 0, 'Summary, PPI''s'!E35)+IF(F$46=".", 0, 'Summary, PPI''s'!F35)+IF(G$46=".", 0, 'Summary, PPI''s'!G35)+IF(H$46=".", 0, 'Summary, PPI''s'!H35)+IF(I$46=".", 0, 'Summary, PPI''s'!I35)+IF(J$46=".", 0, 'Summary, PPI''s'!J35)+IF(K$46=".", 0, 'Summary, PPI''s'!K35)+IF(L$46=".", 0, 'Summary, PPI''s'!L35)+IF(M$46=".", 0, 'Summary, PPI''s'!M35)+IF(B$46=".", 0, 'Summary, PPI''s'!B35)+IF(C$46=".", 0, 'Summary, PPI''s'!C35)+IF(D$46=".", 0, 'Summary, PPI''s'!D35)+IF(N$46=".", 0, 'Summary, PPI''s'!N35)+IF(O$46=".", 0, 'Summary, PPI''s'!O35)+IF(P$46=".", 0, 'Summary, PPI''s'!P35)</f>
        <v>87565702.672240049</v>
      </c>
      <c r="U35" s="1">
        <f>IF(E$60=".", 0, 'Summary, PPI''s'!E35)+IF(F$60=".", 0, 'Summary, PPI''s'!F35)+IF(G$60=".", 0, 'Summary, PPI''s'!G35)+IF(H$60=".", 0, 'Summary, PPI''s'!H35)+IF(I$60=".", 0, 'Summary, PPI''s'!I35)+IF(J$60=".", 0, 'Summary, PPI''s'!J35)+IF(K$60=".", 0, 'Summary, PPI''s'!K35)+IF(L$60=".", 0, 'Summary, PPI''s'!L35)+IF(M$60=".", 0, 'Summary, PPI''s'!M35)+IF(B$60=".", 0, 'Summary, PPI''s'!B35)+IF(C$60=".", 0, 'Summary, PPI''s'!C35)+IF(D$60=".", 0, 'Summary, PPI''s'!D35)+IF(N$60=".", 0, 'Summary, PPI''s'!N35)+IF(O$60=".", 0, 'Summary, PPI''s'!O35)+IF(P$60=".", 0, 'Summary, PPI''s'!P35)</f>
        <v>79286888.474727556</v>
      </c>
      <c r="V35" s="1">
        <f>IF(E$73=".", 0, 'Summary, PPI''s'!E35)+IF(F$73=".", 0, 'Summary, PPI''s'!F35)+IF(G$73=".", 0, 'Summary, PPI''s'!G35)+IF(H$73=".", 0, 'Summary, PPI''s'!H35)+IF(I$73=".", 0, 'Summary, PPI''s'!I35)+IF(J$73=".", 0, 'Summary, PPI''s'!J35)+IF(K$73=".", 0, 'Summary, PPI''s'!K35)+IF(L$73=".", 0, 'Summary, PPI''s'!L35)+IF(M$73=".", 0, 'Summary, PPI''s'!M35)+IF(B$73=".", 0, 'Summary, PPI''s'!B35)+IF(C$73=".", 0, 'Summary, PPI''s'!C35)+IF(D$73=".", 0, 'Summary, PPI''s'!D35)+IF(N$73=".", 0, 'Summary, PPI''s'!N35)+IF(O$73=".", 0, 'Summary, PPI''s'!O35)+IF(P$73=".", 0, 'Summary, PPI''s'!P35)</f>
        <v>62078992.208558239</v>
      </c>
      <c r="W35" s="1">
        <f>IF(E$94=".",0,'Summary, PPI''s'!E35)+IF(F$94=".",0,'Summary, PPI''s'!F35)+IF(G$94=".",0,'Summary, PPI''s'!G35)+IF(H$94=".",0,'Summary, PPI''s'!H35)+IF(I$94=".",0,'Summary, PPI''s'!I35)+IF(J$94=".",0,'Summary, PPI''s'!J35)+IF(K$94=".",0,'Summary, PPI''s'!K35)+IF(L$94=".",0,'Summary, PPI''s'!L35)+IF(M$94=".",0,'Summary, PPI''s'!M35)+IF(B$94=".",0,'Summary, PPI''s'!B35)+IF(C$94=".",0,'Summary, PPI''s'!C35)+IF(D$94=".",0,'Summary, PPI''s'!D35)+IF(N$94=".",0,'Summary, PPI''s'!N35)+IF(O$94=".",0,'Summary, PPI''s'!O35)+IF(P$94=".",0,'Summary, PPI''s'!P35)</f>
        <v>44879756.23084151</v>
      </c>
      <c r="X35" s="1">
        <f>IF(E$123=".", 0, 'Summary, PPI''s'!E35)+IF(F$123=".", 0, 'Summary, PPI''s'!F35)+IF(G$123=".", 0, 'Summary, PPI''s'!G35)+IF(H$123=".", 0, 'Summary, PPI''s'!H35)+IF(I$123=".", 0, 'Summary, PPI''s'!I35)+IF(J$123=".", 0, 'Summary, PPI''s'!J35)+IF(K$123=".", 0, 'Summary, PPI''s'!K35)+IF(L$123=".", 0, 'Summary, PPI''s'!L35)+IF(M$123=".", 0, 'Summary, PPI''s'!M35)+IF(B$123=".", 0, 'Summary, PPI''s'!B35)+IF(C$123=".", 0, 'Summary, PPI''s'!C35)+IF(D$123=".", 0, 'Summary, PPI''s'!D35)+IF(N$123=".", 0, 'Summary, PPI''s'!N35)+IF(O$123=".", 0, 'Summary, PPI''s'!O35)+IF(P$123=".", 0, 'Summary, PPI''s'!P35)</f>
        <v>38593559.009736583</v>
      </c>
      <c r="Z35" s="4" t="e">
        <f>Z34*IF(E$26=".", 1, (E35/E34)^(('Summary, PPI''s'!$E35+'Summary, PPI''s'!$E34)/('Predicted PPIs'!R35+'Predicted PPIs'!R34)))*IF(F$26=".", 1, (F35/F34)^(('Summary, PPI''s'!$F35+'Summary, PPI''s'!$F34)/('Predicted PPIs'!R35+'Predicted PPIs'!R34)))*IF(G$26=".", 1, (G35/G34)^(('Summary, PPI''s'!$G35+'Summary, PPI''s'!$G34)/('Predicted PPIs'!R35+'Predicted PPIs'!R34)))*IF(H$26=".", 1, (H35/H34)^(('Summary, PPI''s'!$H35+'Summary, PPI''s'!$H34)/('Predicted PPIs'!R35+'Predicted PPIs'!R34)))*IF(I$26=".", 1, (I35/I34)^(('Summary, PPI''s'!$I35+'Summary, PPI''s'!$I34)/('Predicted PPIs'!R35+'Predicted PPIs'!R34)))*IF(J$26=".", 1, (J35/J34)^(('Summary, PPI''s'!$J35+'Summary, PPI''s'!$J34)/('Predicted PPIs'!R35+'Predicted PPIs'!R34)))*IF(K$26=".", 1, (K35/K34)^(('Summary, PPI''s'!$K35+'Summary, PPI''s'!$K34)/('Predicted PPIs'!R35+'Predicted PPIs'!R34)))*IF(L$26=".", 1, (L35/L34)^(('Summary, PPI''s'!$L35+'Summary, PPI''s'!$L34)/('Predicted PPIs'!R35+'Predicted PPIs'!R34)))*IF(M$26=".", 1, (M35/M34)^(('Summary, PPI''s'!$M35+'Summary, PPI''s'!$M34)/('Predicted PPIs'!R35+'Predicted PPIs'!R34)))*IF(B$26=".", 1, (B35/B34)^(('Summary, PPI''s'!$B35+'Summary, PPI''s'!$B34)/('Predicted PPIs'!R35+'Predicted PPIs'!R34)))*IF(C$26=".", 1, (C35/C34)^(('Summary, PPI''s'!$C35+'Summary, PPI''s'!$C34)/('Predicted PPIs'!R35+'Predicted PPIs'!R34)))*IF(D$26=".", 1, (D35/D34)^(('Summary, PPI''s'!$D35+'Summary, PPI''s'!$D34)/('Predicted PPIs'!R35+'Predicted PPIs'!R34)))*IF(N$26=".", 1, (N35/N34)^(('Summary, PPI''s'!$N35+'Summary, PPI''s'!$N34)/('Predicted PPIs'!R35+'Predicted PPIs'!R34)))*IF(O$26=".", 1, (O35/O34)^(('Summary, PPI''s'!$O35+'Summary, PPI''s'!$O34)/('Predicted PPIs'!R35+'Predicted PPIs'!R34)))*IF(P$26=".", 1, (P35/P34)^(('Summary, PPI''s'!$P35+'Summary, PPI''s'!$P34)/('Predicted PPIs'!R35+'Predicted PPIs'!R34)))</f>
        <v>#VALUE!</v>
      </c>
      <c r="AA35" s="4">
        <f>AA34*IF(E$36=".", 1, (E35/E34)^(('Summary, PPI''s'!$E35+'Summary, PPI''s'!$E34)/('Predicted PPIs'!S35+'Predicted PPIs'!S34)))*IF(F$36=".", 1, (F35/F34)^(('Summary, PPI''s'!$F35+'Summary, PPI''s'!$F34)/('Predicted PPIs'!S35+'Predicted PPIs'!S34)))*IF(G$36=".", 1, (G35/G34)^(('Summary, PPI''s'!$G35+'Summary, PPI''s'!$G34)/('Predicted PPIs'!S35+'Predicted PPIs'!S34)))*IF(H$36=".", 1, (H35/H34)^(('Summary, PPI''s'!$H35+'Summary, PPI''s'!$H34)/('Predicted PPIs'!S35+'Predicted PPIs'!S34)))*IF(I$36=".", 1, (I35/I34)^(('Summary, PPI''s'!$I35+'Summary, PPI''s'!$I34)/('Predicted PPIs'!S35+'Predicted PPIs'!S34)))*IF(J$36=".", 1, (J35/J34)^(('Summary, PPI''s'!$J35+'Summary, PPI''s'!$J34)/('Predicted PPIs'!S35+'Predicted PPIs'!S34)))*IF(K$36=".", 1, (K35/K34)^(('Summary, PPI''s'!$K35+'Summary, PPI''s'!$K34)/('Predicted PPIs'!S35+'Predicted PPIs'!S34)))*IF(L$36=".", 1, (L35/L34)^(('Summary, PPI''s'!$L35+'Summary, PPI''s'!$L34)/('Predicted PPIs'!S35+'Predicted PPIs'!S34)))*IF(M$36=".", 1, (M35/M34)^(('Summary, PPI''s'!$M35+'Summary, PPI''s'!$M34)/('Predicted PPIs'!S35+'Predicted PPIs'!S34)))*IF(B$36=".", 1, (B35/B34)^(('Summary, PPI''s'!$B35+'Summary, PPI''s'!$B34)/('Predicted PPIs'!S35+'Predicted PPIs'!S34)))*IF(C$36=".", 1, (C35/C34)^(('Summary, PPI''s'!$C35+'Summary, PPI''s'!$C34)/('Predicted PPIs'!S35+'Predicted PPIs'!S34)))*IF(D$36=".", 1, (D35/D34)^(('Summary, PPI''s'!$D35+'Summary, PPI''s'!$D34)/('Predicted PPIs'!S35+'Predicted PPIs'!S34)))*IF(N$36=".", 1, (N35/N34)^(('Summary, PPI''s'!$N35+'Summary, PPI''s'!$N34)/('Predicted PPIs'!S35+'Predicted PPIs'!S34)))*IF(O$36=".", 1, (O35/O34)^(('Summary, PPI''s'!$O35+'Summary, PPI''s'!$O34)/('Predicted PPIs'!S35+'Predicted PPIs'!S34)))*IF(P$36=".", 1, (P35/P34)^(('Summary, PPI''s'!$P35+'Summary, PPI''s'!$P34)/('Predicted PPIs'!S35+'Predicted PPIs'!S34)))</f>
        <v>50.377280168872339</v>
      </c>
      <c r="AB35" s="4">
        <f>AB34*IF(E$46=".", 1, (E35/E34)^(('Summary, PPI''s'!$E35+'Summary, PPI''s'!$E34)/('Predicted PPIs'!T35+'Predicted PPIs'!T34)))*IF(F$46=".", 1, (F35/F34)^(('Summary, PPI''s'!$F35+'Summary, PPI''s'!$F34)/('Predicted PPIs'!T35+'Predicted PPIs'!T34)))*IF(G$46=".", 1, (G35/G34)^(('Summary, PPI''s'!$G35+'Summary, PPI''s'!$G34)/('Predicted PPIs'!T35+'Predicted PPIs'!T34)))*IF(H$46=".", 1, (H35/H34)^(('Summary, PPI''s'!$H35+'Summary, PPI''s'!$H34)/('Predicted PPIs'!T35+'Predicted PPIs'!T34)))*IF(I$46=".", 1, (I35/I34)^(('Summary, PPI''s'!$I35+'Summary, PPI''s'!$I34)/('Predicted PPIs'!T35+'Predicted PPIs'!T34)))*IF(J$46=".", 1, (J35/J34)^(('Summary, PPI''s'!$J35+'Summary, PPI''s'!$J34)/('Predicted PPIs'!T35+'Predicted PPIs'!T34)))*IF(K$46=".", 1, (K35/K34)^(('Summary, PPI''s'!$K35+'Summary, PPI''s'!$K34)/('Predicted PPIs'!T35+'Predicted PPIs'!T34)))*IF(L$46=".", 1, (L35/L34)^(('Summary, PPI''s'!$L35+'Summary, PPI''s'!$L34)/('Predicted PPIs'!T35+'Predicted PPIs'!T34)))*IF(M$46=".", 1, (M35/M34)^(('Summary, PPI''s'!$M35+'Summary, PPI''s'!$M34)/('Predicted PPIs'!T35+'Predicted PPIs'!T34)))*IF(B$46=".", 1, (B35/B34)^(('Summary, PPI''s'!$B35+'Summary, PPI''s'!$B34)/('Predicted PPIs'!T35+'Predicted PPIs'!T34)))*IF(C$46=".", 1, (C35/C34)^(('Summary, PPI''s'!$C35+'Summary, PPI''s'!$C34)/('Predicted PPIs'!T35+'Predicted PPIs'!T34)))*IF(D$46=".", 1, (D35/D34)^(('Summary, PPI''s'!$D35+'Summary, PPI''s'!$D34)/('Predicted PPIs'!T35+'Predicted PPIs'!T34)))*IF(N$46=".", 1, (N35/N34)^(('Summary, PPI''s'!$N35+'Summary, PPI''s'!$N34)/('Predicted PPIs'!T35+'Predicted PPIs'!T34)))*IF(O$46=".", 1, (O35/O34)^(('Summary, PPI''s'!$O35+'Summary, PPI''s'!$O34)/('Predicted PPIs'!T35+'Predicted PPIs'!T34)))*IF(P$46=".", 1, (P35/P34)^(('Summary, PPI''s'!$P35+'Summary, PPI''s'!$P34)/('Predicted PPIs'!T35+'Predicted PPIs'!T34)))</f>
        <v>47.967183616344734</v>
      </c>
      <c r="AC35" s="4">
        <f>AC34*IF(E$60=".",1,(E35/E34)^(('Summary, PPI''s'!$E35+'Summary, PPI''s'!$E34)/('Predicted PPIs'!U35+'Predicted PPIs'!U34)))*IF(F$60=".",1,(F35/F34)^(('Summary, PPI''s'!$F35+'Summary, PPI''s'!$F34)/('Predicted PPIs'!U35+'Predicted PPIs'!U34)))*IF(G$60=".",1,(G35/G34)^(('Summary, PPI''s'!$G35+'Summary, PPI''s'!$G34)/('Predicted PPIs'!U35+'Predicted PPIs'!U34)))*IF(H$60=".",1,(H35/H34)^(('Summary, PPI''s'!$H35+'Summary, PPI''s'!$H34)/('Predicted PPIs'!U35+'Predicted PPIs'!U34)))*IF(I$60=".",1,(I35/I34)^(('Summary, PPI''s'!$I35+'Summary, PPI''s'!$I34)/('Predicted PPIs'!U35+'Predicted PPIs'!U34)))*IF(J$60=".",1,(J35/J34)^(('Summary, PPI''s'!$J35+'Summary, PPI''s'!$J34)/('Predicted PPIs'!U35+'Predicted PPIs'!U34)))*IF(K$60=".",1,(K35/K34)^(('Summary, PPI''s'!$K35+'Summary, PPI''s'!$K34)/('Predicted PPIs'!U35+'Predicted PPIs'!U34)))*IF(L$60=".",1,(L35/L34)^(('Summary, PPI''s'!$L35+'Summary, PPI''s'!$L34)/('Predicted PPIs'!U35+'Predicted PPIs'!U34)))*IF(M$60=".",1,(M35/M34)^(('Summary, PPI''s'!$M35+'Summary, PPI''s'!$M34)/('Predicted PPIs'!U35+'Predicted PPIs'!U34)))*IF(B$60=".",1,(B35/B34)^(('Summary, PPI''s'!$B35+'Summary, PPI''s'!$B34)/('Predicted PPIs'!U35+'Predicted PPIs'!U34)))*IF(C$60=".",1,(C35/C34)^(('Summary, PPI''s'!$C35+'Summary, PPI''s'!$C34)/('Predicted PPIs'!U35+'Predicted PPIs'!U34)))*IF(D$60=".",1,(D35/D34)^(('Summary, PPI''s'!$D35+'Summary, PPI''s'!$D34)/('Predicted PPIs'!U35+'Predicted PPIs'!U34)))*IF(N$60=".",1,(N35/N34)^(('Summary, PPI''s'!$N35+'Summary, PPI''s'!$N34)/('Predicted PPIs'!U35+'Predicted PPIs'!U34)))*IF(O$60=".",1,(O35/O34)^(('Summary, PPI''s'!$O35+'Summary, PPI''s'!$O34)/('Predicted PPIs'!U35+'Predicted PPIs'!U34)))*IF(P$60=".",1,(P35/P34)^(('Summary, PPI''s'!$P35+'Summary, PPI''s'!$P34)/('Predicted PPIs'!U35+'Predicted PPIs'!U34)))</f>
        <v>52.287807842593715</v>
      </c>
      <c r="AD35" s="4">
        <f>AD34*IF(E$73=".", 1, (E35/E34)^(('Summary, PPI''s'!$E35+'Summary, PPI''s'!$E34)/('Predicted PPIs'!V35+'Predicted PPIs'!V34)))*IF(F$73=".", 1, (F35/F34)^(('Summary, PPI''s'!$F35+'Summary, PPI''s'!$F34)/('Predicted PPIs'!V35+'Predicted PPIs'!V34)))*IF(G$73=".", 1, (G35/G34)^(('Summary, PPI''s'!$G35+'Summary, PPI''s'!$G34)/('Predicted PPIs'!V35+'Predicted PPIs'!V34)))*IF(H$73=".", 1, (H35/H34)^(('Summary, PPI''s'!$H35+'Summary, PPI''s'!$H34)/('Predicted PPIs'!V35+'Predicted PPIs'!V34)))*IF(I$73=".", 1, (I35/I34)^(('Summary, PPI''s'!$I35+'Summary, PPI''s'!$I34)/('Predicted PPIs'!V35+'Predicted PPIs'!V34)))*IF(J$73=".", 1, (J35/J34)^(('Summary, PPI''s'!$J35+'Summary, PPI''s'!$J34)/('Predicted PPIs'!V35+'Predicted PPIs'!V34)))*IF(K$73=".", 1, (K35/K34)^(('Summary, PPI''s'!$K35+'Summary, PPI''s'!$K34)/('Predicted PPIs'!V35+'Predicted PPIs'!V34)))*IF(L$73=".", 1, (L35/L34)^(('Summary, PPI''s'!$L35+'Summary, PPI''s'!$L34)/('Predicted PPIs'!V35+'Predicted PPIs'!V34)))*IF(M$73=".", 1, (M35/M34)^(('Summary, PPI''s'!$M35+'Summary, PPI''s'!$M34)/('Predicted PPIs'!V35+'Predicted PPIs'!V34)))*IF(B$73=".", 1, (B35/B34)^(('Summary, PPI''s'!$B35+'Summary, PPI''s'!$B34)/('Predicted PPIs'!V35+'Predicted PPIs'!V34)))*IF(C$73=".", 1, (C35/C34)^(('Summary, PPI''s'!$C35+'Summary, PPI''s'!$C34)/('Predicted PPIs'!V35+'Predicted PPIs'!V34)))*IF(D$73=".", 1, (D35/D34)^(('Summary, PPI''s'!$D35+'Summary, PPI''s'!$D34)/('Predicted PPIs'!V35+'Predicted PPIs'!V34)))*IF(N$73=".", 1, (N35/N34)^(('Summary, PPI''s'!$N35+'Summary, PPI''s'!$N34)/('Predicted PPIs'!V35+'Predicted PPIs'!V34)))*IF(O$73=".", 1, (O35/O34)^(('Summary, PPI''s'!$O35+'Summary, PPI''s'!$O34)/('Predicted PPIs'!V35+'Predicted PPIs'!V34)))*IF(P$73=".", 1, (P35/P34)^(('Summary, PPI''s'!$P35+'Summary, PPI''s'!$P34)/('Predicted PPIs'!V35+'Predicted PPIs'!V34)))</f>
        <v>50.481446278314102</v>
      </c>
      <c r="AE35" s="4">
        <f>AE34*IF(E$94=".", 1, (E35/E34)^(('Summary, PPI''s'!$E35+'Summary, PPI''s'!$E34)/('Predicted PPIs'!W35+'Predicted PPIs'!W34)))*IF(F$94=".", 1, (F35/F34)^(('Summary, PPI''s'!$F35+'Summary, PPI''s'!$F34)/('Predicted PPIs'!W35+'Predicted PPIs'!W34)))*IF(G$94=".", 1, (G35/G34)^(('Summary, PPI''s'!$G35+'Summary, PPI''s'!$G34)/('Predicted PPIs'!W35+'Predicted PPIs'!W34)))*IF(H$94=".", 1, (H35/H34)^(('Summary, PPI''s'!$H35+'Summary, PPI''s'!$H34)/('Predicted PPIs'!W35+'Predicted PPIs'!W34)))*IF(I$94=".", 1, (I35/I34)^(('Summary, PPI''s'!$I35+'Summary, PPI''s'!$I34)/('Predicted PPIs'!W35+'Predicted PPIs'!W34)))*IF(J$94=".", 1, (J35/J34)^(('Summary, PPI''s'!$J35+'Summary, PPI''s'!$J34)/('Predicted PPIs'!W35+'Predicted PPIs'!W34)))*IF(K$94=".", 1, (K35/K34)^(('Summary, PPI''s'!$K35+'Summary, PPI''s'!$K34)/('Predicted PPIs'!W35+'Predicted PPIs'!W34)))*IF(L$94=".", 1, (L35/L34)^(('Summary, PPI''s'!$L35+'Summary, PPI''s'!$L34)/('Predicted PPIs'!W35+'Predicted PPIs'!W34)))*IF(M$94=".", 1, (M35/M34)^(('Summary, PPI''s'!$M35+'Summary, PPI''s'!$M34)/('Predicted PPIs'!W35+'Predicted PPIs'!W34)))*IF(B$94=".", 1, (B35/B34)^(('Summary, PPI''s'!$B35+'Summary, PPI''s'!$B34)/('Predicted PPIs'!W35+'Predicted PPIs'!W34)))*IF(C$94=".", 1, (C35/C34)^(('Summary, PPI''s'!$C35+'Summary, PPI''s'!$C34)/('Predicted PPIs'!W35+'Predicted PPIs'!W34)))*IF(D$94=".", 1, (D35/D34)^(('Summary, PPI''s'!$D35+'Summary, PPI''s'!$D34)/('Predicted PPIs'!W35+'Predicted PPIs'!W34)))*IF(N$94=".", 1, (N35/N34)^(('Summary, PPI''s'!$N35+'Summary, PPI''s'!$N34)/('Predicted PPIs'!W35+'Predicted PPIs'!W34)))*IF(O$94=".", 1, (O35/O34)^(('Summary, PPI''s'!$O35+'Summary, PPI''s'!$O34)/('Predicted PPIs'!W35+'Predicted PPIs'!W34)))*IF(P$94=".", 1, (P35/P34)^(('Summary, PPI''s'!$P35+'Summary, PPI''s'!$P34)/('Predicted PPIs'!W35+'Predicted PPIs'!W34)))</f>
        <v>44.965807589667023</v>
      </c>
      <c r="AF35" s="4">
        <f>AF34*IF(E$123=".", 1, (E35/E34)^(('Summary, PPI''s'!$E35+'Summary, PPI''s'!$E34)/('Predicted PPIs'!X35+'Predicted PPIs'!X34)))*IF(F$123=".", 1, (F35/F34)^(('Summary, PPI''s'!$F35+'Summary, PPI''s'!$F34)/('Predicted PPIs'!X35+'Predicted PPIs'!X34)))*IF(G$123=".", 1, (G35/G34)^(('Summary, PPI''s'!$G35+'Summary, PPI''s'!$G34)/('Predicted PPIs'!X35+'Predicted PPIs'!X34)))*IF(H$123=".", 1, (H35/H34)^(('Summary, PPI''s'!$H35+'Summary, PPI''s'!$H34)/('Predicted PPIs'!X35+'Predicted PPIs'!X34)))*IF(I$123=".", 1, (I35/I34)^(('Summary, PPI''s'!$I35+'Summary, PPI''s'!$I34)/('Predicted PPIs'!X35+'Predicted PPIs'!X34)))*IF(J$123=".", 1, (J35/J34)^(('Summary, PPI''s'!$J35+'Summary, PPI''s'!$J34)/('Predicted PPIs'!X35+'Predicted PPIs'!X34)))*IF(K$123=".", 1, (K35/K34)^(('Summary, PPI''s'!$K35+'Summary, PPI''s'!$K34)/('Predicted PPIs'!X35+'Predicted PPIs'!X34)))*IF(L$123=".", 1, (L35/L34)^(('Summary, PPI''s'!$L35+'Summary, PPI''s'!$L34)/('Predicted PPIs'!X35+'Predicted PPIs'!X34)))*IF(M$123=".", 1, (M35/M34)^(('Summary, PPI''s'!$M35+'Summary, PPI''s'!$M34)/('Predicted PPIs'!X35+'Predicted PPIs'!X34)))*IF(B$123=".", 1, (B35/B34)^(('Summary, PPI''s'!$B35+'Summary, PPI''s'!$B34)/('Predicted PPIs'!X35+'Predicted PPIs'!X34)))*IF(C$123=".", 1, (C35/C34)^(('Summary, PPI''s'!$C35+'Summary, PPI''s'!$C34)/('Predicted PPIs'!X35+'Predicted PPIs'!X34)))*IF(D$123=".", 1, (D35/D34)^(('Summary, PPI''s'!$D35+'Summary, PPI''s'!$D34)/('Predicted PPIs'!X35+'Predicted PPIs'!X34)))*IF(N$123=".", 1, (N35/N34)^(('Summary, PPI''s'!$N35+'Summary, PPI''s'!$N34)/('Predicted PPIs'!X35+'Predicted PPIs'!X34)))*IF(O$123=".", 1, (O35/O34)^(('Summary, PPI''s'!$O35+'Summary, PPI''s'!$O34)/('Predicted PPIs'!X35+'Predicted PPIs'!X34)))*IF(P$123=".", 1, (P35/P34)^(('Summary, PPI''s'!$P35+'Summary, PPI''s'!$P34)/('Predicted PPIs'!X35+'Predicted PPIs'!X34)))</f>
        <v>41.491839766141126</v>
      </c>
      <c r="AH35" s="13">
        <f t="shared" si="32"/>
        <v>56.781025790857555</v>
      </c>
      <c r="AJ35" s="4">
        <v>3330</v>
      </c>
      <c r="AK35" s="4">
        <v>-0.73199999999999998</v>
      </c>
      <c r="AL35" s="4">
        <v>-357.47699999999998</v>
      </c>
      <c r="AM35" s="4">
        <v>-5.4740000000000002</v>
      </c>
      <c r="AN35" s="4">
        <v>3879.6</v>
      </c>
      <c r="AO35" s="4">
        <v>910.6</v>
      </c>
      <c r="AP35" s="4">
        <f>('[3]1988'!$I$14+'[3]1988'!$I$69+'[3]1988'!$I$71-'[3]1988'!$I$73)*0.001</f>
        <v>-39.122</v>
      </c>
      <c r="AQ35" s="4">
        <f>('[3]1988'!$AY$56+'[3]1988'!$AY$69+'[3]1988'!$AY$71-'[3]1988'!$AY$73)*0.001</f>
        <v>-178.61099999999999</v>
      </c>
      <c r="AR35" s="4">
        <v>-14.275</v>
      </c>
      <c r="AS35" s="4">
        <v>-22.992999999999999</v>
      </c>
      <c r="AT35" s="4">
        <v>58.037999999999997</v>
      </c>
      <c r="AU35" s="4">
        <v>67.367000000000004</v>
      </c>
      <c r="AV35" s="4">
        <v>51.43</v>
      </c>
      <c r="AW35" s="4">
        <v>31.584</v>
      </c>
      <c r="AX35" s="4">
        <v>57.222000000000001</v>
      </c>
      <c r="AY35" s="4">
        <v>76.585999999999999</v>
      </c>
      <c r="AZ35" s="4">
        <v>38.170999999999999</v>
      </c>
      <c r="BA35" s="4">
        <v>59.573999999999998</v>
      </c>
      <c r="BB35" s="4">
        <v>104.33199999999999</v>
      </c>
      <c r="BC35" s="4">
        <v>67.716999999999999</v>
      </c>
      <c r="BG35" s="4">
        <f t="shared" si="50"/>
        <v>53.572621335471716</v>
      </c>
      <c r="BI35" s="4">
        <f>BI$13*'[2]Ordinary Experience'!$D$391/'[2]Ordinary Experience'!$D$413</f>
        <v>244320294.21484947</v>
      </c>
      <c r="BJ35" s="4">
        <f>'[2]Ordinary Experience'!$E$391</f>
        <v>21.715631120375757</v>
      </c>
      <c r="BL35" s="4">
        <f t="shared" ref="BL35:BL66" si="90">(BG35/(BI35*(100-BJ35))*100/(BG$11/(BI$11*(100-BJ$11))))</f>
        <v>70.671454240868414</v>
      </c>
      <c r="BM35" s="4">
        <f t="shared" si="34"/>
        <v>3.4468873426081625E-2</v>
      </c>
      <c r="BO35" s="4">
        <f>IF(OR('Summary, hourly ad costs'!R35=-9999,'Summary, PPI''s'!R35="."),".",(('Summary, hourly ad costs'!B35/'Summary, hourly ad costs'!R35)*100/('Summary, hourly ad costs'!B$11/'Summary, hourly ad costs'!R$11))/('Summary, PPI''s'!R35))</f>
        <v>0.81498159061585318</v>
      </c>
      <c r="BP35" s="4" t="str">
        <f>IF(OR('Summary, hourly ad costs'!S35=-9999,'Summary, PPI''s'!S35="."),".",(('Summary, hourly ad costs'!C35/'Summary, hourly ad costs'!S35)*100/('Summary, hourly ad costs'!C$11/'Summary, hourly ad costs'!S$11))/('Summary, PPI''s'!S35))</f>
        <v>.</v>
      </c>
      <c r="BQ35" s="4" t="str">
        <f>IF(OR('Summary, hourly ad costs'!T35=-9999,'Summary, PPI''s'!T35="."),".",(('Summary, hourly ad costs'!D35/'Summary, hourly ad costs'!T35)*100/('Summary, hourly ad costs'!D$11/'Summary, hourly ad costs'!T$11))/('Summary, PPI''s'!T35))</f>
        <v>.</v>
      </c>
      <c r="BR35" s="4">
        <f>IF(OR('Summary, hourly ad costs'!U35=-9999,'Summary, PPI''s'!U35="."),".",(('Summary, hourly ad costs'!E35/'Summary, hourly ad costs'!U35)*100/('Summary, hourly ad costs'!E$11/'Summary, hourly ad costs'!U$11))/('Summary, PPI''s'!U35))</f>
        <v>2.3087218508238583</v>
      </c>
      <c r="BS35" s="4">
        <f>IF(OR('Summary, hourly ad costs'!V35=-9999,'Summary, PPI''s'!V35="."),".",(('Summary, hourly ad costs'!F35/'Summary, hourly ad costs'!V35)*100/('Summary, hourly ad costs'!F$11/'Summary, hourly ad costs'!V$11))/('Summary, PPI''s'!V35))</f>
        <v>1.8355178065659286</v>
      </c>
      <c r="BT35" s="4" t="str">
        <f>IF(OR('Summary, hourly ad costs'!W35=-9999,'Summary, PPI''s'!W35="."),".",(('Summary, hourly ad costs'!G35/'Summary, hourly ad costs'!W35)*100/('Summary, hourly ad costs'!G$11/'Summary, hourly ad costs'!W$11))/('Summary, PPI''s'!W35))</f>
        <v>.</v>
      </c>
      <c r="BU35" s="4">
        <f>IF(OR('Summary, hourly ad costs'!X35=-9999,'Summary, PPI''s'!X35="."),".",(('Summary, hourly ad costs'!H35/'Summary, hourly ad costs'!X35)*100/('Summary, hourly ad costs'!H$11/'Summary, hourly ad costs'!X$11))/('Summary, PPI''s'!X35))</f>
        <v>1.113144356610233</v>
      </c>
      <c r="BV35" s="4">
        <f>IF(OR('Summary, hourly ad costs'!Y35=-9999,'Summary, PPI''s'!Y35="."),".",(('Summary, hourly ad costs'!I35/'Summary, hourly ad costs'!Y35)*100/('Summary, hourly ad costs'!I$11/'Summary, hourly ad costs'!Y$11))/('Summary, PPI''s'!Y35))</f>
        <v>0.72690376103960508</v>
      </c>
      <c r="BW35" s="4">
        <f>IF(OR('Summary, hourly ad costs'!Z35=-9999,'Summary, PPI''s'!Z35="."),".",(('Summary, hourly ad costs'!J35/'Summary, hourly ad costs'!Z35)*100/('Summary, hourly ad costs'!J$11/'Summary, hourly ad costs'!Z$11))/('Summary, PPI''s'!Z35))</f>
        <v>0.75986010198201814</v>
      </c>
      <c r="BX35" s="4" t="str">
        <f>IF(OR('Summary, hourly ad costs'!AA35=-9999,'Summary, PPI''s'!AA35="."),".",(('Summary, hourly ad costs'!K35/'Summary, hourly ad costs'!AA35)*100/('Summary, hourly ad costs'!K$11/'Summary, hourly ad costs'!AA$11))/('Summary, PPI''s'!AA35))</f>
        <v>.</v>
      </c>
      <c r="BY35" s="4" t="str">
        <f>IF(OR('Summary, hourly ad costs'!AB35=-9999,'Summary, PPI''s'!AB35="."),".",(('Summary, hourly ad costs'!L35/'Summary, hourly ad costs'!AB35)*100/('Summary, hourly ad costs'!L$11/'Summary, hourly ad costs'!AB$11))/('Summary, PPI''s'!AB35))</f>
        <v>.</v>
      </c>
      <c r="BZ35" s="4" t="str">
        <f>IF(OR('Summary, hourly ad costs'!AC35=-9999,'Summary, PPI''s'!AC35="."),".",(('Summary, hourly ad costs'!M35/'Summary, hourly ad costs'!AC35)*100/('Summary, hourly ad costs'!M$11/'Summary, hourly ad costs'!AC$11))/('Summary, PPI''s'!AC35))</f>
        <v>.</v>
      </c>
      <c r="CA35" s="4" t="str">
        <f>IF(OR('Summary, hourly ad costs'!AD35=-9999,'Summary, PPI''s'!AD35="."),".",(('Summary, hourly ad costs'!N35/'Summary, hourly ad costs'!AD35)*100/('Summary, hourly ad costs'!N$11/'Summary, hourly ad costs'!AD$11))/('Summary, PPI''s'!AD35))</f>
        <v>.</v>
      </c>
      <c r="CB35" s="4" t="str">
        <f>IF(OR('Summary, hourly ad costs'!AE35=-9999,'Summary, PPI''s'!AE35="."),".",(('Summary, hourly ad costs'!O35/'Summary, hourly ad costs'!AE35)*100/('Summary, hourly ad costs'!O$11/'Summary, hourly ad costs'!AE$11))/('Summary, PPI''s'!AE35))</f>
        <v>.</v>
      </c>
      <c r="CC35" s="4" t="str">
        <f>IF(OR('Summary, hourly ad costs'!AF35=-9999,'Summary, PPI''s'!AF35="."),".",(('Summary, hourly ad costs'!P35/'Summary, hourly ad costs'!AF35)*100/('Summary, hourly ad costs'!P$11/'Summary, hourly ad costs'!AF$11))/('Summary, PPI''s'!AF35))</f>
        <v>.</v>
      </c>
      <c r="CE35" s="4">
        <f t="shared" si="80"/>
        <v>-1.2915281422377634E-3</v>
      </c>
      <c r="CF35" s="4" t="str">
        <f t="shared" si="81"/>
        <v>.</v>
      </c>
      <c r="CG35" s="4" t="str">
        <f t="shared" si="82"/>
        <v>.</v>
      </c>
      <c r="CH35" s="4">
        <f t="shared" si="83"/>
        <v>-8.2339453804092244E-3</v>
      </c>
      <c r="CI35" s="4">
        <f t="shared" si="84"/>
        <v>-1.5480211807807787E-2</v>
      </c>
      <c r="CJ35" s="4" t="str">
        <f t="shared" si="85"/>
        <v>.</v>
      </c>
      <c r="CK35" s="4">
        <f t="shared" si="86"/>
        <v>1.4781791947582335E-5</v>
      </c>
      <c r="CL35" s="4">
        <f t="shared" si="87"/>
        <v>4.0976526773990996E-2</v>
      </c>
      <c r="CM35" s="4">
        <f t="shared" si="88"/>
        <v>5.8878328794782275E-2</v>
      </c>
      <c r="CN35" s="4">
        <f t="shared" si="89"/>
        <v>5.2019818015875199E-3</v>
      </c>
      <c r="CO35" s="4">
        <f t="shared" si="79"/>
        <v>0.22061422406866216</v>
      </c>
      <c r="CP35" s="4">
        <f t="shared" si="79"/>
        <v>9.961749436205497E-2</v>
      </c>
      <c r="CQ35" s="4" t="str">
        <f t="shared" si="62"/>
        <v>.</v>
      </c>
      <c r="CR35" s="4" t="str">
        <f t="shared" si="63"/>
        <v>.</v>
      </c>
      <c r="CS35" s="4" t="str">
        <f t="shared" si="64"/>
        <v>.</v>
      </c>
      <c r="CU35" s="5">
        <f>IF(CU34=".", ".", IF('Summary, PPI''s'!R35=".",IF(OR('Summary, hourly ad costs'!R35=-9999,'Summary, hourly ad costs'!R35=0), ".", 'Predicted PPIs'!CU34*('Summary, hourly ad costs'!B35/'Summary, hourly ad costs'!R35)/('Summary, hourly ad costs'!B34/'Summary, hourly ad costs'!R34)/(1-CE34)), 'Summary, PPI''s'!R35))</f>
        <v>78.970392104561228</v>
      </c>
      <c r="CV35" s="5">
        <f>IF(CV34=".", ".", IF('Summary, PPI''s'!S35=".",IF(OR('Summary, hourly ad costs'!S35=-9999,'Summary, hourly ad costs'!S35=0), ".", 'Predicted PPIs'!CV34*('Summary, hourly ad costs'!C35/'Summary, hourly ad costs'!S35)/('Summary, hourly ad costs'!C34/'Summary, hourly ad costs'!S34)/(1-CF34)), 'Summary, PPI''s'!S35))</f>
        <v>78.970392104561228</v>
      </c>
      <c r="CW35" s="5">
        <f>IF(CW34=".", ".", IF('Summary, PPI''s'!T35=".",IF(OR('Summary, hourly ad costs'!T35=-9999,'Summary, hourly ad costs'!T35=0), ".", 'Predicted PPIs'!CW34*('Summary, hourly ad costs'!D35/'Summary, hourly ad costs'!T35)/('Summary, hourly ad costs'!D34/'Summary, hourly ad costs'!T34)/(1-CG34)), 'Summary, PPI''s'!T35))</f>
        <v>64.639855035989342</v>
      </c>
      <c r="CX35" s="5">
        <f>IF(CX34=".", ".", IF('Summary, PPI''s'!U35=".",IF(OR('Summary, hourly ad costs'!U35=-9999,'Summary, hourly ad costs'!U35=0), ".", 'Predicted PPIs'!CX34*('Summary, hourly ad costs'!E35/'Summary, hourly ad costs'!U35)/('Summary, hourly ad costs'!E34/'Summary, hourly ad costs'!U34)/(1-CH34)), 'Summary, PPI''s'!U35))</f>
        <v>39.08279392477894</v>
      </c>
      <c r="CY35" s="5">
        <f>IF(CY34=".", ".", IF('Summary, PPI''s'!V35=".",IF(OR('Summary, hourly ad costs'!V35=-9999,'Summary, hourly ad costs'!V35=0), ".", 'Predicted PPIs'!CY34*('Summary, hourly ad costs'!F35/'Summary, hourly ad costs'!V35)/('Summary, hourly ad costs'!F34/'Summary, hourly ad costs'!V34)/(1-CI34)), 'Summary, PPI''s'!V35))</f>
        <v>38.11936241196095</v>
      </c>
      <c r="CZ35" s="5">
        <f>IF(CZ34=".", ".", IF('Summary, PPI''s'!W35=".",IF(OR('Summary, hourly ad costs'!W35=-9999,'Summary, hourly ad costs'!W35=0), ".", 'Predicted PPIs'!CZ34*('Summary, hourly ad costs'!G35/'Summary, hourly ad costs'!W35)/('Summary, hourly ad costs'!G34/'Summary, hourly ad costs'!W34)/(1-CJ34)), 'Summary, PPI''s'!W35))</f>
        <v>44.403451575841096</v>
      </c>
      <c r="DA35" s="5">
        <f>IF(DA34=".", ".", IF('Summary, PPI''s'!X35=".",IF(OR('Summary, hourly ad costs'!X35=-9999,'Summary, hourly ad costs'!X35=0), ".", 'Predicted PPIs'!DA34*('Summary, hourly ad costs'!H35/'Summary, hourly ad costs'!X35)/('Summary, hourly ad costs'!H34/'Summary, hourly ad costs'!X34)/(1-CK34)), 'Summary, PPI''s'!X35))</f>
        <v>43.82</v>
      </c>
      <c r="DB35" s="5">
        <f>IF(DB34=".", ".", IF('Summary, PPI''s'!Y35=".",IF(OR('Summary, hourly ad costs'!Y35=-9999,'Summary, hourly ad costs'!Y35=0), ".", 'Predicted PPIs'!DB34*('Summary, hourly ad costs'!I35/'Summary, hourly ad costs'!Y35)/('Summary, hourly ad costs'!I34/'Summary, hourly ad costs'!Y34)/(1-CL34)), 'Summary, PPI''s'!Y35))</f>
        <v>56.16208053814676</v>
      </c>
      <c r="DC35" s="5">
        <f>IF(DC34=".", ".", IF('Summary, PPI''s'!Z35=".",IF(OR('Summary, hourly ad costs'!Z35=-9999,'Summary, hourly ad costs'!Z35=0), ".", 'Predicted PPIs'!DC34*('Summary, hourly ad costs'!J35/'Summary, hourly ad costs'!Z35)/('Summary, hourly ad costs'!J34/'Summary, hourly ad costs'!Z34)/(1-CM34)), 'Summary, PPI''s'!Z35))</f>
        <v>60.209541329288946</v>
      </c>
      <c r="DD35" s="5">
        <f>IF(DD34=".", ".", IF('Summary, PPI''s'!AA35=".",IF(OR('Summary, hourly ad costs'!AA35=-9999,'Summary, hourly ad costs'!AA35=0), ".", 'Predicted PPIs'!DD34*('Summary, hourly ad costs'!K35/'Summary, hourly ad costs'!AA35)/('Summary, hourly ad costs'!K34/'Summary, hourly ad costs'!AA34)/(1-CN34)), 'Summary, PPI''s'!AA35))</f>
        <v>36.035578621328646</v>
      </c>
      <c r="DE35" s="5" t="str">
        <f>IF(DE34=".", ".", IF('Summary, PPI''s'!AB35=".",IF(OR('Summary, hourly ad costs'!AB35=-9999,'Summary, hourly ad costs'!AB35=0), ".", 'Predicted PPIs'!DE34*('Summary, hourly ad costs'!L35/'Summary, hourly ad costs'!AB35)/('Summary, hourly ad costs'!L34/'Summary, hourly ad costs'!AB34)/(1-CO34)), 'Summary, PPI''s'!AB35))</f>
        <v>.</v>
      </c>
      <c r="DF35" s="5" t="str">
        <f>IF(DF34=".", ".", IF('Summary, PPI''s'!AC35=".",IF(OR('Summary, hourly ad costs'!AC35=-9999,'Summary, hourly ad costs'!AC35=0), ".", 'Predicted PPIs'!DF34*('Summary, hourly ad costs'!M35/'Summary, hourly ad costs'!AC35)/('Summary, hourly ad costs'!M34/'Summary, hourly ad costs'!AC34)/(1-CP34)), 'Summary, PPI''s'!AC35))</f>
        <v>.</v>
      </c>
      <c r="DG35" s="5">
        <f>IF(DG34=".", ".", IF('Summary, PPI''s'!AD35=".",IF(OR('Summary, hourly ad costs'!AD35=-9999,'Summary, hourly ad costs'!AD35=0), ".", 'Predicted PPIs'!DG34*('Summary, hourly ad costs'!N35/'Summary, hourly ad costs'!AD35)/('Summary, hourly ad costs'!N34/'Summary, hourly ad costs'!AD34)/(1-CQ34)), 'Summary, PPI''s'!AD35))</f>
        <v>60.384146048779577</v>
      </c>
      <c r="DH35" s="5">
        <f>IF(DH34=".", ".", IF('Summary, PPI''s'!AE35=".",IF(OR('Summary, hourly ad costs'!AE35=-9999,'Summary, hourly ad costs'!AE35=0), ".", 'Predicted PPIs'!DH34*('Summary, hourly ad costs'!O35/'Summary, hourly ad costs'!AE35)/('Summary, hourly ad costs'!O34/'Summary, hourly ad costs'!AE34)/(1-CR34)), 'Summary, PPI''s'!AE35))</f>
        <v>42.345723948811703</v>
      </c>
      <c r="DI35" s="5">
        <f>IF(DI34=".", ".", IF('Summary, PPI''s'!AF35=".",IF(OR('Summary, hourly ad costs'!AF35=-9999,'Summary, hourly ad costs'!AF35=0), ".", 'Predicted PPIs'!DI34*('Summary, hourly ad costs'!P35/'Summary, hourly ad costs'!AF35)/('Summary, hourly ad costs'!P34/'Summary, hourly ad costs'!AF34)/(1-CS34)), 'Summary, PPI''s'!AF35))</f>
        <v>51.748305755395691</v>
      </c>
      <c r="DK35" s="4">
        <v>37.017000000000003</v>
      </c>
      <c r="DM35" s="5">
        <f t="shared" si="65"/>
        <v>-5.6440164614042221E-3</v>
      </c>
      <c r="DN35" s="5">
        <f t="shared" si="66"/>
        <v>-5.6440164614042221E-3</v>
      </c>
      <c r="DO35" s="5">
        <f t="shared" si="67"/>
        <v>-4.5124006660370863E-3</v>
      </c>
      <c r="DP35" s="5">
        <f t="shared" si="68"/>
        <v>2.489773731733802E-2</v>
      </c>
      <c r="DQ35" s="5">
        <f t="shared" si="69"/>
        <v>2.3943273811391386E-2</v>
      </c>
      <c r="DR35" s="5">
        <f t="shared" si="70"/>
        <v>1.627689275550237E-2</v>
      </c>
      <c r="DS35" s="5">
        <f t="shared" si="71"/>
        <v>2.8545185434589726E-3</v>
      </c>
      <c r="DT35" s="5">
        <f t="shared" si="72"/>
        <v>5.3053790085295649E-3</v>
      </c>
      <c r="DU35" s="5">
        <f t="shared" si="73"/>
        <v>5.3053790085297869E-3</v>
      </c>
      <c r="DV35" s="5">
        <f t="shared" si="74"/>
        <v>7.3773976388968432E-2</v>
      </c>
      <c r="DW35" s="4">
        <f t="shared" si="78"/>
        <v>-0.11801274328269901</v>
      </c>
      <c r="DX35" s="4">
        <f t="shared" si="78"/>
        <v>4.3065724412542472E-2</v>
      </c>
      <c r="DY35" s="5">
        <f t="shared" si="75"/>
        <v>1.273346619679927E-2</v>
      </c>
      <c r="DZ35" s="5">
        <f t="shared" si="76"/>
        <v>4.2688112856414939E-3</v>
      </c>
      <c r="EA35" s="5">
        <f t="shared" si="77"/>
        <v>1.6587914927868042E-2</v>
      </c>
      <c r="EC35" s="1">
        <f t="shared" si="35"/>
        <v>78.970392104561228</v>
      </c>
      <c r="ED35" s="1">
        <f t="shared" si="36"/>
        <v>78.970392104561228</v>
      </c>
      <c r="EE35" s="1">
        <f t="shared" si="37"/>
        <v>64.639855035989342</v>
      </c>
      <c r="EF35" s="1">
        <f t="shared" si="38"/>
        <v>39.08279392477894</v>
      </c>
      <c r="EG35" s="1">
        <f t="shared" si="39"/>
        <v>38.11936241196095</v>
      </c>
      <c r="EH35" s="1">
        <f t="shared" si="40"/>
        <v>44.403451575841096</v>
      </c>
      <c r="EI35" s="1">
        <f t="shared" si="41"/>
        <v>43.82</v>
      </c>
      <c r="EJ35" s="1">
        <f t="shared" si="42"/>
        <v>56.16208053814676</v>
      </c>
      <c r="EK35" s="1">
        <f t="shared" si="43"/>
        <v>60.209541329288946</v>
      </c>
      <c r="EL35" s="1">
        <f t="shared" si="44"/>
        <v>36.035578621328646</v>
      </c>
      <c r="EM35" s="1">
        <f t="shared" si="45"/>
        <v>106.26285073688075</v>
      </c>
      <c r="EN35" s="1">
        <f t="shared" si="46"/>
        <v>48.59577804893329</v>
      </c>
      <c r="EO35" s="1">
        <f t="shared" si="47"/>
        <v>60.384146048779577</v>
      </c>
      <c r="EP35" s="1">
        <f t="shared" si="48"/>
        <v>42.345723948811703</v>
      </c>
      <c r="EQ35" s="1">
        <f t="shared" si="49"/>
        <v>51.748305755395691</v>
      </c>
      <c r="ES35" s="1">
        <f>IF(EF$26=".", 0, 'Summary, PPI''s'!E35)+IF(EG$26=".", 0, 'Summary, PPI''s'!F35)+IF(EH$26=".", 0, 'Summary, PPI''s'!G35)+IF(EI$26=".", 0, 'Summary, PPI''s'!H35)+IF(EJ$26=".", 0, 'Summary, PPI''s'!I35)+IF(EK$26=".", 0, 'Summary, PPI''s'!J35)+IF(EL$26=".", 0, 'Summary, PPI''s'!K35)+IF(EM$26=".", 0, 'Summary, PPI''s'!L35)+IF(EN$26=".", 0, 'Summary, PPI''s'!M35)+IF(EC$26=".", 0, 'Summary, PPI''s'!B35)+IF(ED$26=".", 0, 'Summary, PPI''s'!C35)+IF(EE$26=".", 0, 'Summary, PPI''s'!D35)+IF(EO$26=".", 0, 'Summary, PPI''s'!N35)+IF(EP$26=".", 0, 'Summary, PPI''s'!O35)+IF(EQ$26=".", 0, 'Summary, PPI''s'!P35)</f>
        <v>123436884.71601245</v>
      </c>
      <c r="ET35" s="1">
        <f>'Summary, hourly ad costs'!E35+'Summary, hourly ad costs'!F35+'Summary, hourly ad costs'!H35+'Summary, hourly ad costs'!I35+'Summary, hourly ad costs'!J35+'Summary, hourly ad costs'!K35+'Summary, hourly ad costs'!L35+'Summary, hourly ad costs'!M35+'Summary, hourly ad costs'!B35</f>
        <v>64254631.204795904</v>
      </c>
      <c r="EV35" s="13">
        <f>EV34*IF(EF$26=".", 1, (EF35/EF34)^(('Summary, PPI''s'!$E35+'Summary, PPI''s'!$E34)/('Predicted PPIs'!ES35+'Predicted PPIs'!ES34)))*IF(EG$26=".", 1, (EG35/EG34)^(('Summary, PPI''s'!$F35+'Summary, PPI''s'!$F34)/('Predicted PPIs'!ES35+'Predicted PPIs'!ES34)))*IF(EH$26=".", 1, (EH35/EH34)^(('Summary, PPI''s'!$G35+'Summary, PPI''s'!$G34)/('Predicted PPIs'!ES35+'Predicted PPIs'!ES34)))*IF(EI$26=".", 1, (EI35/EI34)^(('Summary, PPI''s'!$H35+'Summary, PPI''s'!$H34)/('Predicted PPIs'!ES35+'Predicted PPIs'!ES34)))*IF(EJ$26=".", 1, (EJ35/EJ34)^(('Summary, PPI''s'!$I35+'Summary, PPI''s'!$I34)/('Predicted PPIs'!ES35+'Predicted PPIs'!ES34)))*IF(EK$26=".", 1, (EK35/EK34)^(('Summary, PPI''s'!$J35+'Summary, PPI''s'!$J34)/('Predicted PPIs'!ES35+'Predicted PPIs'!ES34)))*IF(EL$26=".", 1, (EL35/EL34)^(('Summary, PPI''s'!$K35+'Summary, PPI''s'!$K34)/('Predicted PPIs'!ES35+'Predicted PPIs'!ES34)))*IF(EM$26=".", 1, (EM35/EM34)^(('Summary, PPI''s'!$L35+'Summary, PPI''s'!$L34)/('Predicted PPIs'!ES35+'Predicted PPIs'!ES34)))*IF(EN$26=".", 1, (EN35/EN34)^(('Summary, PPI''s'!$M35+'Summary, PPI''s'!$M34)/('Predicted PPIs'!ES35+'Predicted PPIs'!ES34)))*IF(EC$26=".", 1, (EC35/EC34)^(('Summary, PPI''s'!$B35+'Summary, PPI''s'!$B34)/('Predicted PPIs'!ES35+'Predicted PPIs'!ES34)))*IF(ED$26=".", 1, (ED35/ED34)^(('Summary, PPI''s'!$C35+'Summary, PPI''s'!$C34)/('Predicted PPIs'!ES35+'Predicted PPIs'!ES34)))*IF(EE$26=".", 1, (EE35/EE34)^(('Summary, PPI''s'!$D35+'Summary, PPI''s'!$D34)/('Predicted PPIs'!ES35+'Predicted PPIs'!ES34)))*IF(EO$26=".", 1, (EO35/EO34)^(('Summary, PPI''s'!$N35+'Summary, PPI''s'!$N34)/('Predicted PPIs'!ES35+'Predicted PPIs'!ES34)))*IF(EP$26=".", 1, (EP35/EP34)^(('Summary, PPI''s'!$O35+'Summary, PPI''s'!$O34)/('Predicted PPIs'!ES35+'Predicted PPIs'!ES34)))*IF(EQ$26=".", 1, (EQ35/EQ34)^(('Summary, PPI''s'!$P35+'Summary, PPI''s'!$P34)/('Predicted PPIs'!ES35+'Predicted PPIs'!ES34)))</f>
        <v>59.801343434380478</v>
      </c>
      <c r="EW35" s="13">
        <f>EW34*IF(EF$26=".", 1, (EF35/EF34)^(('Summary, PPI''s'!$E35+'Summary, PPI''s'!$E34)/('Predicted PPIs'!ET35+'Predicted PPIs'!ET34)))*IF(EG$26=".", 1, (EG35/EG34)^(('Summary, PPI''s'!$F35+'Summary, PPI''s'!$F34)/('Predicted PPIs'!ET35+'Predicted PPIs'!ET34)))*IF(EH$26=".", 1, (EH35/EH34)^(('Summary, PPI''s'!$G35+'Summary, PPI''s'!$G34)/('Predicted PPIs'!ET35+'Predicted PPIs'!ET34)))*IF(EK$26=".", 1, (EK35/EK34)^(('Summary, PPI''s'!$J35+'Summary, PPI''s'!$J34)/('Predicted PPIs'!ET35+'Predicted PPIs'!ET34)))*IF(EL$26=".", 1, (EL35/EL34)^(('Summary, PPI''s'!$K35+'Summary, PPI''s'!$K34)/('Predicted PPIs'!ET35+'Predicted PPIs'!ET34)))*IF(EM$26=".", 1, (EM35/EM34)^(('Summary, PPI''s'!$L35+'Summary, PPI''s'!$L34)/('Predicted PPIs'!ET35+'Predicted PPIs'!ET34)))*IF(EN$26=".", 1, (EN35/EN34)^(('Summary, PPI''s'!$M35+'Summary, PPI''s'!$M34)/('Predicted PPIs'!ET35+'Predicted PPIs'!ET34)))*IF(EC$26=".", 1, (EC35/EC34)^(('Summary, PPI''s'!$B35+'Summary, PPI''s'!$B34)/('Predicted PPIs'!ET35+'Predicted PPIs'!ET34)))</f>
        <v>61.104050328095013</v>
      </c>
      <c r="EY35" s="2"/>
    </row>
    <row r="36" spans="1:155" x14ac:dyDescent="0.3">
      <c r="A36" s="4">
        <v>1987</v>
      </c>
      <c r="B36" s="10">
        <f>IF(B35=".", ".", IF('Summary, PPI''s'!R36=".",IF(OR('Summary, hourly ad costs'!R36=-9999,'Summary, hourly ad costs'!R36=0), ".", 'Predicted PPIs'!B35*('Summary, hourly ad costs'!B36/'Summary, hourly ad costs'!R36)/('Summary, hourly ad costs'!B35/'Summary, hourly ad costs'!R35)), 'Summary, PPI''s'!R36))</f>
        <v>76.228327554014385</v>
      </c>
      <c r="C36" s="10">
        <f>IF(C35=".", ".", IF('Summary, PPI''s'!S36=".",IF(OR('Summary, hourly ad costs'!S36=-9999,'Summary, hourly ad costs'!S36=0), ".", 'Predicted PPIs'!C35*('Summary, hourly ad costs'!C36/'Summary, hourly ad costs'!S36)/('Summary, hourly ad costs'!C35/'Summary, hourly ad costs'!S35)), 'Summary, PPI''s'!S36))</f>
        <v>76.228327554014385</v>
      </c>
      <c r="D36" s="10">
        <f>IF(D35=".", ".", IF('Summary, PPI''s'!T36=".",IF(OR('Summary, hourly ad costs'!T36=-9999,'Summary, hourly ad costs'!T36=0), ".", 'Predicted PPIs'!D35*('Summary, hourly ad costs'!D36/'Summary, hourly ad costs'!T36)/('Summary, hourly ad costs'!D35/'Summary, hourly ad costs'!T35)), 'Summary, PPI''s'!T36))</f>
        <v>62.324457643328145</v>
      </c>
      <c r="E36" s="10">
        <f>IF(E35=".", ".", IF('Summary, PPI''s'!U36=".",IF(OR('Summary, hourly ad costs'!U36=-9999,'Summary, hourly ad costs'!U36=0), ".", 'Predicted PPIs'!E35*('Summary, hourly ad costs'!E36/'Summary, hourly ad costs'!U36)/('Summary, hourly ad costs'!E35/'Summary, hourly ad costs'!U35)), 'Summary, PPI''s'!U36))</f>
        <v>36.601514574607599</v>
      </c>
      <c r="F36" s="10">
        <f>IF(F35=".", ".", IF('Summary, PPI''s'!V36=".",IF(OR('Summary, hourly ad costs'!V36=-9999,'Summary, hourly ad costs'!V36=0), ".", 'Predicted PPIs'!F35*('Summary, hourly ad costs'!F36/'Summary, hourly ad costs'!V36)/('Summary, hourly ad costs'!F35/'Summary, hourly ad costs'!V35)), 'Summary, PPI''s'!V36))</f>
        <v>35.732526051320065</v>
      </c>
      <c r="G36" s="10">
        <f>IF(G35=".", ".", IF('Summary, PPI''s'!W36=".",IF(OR('Summary, hourly ad costs'!W36=-9999,'Summary, hourly ad costs'!W36=0), ".", 'Predicted PPIs'!G35*('Summary, hourly ad costs'!G36/'Summary, hourly ad costs'!W36)/('Summary, hourly ad costs'!G35/'Summary, hourly ad costs'!W35)), 'Summary, PPI''s'!W36))</f>
        <v>41.937126299205879</v>
      </c>
      <c r="H36" s="10">
        <f>IF(H35=".", ".", IF('Summary, PPI''s'!X36=".",IF(OR('Summary, hourly ad costs'!X36=-9999,'Summary, hourly ad costs'!X36=0), ".", 'Predicted PPIs'!H35*('Summary, hourly ad costs'!H36/'Summary, hourly ad costs'!X36)/('Summary, hourly ad costs'!H35/'Summary, hourly ad costs'!X35)), 'Summary, PPI''s'!X36))</f>
        <v>41.94</v>
      </c>
      <c r="I36" s="10">
        <f>IF(I35=".", ".", IF('Summary, PPI''s'!Y36=".",IF(OR('Summary, hourly ad costs'!Y36=-9999,'Summary, hourly ad costs'!Y36=0), ".", 'Predicted PPIs'!I35*('Summary, hourly ad costs'!I36/'Summary, hourly ad costs'!Y36)/('Summary, hourly ad costs'!I35/'Summary, hourly ad costs'!Y35)), 'Summary, PPI''s'!Y36))</f>
        <v>53.621526112675809</v>
      </c>
      <c r="J36" s="10">
        <f>IF(J35=".", ".", IF('Summary, PPI''s'!Z36=".",IF(OR('Summary, hourly ad costs'!Z36=-9999,'Summary, hourly ad costs'!Z36=0), ".", 'Predicted PPIs'!J35*('Summary, hourly ad costs'!J36/'Summary, hourly ad costs'!Z36)/('Summary, hourly ad costs'!J35/'Summary, hourly ad costs'!Z35)), 'Summary, PPI''s'!Z36))</f>
        <v>57.485895495409927</v>
      </c>
      <c r="K36" s="10">
        <f>IF(K35=".", ".", IF('Summary, PPI''s'!AA36=".",IF(OR('Summary, hourly ad costs'!AA36=-9999,'Summary, hourly ad costs'!AA36=0), ".", 'Predicted PPIs'!K35*('Summary, hourly ad costs'!K36/'Summary, hourly ad costs'!AA36)/('Summary, hourly ad costs'!K35/'Summary, hourly ad costs'!AA35)), 'Summary, PPI''s'!AA36))</f>
        <v>35.637014691538425</v>
      </c>
      <c r="L36" s="10" t="str">
        <f>IF(L35=".", ".", IF('Summary, PPI''s'!AB36=".",IF(OR('Summary, hourly ad costs'!AB36=-9999,'Summary, hourly ad costs'!AB36=0), ".", 'Predicted PPIs'!L35*('Summary, hourly ad costs'!L36/'Summary, hourly ad costs'!AB36)/('Summary, hourly ad costs'!L35/'Summary, hourly ad costs'!AB35)), 'Summary, PPI''s'!AB36))</f>
        <v>.</v>
      </c>
      <c r="M36" s="10" t="str">
        <f>IF(M35=".", ".", IF('Summary, PPI''s'!AC36=".",IF(OR('Summary, hourly ad costs'!AC36=-9999,'Summary, hourly ad costs'!AC36=0), ".", 'Predicted PPIs'!M35*('Summary, hourly ad costs'!M36/'Summary, hourly ad costs'!AC36)/('Summary, hourly ad costs'!M35/'Summary, hourly ad costs'!AC35)), 'Summary, PPI''s'!AC36))</f>
        <v>.</v>
      </c>
      <c r="N36" s="10">
        <f>IF(N35=".", ".", IF('Summary, PPI''s'!AD36=".",IF(OR('Summary, hourly ad costs'!AD36=-9999,'Summary, hourly ad costs'!AD36=0), ".", 'Predicted PPIs'!N35*('Summary, hourly ad costs'!N36/'Summary, hourly ad costs'!AD36)/('Summary, hourly ad costs'!N35/'Summary, hourly ad costs'!AD35)), 'Summary, PPI''s'!AD36))</f>
        <v>57.229737747630764</v>
      </c>
      <c r="O36" s="10">
        <f>IF(O35=".", ".", IF('Summary, PPI''s'!AE36=".",IF(OR('Summary, hourly ad costs'!AE36=-9999,'Summary, hourly ad costs'!AE36=0), ".", 'Predicted PPIs'!O35*('Summary, hourly ad costs'!O36/'Summary, hourly ad costs'!AE36)/('Summary, hourly ad costs'!O35/'Summary, hourly ad costs'!AE35)), 'Summary, PPI''s'!AE36))</f>
        <v>40.471898308957954</v>
      </c>
      <c r="P36" s="10">
        <f>IF(P35=".", ".", IF('Summary, PPI''s'!AF36=".",IF(OR('Summary, hourly ad costs'!AF36=-9999,'Summary, hourly ad costs'!AF36=0), ".", 'Predicted PPIs'!P35*('Summary, hourly ad costs'!P36/'Summary, hourly ad costs'!AF36)/('Summary, hourly ad costs'!P35/'Summary, hourly ad costs'!AF35)), 'Summary, PPI''s'!AF36))</f>
        <v>48.859068345323756</v>
      </c>
      <c r="R36" s="1">
        <f>IF(E$26=".", 0, 'Summary, PPI''s'!E36)+IF(F$26=".", 0, 'Summary, PPI''s'!F36)+IF(G$26=".", 0, 'Summary, PPI''s'!G36)+IF(H$26=".", 0, 'Summary, PPI''s'!H36)+IF(I$26=".", 0, 'Summary, PPI''s'!I36)+IF(J$26=".", 0, 'Summary, PPI''s'!J36)+IF(K$26=".", 0, 'Summary, PPI''s'!K36)+IF(L$26=".", 0, 'Summary, PPI''s'!L36)+IF(M$26=".", 0, 'Summary, PPI''s'!M36)+IF(B$26=".", 0, 'Summary, PPI''s'!B36)+IF(C$26=".", 0, 'Summary, PPI''s'!C36)+IF(D$26=".", 0, 'Summary, PPI''s'!D36)+IF(N$26=".", 0, 'Summary, PPI''s'!N36)+IF(O$26=".", 0, 'Summary, PPI''s'!O36)+IF(P$26=".", 0, 'Summary, PPI''s'!P36)</f>
        <v>113304125.70386614</v>
      </c>
      <c r="S36" s="1">
        <f>IF(E$36=".", 0, 'Summary, PPI''s'!E36)+IF(F$36=".", 0, 'Summary, PPI''s'!F36)+IF(G$36=".", 0, 'Summary, PPI''s'!G36)+IF(H$36=".", 0, 'Summary, PPI''s'!H36)+IF(I$36=".", 0, 'Summary, PPI''s'!I36)+IF(J$36=".", 0, 'Summary, PPI''s'!J36)+IF(K$36=".", 0, 'Summary, PPI''s'!K36)+IF(L$36=".", 0, 'Summary, PPI''s'!L36)+IF(M$36=".", 0, 'Summary, PPI''s'!M36)+IF(B$36=".", 0, 'Summary, PPI''s'!B36)+IF(C$36=".", 0, 'Summary, PPI''s'!C36)+IF(D$36=".", 0, 'Summary, PPI''s'!D36)+IF(N$36=".", 0, 'Summary, PPI''s'!N36)+IF(O$36=".", 0, 'Summary, PPI''s'!O36)+IF(P$36=".", 0, 'Summary, PPI''s'!P36)</f>
        <v>113304125.70386614</v>
      </c>
      <c r="T36" s="1">
        <f>IF(E$46=".", 0, 'Summary, PPI''s'!E36)+IF(F$46=".", 0, 'Summary, PPI''s'!F36)+IF(G$46=".", 0, 'Summary, PPI''s'!G36)+IF(H$46=".", 0, 'Summary, PPI''s'!H36)+IF(I$46=".", 0, 'Summary, PPI''s'!I36)+IF(J$46=".", 0, 'Summary, PPI''s'!J36)+IF(K$46=".", 0, 'Summary, PPI''s'!K36)+IF(L$46=".", 0, 'Summary, PPI''s'!L36)+IF(M$46=".", 0, 'Summary, PPI''s'!M36)+IF(B$46=".", 0, 'Summary, PPI''s'!B36)+IF(C$46=".", 0, 'Summary, PPI''s'!C36)+IF(D$46=".", 0, 'Summary, PPI''s'!D36)+IF(N$46=".", 0, 'Summary, PPI''s'!N36)+IF(O$46=".", 0, 'Summary, PPI''s'!O36)+IF(P$46=".", 0, 'Summary, PPI''s'!P36)</f>
        <v>81155353.735909581</v>
      </c>
      <c r="U36" s="1">
        <f>IF(E$60=".", 0, 'Summary, PPI''s'!E36)+IF(F$60=".", 0, 'Summary, PPI''s'!F36)+IF(G$60=".", 0, 'Summary, PPI''s'!G36)+IF(H$60=".", 0, 'Summary, PPI''s'!H36)+IF(I$60=".", 0, 'Summary, PPI''s'!I36)+IF(J$60=".", 0, 'Summary, PPI''s'!J36)+IF(K$60=".", 0, 'Summary, PPI''s'!K36)+IF(L$60=".", 0, 'Summary, PPI''s'!L36)+IF(M$60=".", 0, 'Summary, PPI''s'!M36)+IF(B$60=".", 0, 'Summary, PPI''s'!B36)+IF(C$60=".", 0, 'Summary, PPI''s'!C36)+IF(D$60=".", 0, 'Summary, PPI''s'!D36)+IF(N$60=".", 0, 'Summary, PPI''s'!N36)+IF(O$60=".", 0, 'Summary, PPI''s'!O36)+IF(P$60=".", 0, 'Summary, PPI''s'!P36)</f>
        <v>73960986.459373668</v>
      </c>
      <c r="V36" s="1">
        <f>IF(E$73=".", 0, 'Summary, PPI''s'!E36)+IF(F$73=".", 0, 'Summary, PPI''s'!F36)+IF(G$73=".", 0, 'Summary, PPI''s'!G36)+IF(H$73=".", 0, 'Summary, PPI''s'!H36)+IF(I$73=".", 0, 'Summary, PPI''s'!I36)+IF(J$73=".", 0, 'Summary, PPI''s'!J36)+IF(K$73=".", 0, 'Summary, PPI''s'!K36)+IF(L$73=".", 0, 'Summary, PPI''s'!L36)+IF(M$73=".", 0, 'Summary, PPI''s'!M36)+IF(B$73=".", 0, 'Summary, PPI''s'!B36)+IF(C$73=".", 0, 'Summary, PPI''s'!C36)+IF(D$73=".", 0, 'Summary, PPI''s'!D36)+IF(N$73=".", 0, 'Summary, PPI''s'!N36)+IF(O$73=".", 0, 'Summary, PPI''s'!O36)+IF(P$73=".", 0, 'Summary, PPI''s'!P36)</f>
        <v>58104160.978535861</v>
      </c>
      <c r="W36" s="1">
        <f>IF(E$94=".",0,'Summary, PPI''s'!E36)+IF(F$94=".",0,'Summary, PPI''s'!F36)+IF(G$94=".",0,'Summary, PPI''s'!G36)+IF(H$94=".",0,'Summary, PPI''s'!H36)+IF(I$94=".",0,'Summary, PPI''s'!I36)+IF(J$94=".",0,'Summary, PPI''s'!J36)+IF(K$94=".",0,'Summary, PPI''s'!K36)+IF(L$94=".",0,'Summary, PPI''s'!L36)+IF(M$94=".",0,'Summary, PPI''s'!M36)+IF(B$94=".",0,'Summary, PPI''s'!B36)+IF(C$94=".",0,'Summary, PPI''s'!C36)+IF(D$94=".",0,'Summary, PPI''s'!D36)+IF(N$94=".",0,'Summary, PPI''s'!N36)+IF(O$94=".",0,'Summary, PPI''s'!O36)+IF(P$94=".",0,'Summary, PPI''s'!P36)</f>
        <v>41877652.071339063</v>
      </c>
      <c r="X36" s="1">
        <f>IF(E$123=".", 0, 'Summary, PPI''s'!E36)+IF(F$123=".", 0, 'Summary, PPI''s'!F36)+IF(G$123=".", 0, 'Summary, PPI''s'!G36)+IF(H$123=".", 0, 'Summary, PPI''s'!H36)+IF(I$123=".", 0, 'Summary, PPI''s'!I36)+IF(J$123=".", 0, 'Summary, PPI''s'!J36)+IF(K$123=".", 0, 'Summary, PPI''s'!K36)+IF(L$123=".", 0, 'Summary, PPI''s'!L36)+IF(M$123=".", 0, 'Summary, PPI''s'!M36)+IF(B$123=".", 0, 'Summary, PPI''s'!B36)+IF(C$123=".", 0, 'Summary, PPI''s'!C36)+IF(D$123=".", 0, 'Summary, PPI''s'!D36)+IF(N$123=".", 0, 'Summary, PPI''s'!N36)+IF(O$123=".", 0, 'Summary, PPI''s'!O36)+IF(P$123=".", 0, 'Summary, PPI''s'!P36)</f>
        <v>36065732.507216327</v>
      </c>
      <c r="Z36" s="4" t="e">
        <f>Z35*IF(E$26=".", 1, (E36/E35)^(('Summary, PPI''s'!$E36+'Summary, PPI''s'!$E35)/('Predicted PPIs'!R36+'Predicted PPIs'!R35)))*IF(F$26=".", 1, (F36/F35)^(('Summary, PPI''s'!$F36+'Summary, PPI''s'!$F35)/('Predicted PPIs'!R36+'Predicted PPIs'!R35)))*IF(G$26=".", 1, (G36/G35)^(('Summary, PPI''s'!$G36+'Summary, PPI''s'!$G35)/('Predicted PPIs'!R36+'Predicted PPIs'!R35)))*IF(H$26=".", 1, (H36/H35)^(('Summary, PPI''s'!$H36+'Summary, PPI''s'!$H35)/('Predicted PPIs'!R36+'Predicted PPIs'!R35)))*IF(I$26=".", 1, (I36/I35)^(('Summary, PPI''s'!$I36+'Summary, PPI''s'!$I35)/('Predicted PPIs'!R36+'Predicted PPIs'!R35)))*IF(J$26=".", 1, (J36/J35)^(('Summary, PPI''s'!$J36+'Summary, PPI''s'!$J35)/('Predicted PPIs'!R36+'Predicted PPIs'!R35)))*IF(K$26=".", 1, (K36/K35)^(('Summary, PPI''s'!$K36+'Summary, PPI''s'!$K35)/('Predicted PPIs'!R36+'Predicted PPIs'!R35)))*IF(L$26=".", 1, (L36/L35)^(('Summary, PPI''s'!$L36+'Summary, PPI''s'!$L35)/('Predicted PPIs'!R36+'Predicted PPIs'!R35)))*IF(M$26=".", 1, (M36/M35)^(('Summary, PPI''s'!$M36+'Summary, PPI''s'!$M35)/('Predicted PPIs'!R36+'Predicted PPIs'!R35)))*IF(B$26=".", 1, (B36/B35)^(('Summary, PPI''s'!$B36+'Summary, PPI''s'!$B35)/('Predicted PPIs'!R36+'Predicted PPIs'!R35)))*IF(C$26=".", 1, (C36/C35)^(('Summary, PPI''s'!$C36+'Summary, PPI''s'!$C35)/('Predicted PPIs'!R36+'Predicted PPIs'!R35)))*IF(D$26=".", 1, (D36/D35)^(('Summary, PPI''s'!$D36+'Summary, PPI''s'!$D35)/('Predicted PPIs'!R36+'Predicted PPIs'!R35)))*IF(N$26=".", 1, (N36/N35)^(('Summary, PPI''s'!$N36+'Summary, PPI''s'!$N35)/('Predicted PPIs'!R36+'Predicted PPIs'!R35)))*IF(O$26=".", 1, (O36/O35)^(('Summary, PPI''s'!$O36+'Summary, PPI''s'!$O35)/('Predicted PPIs'!R36+'Predicted PPIs'!R35)))*IF(P$26=".", 1, (P36/P35)^(('Summary, PPI''s'!$P36+'Summary, PPI''s'!$P35)/('Predicted PPIs'!R36+'Predicted PPIs'!R35)))</f>
        <v>#VALUE!</v>
      </c>
      <c r="AA36" s="4">
        <f>AA35*IF(E$36=".", 1, (E36/E35)^(('Summary, PPI''s'!$E36+'Summary, PPI''s'!$E35)/('Predicted PPIs'!S36+'Predicted PPIs'!S35)))*IF(F$36=".", 1, (F36/F35)^(('Summary, PPI''s'!$F36+'Summary, PPI''s'!$F35)/('Predicted PPIs'!S36+'Predicted PPIs'!S35)))*IF(G$36=".", 1, (G36/G35)^(('Summary, PPI''s'!$G36+'Summary, PPI''s'!$G35)/('Predicted PPIs'!S36+'Predicted PPIs'!S35)))*IF(H$36=".", 1, (H36/H35)^(('Summary, PPI''s'!$H36+'Summary, PPI''s'!$H35)/('Predicted PPIs'!S36+'Predicted PPIs'!S35)))*IF(I$36=".", 1, (I36/I35)^(('Summary, PPI''s'!$I36+'Summary, PPI''s'!$I35)/('Predicted PPIs'!S36+'Predicted PPIs'!S35)))*IF(J$36=".", 1, (J36/J35)^(('Summary, PPI''s'!$J36+'Summary, PPI''s'!$J35)/('Predicted PPIs'!S36+'Predicted PPIs'!S35)))*IF(K$36=".", 1, (K36/K35)^(('Summary, PPI''s'!$K36+'Summary, PPI''s'!$K35)/('Predicted PPIs'!S36+'Predicted PPIs'!S35)))*IF(L$36=".", 1, (L36/L35)^(('Summary, PPI''s'!$L36+'Summary, PPI''s'!$L35)/('Predicted PPIs'!S36+'Predicted PPIs'!S35)))*IF(M$36=".", 1, (M36/M35)^(('Summary, PPI''s'!$M36+'Summary, PPI''s'!$M35)/('Predicted PPIs'!S36+'Predicted PPIs'!S35)))*IF(B$36=".", 1, (B36/B35)^(('Summary, PPI''s'!$B36+'Summary, PPI''s'!$B35)/('Predicted PPIs'!S36+'Predicted PPIs'!S35)))*IF(C$36=".", 1, (C36/C35)^(('Summary, PPI''s'!$C36+'Summary, PPI''s'!$C35)/('Predicted PPIs'!S36+'Predicted PPIs'!S35)))*IF(D$36=".", 1, (D36/D35)^(('Summary, PPI''s'!$D36+'Summary, PPI''s'!$D35)/('Predicted PPIs'!S36+'Predicted PPIs'!S35)))*IF(N$36=".", 1, (N36/N35)^(('Summary, PPI''s'!$N36+'Summary, PPI''s'!$N35)/('Predicted PPIs'!S36+'Predicted PPIs'!S35)))*IF(O$36=".", 1, (O36/O35)^(('Summary, PPI''s'!$O36+'Summary, PPI''s'!$O35)/('Predicted PPIs'!S36+'Predicted PPIs'!S35)))*IF(P$36=".", 1, (P36/P35)^(('Summary, PPI''s'!$P36+'Summary, PPI''s'!$P35)/('Predicted PPIs'!S36+'Predicted PPIs'!S35)))</f>
        <v>47.722758206825084</v>
      </c>
      <c r="AB36" s="4">
        <f>AB35*IF(E$46=".", 1, (E36/E35)^(('Summary, PPI''s'!$E36+'Summary, PPI''s'!$E35)/('Predicted PPIs'!T36+'Predicted PPIs'!T35)))*IF(F$46=".", 1, (F36/F35)^(('Summary, PPI''s'!$F36+'Summary, PPI''s'!$F35)/('Predicted PPIs'!T36+'Predicted PPIs'!T35)))*IF(G$46=".", 1, (G36/G35)^(('Summary, PPI''s'!$G36+'Summary, PPI''s'!$G35)/('Predicted PPIs'!T36+'Predicted PPIs'!T35)))*IF(H$46=".", 1, (H36/H35)^(('Summary, PPI''s'!$H36+'Summary, PPI''s'!$H35)/('Predicted PPIs'!T36+'Predicted PPIs'!T35)))*IF(I$46=".", 1, (I36/I35)^(('Summary, PPI''s'!$I36+'Summary, PPI''s'!$I35)/('Predicted PPIs'!T36+'Predicted PPIs'!T35)))*IF(J$46=".", 1, (J36/J35)^(('Summary, PPI''s'!$J36+'Summary, PPI''s'!$J35)/('Predicted PPIs'!T36+'Predicted PPIs'!T35)))*IF(K$46=".", 1, (K36/K35)^(('Summary, PPI''s'!$K36+'Summary, PPI''s'!$K35)/('Predicted PPIs'!T36+'Predicted PPIs'!T35)))*IF(L$46=".", 1, (L36/L35)^(('Summary, PPI''s'!$L36+'Summary, PPI''s'!$L35)/('Predicted PPIs'!T36+'Predicted PPIs'!T35)))*IF(M$46=".", 1, (M36/M35)^(('Summary, PPI''s'!$M36+'Summary, PPI''s'!$M35)/('Predicted PPIs'!T36+'Predicted PPIs'!T35)))*IF(B$46=".", 1, (B36/B35)^(('Summary, PPI''s'!$B36+'Summary, PPI''s'!$B35)/('Predicted PPIs'!T36+'Predicted PPIs'!T35)))*IF(C$46=".", 1, (C36/C35)^(('Summary, PPI''s'!$C36+'Summary, PPI''s'!$C35)/('Predicted PPIs'!T36+'Predicted PPIs'!T35)))*IF(D$46=".", 1, (D36/D35)^(('Summary, PPI''s'!$D36+'Summary, PPI''s'!$D35)/('Predicted PPIs'!T36+'Predicted PPIs'!T35)))*IF(N$46=".", 1, (N36/N35)^(('Summary, PPI''s'!$N36+'Summary, PPI''s'!$N35)/('Predicted PPIs'!T36+'Predicted PPIs'!T35)))*IF(O$46=".", 1, (O36/O35)^(('Summary, PPI''s'!$O36+'Summary, PPI''s'!$O35)/('Predicted PPIs'!T36+'Predicted PPIs'!T35)))*IF(P$46=".", 1, (P36/P35)^(('Summary, PPI''s'!$P36+'Summary, PPI''s'!$P35)/('Predicted PPIs'!T36+'Predicted PPIs'!T35)))</f>
        <v>45.431406167548843</v>
      </c>
      <c r="AC36" s="4">
        <f>AC35*IF(E$60=".",1,(E36/E35)^(('Summary, PPI''s'!$E36+'Summary, PPI''s'!$E35)/('Predicted PPIs'!U36+'Predicted PPIs'!U35)))*IF(F$60=".",1,(F36/F35)^(('Summary, PPI''s'!$F36+'Summary, PPI''s'!$F35)/('Predicted PPIs'!U36+'Predicted PPIs'!U35)))*IF(G$60=".",1,(G36/G35)^(('Summary, PPI''s'!$G36+'Summary, PPI''s'!$G35)/('Predicted PPIs'!U36+'Predicted PPIs'!U35)))*IF(H$60=".",1,(H36/H35)^(('Summary, PPI''s'!$H36+'Summary, PPI''s'!$H35)/('Predicted PPIs'!U36+'Predicted PPIs'!U35)))*IF(I$60=".",1,(I36/I35)^(('Summary, PPI''s'!$I36+'Summary, PPI''s'!$I35)/('Predicted PPIs'!U36+'Predicted PPIs'!U35)))*IF(J$60=".",1,(J36/J35)^(('Summary, PPI''s'!$J36+'Summary, PPI''s'!$J35)/('Predicted PPIs'!U36+'Predicted PPIs'!U35)))*IF(K$60=".",1,(K36/K35)^(('Summary, PPI''s'!$K36+'Summary, PPI''s'!$K35)/('Predicted PPIs'!U36+'Predicted PPIs'!U35)))*IF(L$60=".",1,(L36/L35)^(('Summary, PPI''s'!$L36+'Summary, PPI''s'!$L35)/('Predicted PPIs'!U36+'Predicted PPIs'!U35)))*IF(M$60=".",1,(M36/M35)^(('Summary, PPI''s'!$M36+'Summary, PPI''s'!$M35)/('Predicted PPIs'!U36+'Predicted PPIs'!U35)))*IF(B$60=".",1,(B36/B35)^(('Summary, PPI''s'!$B36+'Summary, PPI''s'!$B35)/('Predicted PPIs'!U36+'Predicted PPIs'!U35)))*IF(C$60=".",1,(C36/C35)^(('Summary, PPI''s'!$C36+'Summary, PPI''s'!$C35)/('Predicted PPIs'!U36+'Predicted PPIs'!U35)))*IF(D$60=".",1,(D36/D35)^(('Summary, PPI''s'!$D36+'Summary, PPI''s'!$D35)/('Predicted PPIs'!U36+'Predicted PPIs'!U35)))*IF(N$60=".",1,(N36/N35)^(('Summary, PPI''s'!$N36+'Summary, PPI''s'!$N35)/('Predicted PPIs'!U36+'Predicted PPIs'!U35)))*IF(O$60=".",1,(O36/O35)^(('Summary, PPI''s'!$O36+'Summary, PPI''s'!$O35)/('Predicted PPIs'!U36+'Predicted PPIs'!U35)))*IF(P$60=".",1,(P36/P35)^(('Summary, PPI''s'!$P36+'Summary, PPI''s'!$P35)/('Predicted PPIs'!U36+'Predicted PPIs'!U35)))</f>
        <v>49.544121805553857</v>
      </c>
      <c r="AD36" s="4">
        <f>AD35*IF(E$73=".", 1, (E36/E35)^(('Summary, PPI''s'!$E36+'Summary, PPI''s'!$E35)/('Predicted PPIs'!V36+'Predicted PPIs'!V35)))*IF(F$73=".", 1, (F36/F35)^(('Summary, PPI''s'!$F36+'Summary, PPI''s'!$F35)/('Predicted PPIs'!V36+'Predicted PPIs'!V35)))*IF(G$73=".", 1, (G36/G35)^(('Summary, PPI''s'!$G36+'Summary, PPI''s'!$G35)/('Predicted PPIs'!V36+'Predicted PPIs'!V35)))*IF(H$73=".", 1, (H36/H35)^(('Summary, PPI''s'!$H36+'Summary, PPI''s'!$H35)/('Predicted PPIs'!V36+'Predicted PPIs'!V35)))*IF(I$73=".", 1, (I36/I35)^(('Summary, PPI''s'!$I36+'Summary, PPI''s'!$I35)/('Predicted PPIs'!V36+'Predicted PPIs'!V35)))*IF(J$73=".", 1, (J36/J35)^(('Summary, PPI''s'!$J36+'Summary, PPI''s'!$J35)/('Predicted PPIs'!V36+'Predicted PPIs'!V35)))*IF(K$73=".", 1, (K36/K35)^(('Summary, PPI''s'!$K36+'Summary, PPI''s'!$K35)/('Predicted PPIs'!V36+'Predicted PPIs'!V35)))*IF(L$73=".", 1, (L36/L35)^(('Summary, PPI''s'!$L36+'Summary, PPI''s'!$L35)/('Predicted PPIs'!V36+'Predicted PPIs'!V35)))*IF(M$73=".", 1, (M36/M35)^(('Summary, PPI''s'!$M36+'Summary, PPI''s'!$M35)/('Predicted PPIs'!V36+'Predicted PPIs'!V35)))*IF(B$73=".", 1, (B36/B35)^(('Summary, PPI''s'!$B36+'Summary, PPI''s'!$B35)/('Predicted PPIs'!V36+'Predicted PPIs'!V35)))*IF(C$73=".", 1, (C36/C35)^(('Summary, PPI''s'!$C36+'Summary, PPI''s'!$C35)/('Predicted PPIs'!V36+'Predicted PPIs'!V35)))*IF(D$73=".", 1, (D36/D35)^(('Summary, PPI''s'!$D36+'Summary, PPI''s'!$D35)/('Predicted PPIs'!V36+'Predicted PPIs'!V35)))*IF(N$73=".", 1, (N36/N35)^(('Summary, PPI''s'!$N36+'Summary, PPI''s'!$N35)/('Predicted PPIs'!V36+'Predicted PPIs'!V35)))*IF(O$73=".", 1, (O36/O35)^(('Summary, PPI''s'!$O36+'Summary, PPI''s'!$O35)/('Predicted PPIs'!V36+'Predicted PPIs'!V35)))*IF(P$73=".", 1, (P36/P35)^(('Summary, PPI''s'!$P36+'Summary, PPI''s'!$P35)/('Predicted PPIs'!V36+'Predicted PPIs'!V35)))</f>
        <v>47.725798185047807</v>
      </c>
      <c r="AE36" s="4">
        <f>AE35*IF(E$94=".", 1, (E36/E35)^(('Summary, PPI''s'!$E36+'Summary, PPI''s'!$E35)/('Predicted PPIs'!W36+'Predicted PPIs'!W35)))*IF(F$94=".", 1, (F36/F35)^(('Summary, PPI''s'!$F36+'Summary, PPI''s'!$F35)/('Predicted PPIs'!W36+'Predicted PPIs'!W35)))*IF(G$94=".", 1, (G36/G35)^(('Summary, PPI''s'!$G36+'Summary, PPI''s'!$G35)/('Predicted PPIs'!W36+'Predicted PPIs'!W35)))*IF(H$94=".", 1, (H36/H35)^(('Summary, PPI''s'!$H36+'Summary, PPI''s'!$H35)/('Predicted PPIs'!W36+'Predicted PPIs'!W35)))*IF(I$94=".", 1, (I36/I35)^(('Summary, PPI''s'!$I36+'Summary, PPI''s'!$I35)/('Predicted PPIs'!W36+'Predicted PPIs'!W35)))*IF(J$94=".", 1, (J36/J35)^(('Summary, PPI''s'!$J36+'Summary, PPI''s'!$J35)/('Predicted PPIs'!W36+'Predicted PPIs'!W35)))*IF(K$94=".", 1, (K36/K35)^(('Summary, PPI''s'!$K36+'Summary, PPI''s'!$K35)/('Predicted PPIs'!W36+'Predicted PPIs'!W35)))*IF(L$94=".", 1, (L36/L35)^(('Summary, PPI''s'!$L36+'Summary, PPI''s'!$L35)/('Predicted PPIs'!W36+'Predicted PPIs'!W35)))*IF(M$94=".", 1, (M36/M35)^(('Summary, PPI''s'!$M36+'Summary, PPI''s'!$M35)/('Predicted PPIs'!W36+'Predicted PPIs'!W35)))*IF(B$94=".", 1, (B36/B35)^(('Summary, PPI''s'!$B36+'Summary, PPI''s'!$B35)/('Predicted PPIs'!W36+'Predicted PPIs'!W35)))*IF(C$94=".", 1, (C36/C35)^(('Summary, PPI''s'!$C36+'Summary, PPI''s'!$C35)/('Predicted PPIs'!W36+'Predicted PPIs'!W35)))*IF(D$94=".", 1, (D36/D35)^(('Summary, PPI''s'!$D36+'Summary, PPI''s'!$D35)/('Predicted PPIs'!W36+'Predicted PPIs'!W35)))*IF(N$94=".", 1, (N36/N35)^(('Summary, PPI''s'!$N36+'Summary, PPI''s'!$N35)/('Predicted PPIs'!W36+'Predicted PPIs'!W35)))*IF(O$94=".", 1, (O36/O35)^(('Summary, PPI''s'!$O36+'Summary, PPI''s'!$O35)/('Predicted PPIs'!W36+'Predicted PPIs'!W35)))*IF(P$94=".", 1, (P36/P35)^(('Summary, PPI''s'!$P36+'Summary, PPI''s'!$P35)/('Predicted PPIs'!W36+'Predicted PPIs'!W35)))</f>
        <v>42.350340865991619</v>
      </c>
      <c r="AF36" s="4">
        <f>AF35*IF(E$123=".", 1, (E36/E35)^(('Summary, PPI''s'!$E36+'Summary, PPI''s'!$E35)/('Predicted PPIs'!X36+'Predicted PPIs'!X35)))*IF(F$123=".", 1, (F36/F35)^(('Summary, PPI''s'!$F36+'Summary, PPI''s'!$F35)/('Predicted PPIs'!X36+'Predicted PPIs'!X35)))*IF(G$123=".", 1, (G36/G35)^(('Summary, PPI''s'!$G36+'Summary, PPI''s'!$G35)/('Predicted PPIs'!X36+'Predicted PPIs'!X35)))*IF(H$123=".", 1, (H36/H35)^(('Summary, PPI''s'!$H36+'Summary, PPI''s'!$H35)/('Predicted PPIs'!X36+'Predicted PPIs'!X35)))*IF(I$123=".", 1, (I36/I35)^(('Summary, PPI''s'!$I36+'Summary, PPI''s'!$I35)/('Predicted PPIs'!X36+'Predicted PPIs'!X35)))*IF(J$123=".", 1, (J36/J35)^(('Summary, PPI''s'!$J36+'Summary, PPI''s'!$J35)/('Predicted PPIs'!X36+'Predicted PPIs'!X35)))*IF(K$123=".", 1, (K36/K35)^(('Summary, PPI''s'!$K36+'Summary, PPI''s'!$K35)/('Predicted PPIs'!X36+'Predicted PPIs'!X35)))*IF(L$123=".", 1, (L36/L35)^(('Summary, PPI''s'!$L36+'Summary, PPI''s'!$L35)/('Predicted PPIs'!X36+'Predicted PPIs'!X35)))*IF(M$123=".", 1, (M36/M35)^(('Summary, PPI''s'!$M36+'Summary, PPI''s'!$M35)/('Predicted PPIs'!X36+'Predicted PPIs'!X35)))*IF(B$123=".", 1, (B36/B35)^(('Summary, PPI''s'!$B36+'Summary, PPI''s'!$B35)/('Predicted PPIs'!X36+'Predicted PPIs'!X35)))*IF(C$123=".", 1, (C36/C35)^(('Summary, PPI''s'!$C36+'Summary, PPI''s'!$C35)/('Predicted PPIs'!X36+'Predicted PPIs'!X35)))*IF(D$123=".", 1, (D36/D35)^(('Summary, PPI''s'!$D36+'Summary, PPI''s'!$D35)/('Predicted PPIs'!X36+'Predicted PPIs'!X35)))*IF(N$123=".", 1, (N36/N35)^(('Summary, PPI''s'!$N36+'Summary, PPI''s'!$N35)/('Predicted PPIs'!X36+'Predicted PPIs'!X35)))*IF(O$123=".", 1, (O36/O35)^(('Summary, PPI''s'!$O36+'Summary, PPI''s'!$O35)/('Predicted PPIs'!X36+'Predicted PPIs'!X35)))*IF(P$123=".", 1, (P36/P35)^(('Summary, PPI''s'!$P36+'Summary, PPI''s'!$P35)/('Predicted PPIs'!X36+'Predicted PPIs'!X35)))</f>
        <v>38.992193200430414</v>
      </c>
      <c r="AH36" s="13">
        <f t="shared" ref="AH36:AH67" si="91">IF(A36&gt;(A$26-0.01),AH35*Z36/Z35,IF(A36&gt;(A$36-0.01),AH35*AA36/AA35,IF(A36&gt;(A$46-0.01),AH35*AB36/AB35,IF(A36&gt;(A$60-0.01), AH35*AC36/AC35,IF(A36&gt;(A$73-0.01),AH35*AD36/AD35,IF(A36&gt;(A$94-0.01),AH35*AE36/AE35,AH35*AF36/AF35))))))</f>
        <v>53.789072285544357</v>
      </c>
      <c r="AJ36" s="4">
        <v>3076.3</v>
      </c>
      <c r="AK36" s="4">
        <v>-0.74299999999999999</v>
      </c>
      <c r="AL36" s="4">
        <v>-329.14699999999999</v>
      </c>
      <c r="AM36" s="4">
        <v>-5.0410000000000004</v>
      </c>
      <c r="AN36" s="4">
        <v>3542.4</v>
      </c>
      <c r="AO36" s="4">
        <v>857.9</v>
      </c>
      <c r="AP36" s="4">
        <f>('[3]1987'!$I$14+'[3]1987'!$I$69+'[3]1987'!$I$71-'[3]1987'!$I$73)*0.001</f>
        <v>-35.93</v>
      </c>
      <c r="AQ36" s="4">
        <f>('[3]1987'!$AY$56+'[3]1987'!$AY$69+'[3]1987'!$AY$71-'[3]1987'!$AY$73)*0.001</f>
        <v>-169.208</v>
      </c>
      <c r="AR36" s="4">
        <v>-13.616</v>
      </c>
      <c r="AS36" s="4">
        <v>-21.88</v>
      </c>
      <c r="AT36" s="4">
        <v>55.854999999999997</v>
      </c>
      <c r="AU36" s="4">
        <v>66.257999999999996</v>
      </c>
      <c r="AV36" s="4">
        <v>49.18</v>
      </c>
      <c r="AW36" s="4">
        <v>28.959</v>
      </c>
      <c r="AX36" s="4">
        <v>54.822000000000003</v>
      </c>
      <c r="AY36" s="4">
        <v>74.506</v>
      </c>
      <c r="AZ36" s="4">
        <v>36.618000000000002</v>
      </c>
      <c r="BA36" s="4">
        <v>56.877000000000002</v>
      </c>
      <c r="BB36" s="4">
        <v>102.539</v>
      </c>
      <c r="BC36" s="4">
        <v>65.093000000000004</v>
      </c>
      <c r="BG36" s="4">
        <f t="shared" si="50"/>
        <v>51.235235429609688</v>
      </c>
      <c r="BI36" s="4">
        <f>BI$13*'[2]Ordinary Experience'!$D$390/'[2]Ordinary Experience'!$D$413</f>
        <v>242050421.13435817</v>
      </c>
      <c r="BJ36" s="4">
        <f>'[2]Ordinary Experience'!$E$390</f>
        <v>21.824256320368566</v>
      </c>
      <c r="BL36" s="4">
        <f t="shared" si="90"/>
        <v>68.316656069901811</v>
      </c>
      <c r="BM36" s="4">
        <f t="shared" si="34"/>
        <v>4.6640893235258885E-2</v>
      </c>
      <c r="BO36" s="4">
        <f>IF(OR('Summary, hourly ad costs'!R36=-9999,'Summary, PPI''s'!R36="."),".",(('Summary, hourly ad costs'!B36/'Summary, hourly ad costs'!R36)*100/('Summary, hourly ad costs'!B$11/'Summary, hourly ad costs'!R$11))/('Summary, PPI''s'!R36))</f>
        <v>0.81603552345946684</v>
      </c>
      <c r="BP36" s="4" t="str">
        <f>IF(OR('Summary, hourly ad costs'!S36=-9999,'Summary, PPI''s'!S36="."),".",(('Summary, hourly ad costs'!C36/'Summary, hourly ad costs'!S36)*100/('Summary, hourly ad costs'!C$11/'Summary, hourly ad costs'!S$11))/('Summary, PPI''s'!S36))</f>
        <v>.</v>
      </c>
      <c r="BQ36" s="4" t="str">
        <f>IF(OR('Summary, hourly ad costs'!T36=-9999,'Summary, PPI''s'!T36="."),".",(('Summary, hourly ad costs'!D36/'Summary, hourly ad costs'!T36)*100/('Summary, hourly ad costs'!D$11/'Summary, hourly ad costs'!T$11))/('Summary, PPI''s'!T36))</f>
        <v>.</v>
      </c>
      <c r="BR36" s="4">
        <f>IF(OR('Summary, hourly ad costs'!U36=-9999,'Summary, PPI''s'!U36="."),".",(('Summary, hourly ad costs'!E36/'Summary, hourly ad costs'!U36)*100/('Summary, hourly ad costs'!E$11/'Summary, hourly ad costs'!U$11))/('Summary, PPI''s'!U36))</f>
        <v>2.3278895663649317</v>
      </c>
      <c r="BS36" s="4">
        <f>IF(OR('Summary, hourly ad costs'!V36=-9999,'Summary, PPI''s'!V36="."),".",(('Summary, hourly ad costs'!F36/'Summary, hourly ad costs'!V36)*100/('Summary, hourly ad costs'!F$11/'Summary, hourly ad costs'!V$11))/('Summary, PPI''s'!V36))</f>
        <v>1.8643787850484621</v>
      </c>
      <c r="BT36" s="4" t="str">
        <f>IF(OR('Summary, hourly ad costs'!W36=-9999,'Summary, PPI''s'!W36="."),".",(('Summary, hourly ad costs'!G36/'Summary, hourly ad costs'!W36)*100/('Summary, hourly ad costs'!G$11/'Summary, hourly ad costs'!W$11))/('Summary, PPI''s'!W36))</f>
        <v>.</v>
      </c>
      <c r="BU36" s="4">
        <f>IF(OR('Summary, hourly ad costs'!X36=-9999,'Summary, PPI''s'!X36="."),".",(('Summary, hourly ad costs'!H36/'Summary, hourly ad costs'!X36)*100/('Summary, hourly ad costs'!H$11/'Summary, hourly ad costs'!X$11))/('Summary, PPI''s'!X36))</f>
        <v>1.1131279025851659</v>
      </c>
      <c r="BV36" s="4">
        <f>IF(OR('Summary, hourly ad costs'!Y36=-9999,'Summary, PPI''s'!Y36="."),".",(('Summary, hourly ad costs'!I36/'Summary, hourly ad costs'!Y36)*100/('Summary, hourly ad costs'!I$11/'Summary, hourly ad costs'!Y$11))/('Summary, PPI''s'!Y36))</f>
        <v>0.69829025183910309</v>
      </c>
      <c r="BW36" s="4">
        <f>IF(OR('Summary, hourly ad costs'!Z36=-9999,'Summary, PPI''s'!Z36="."),".",(('Summary, hourly ad costs'!J36/'Summary, hourly ad costs'!Z36)*100/('Summary, hourly ad costs'!J$11/'Summary, hourly ad costs'!Z$11))/('Summary, PPI''s'!Z36))</f>
        <v>0.71760851206284737</v>
      </c>
      <c r="BX36" s="4" t="str">
        <f>IF(OR('Summary, hourly ad costs'!AA36=-9999,'Summary, PPI''s'!AA36="."),".",(('Summary, hourly ad costs'!K36/'Summary, hourly ad costs'!AA36)*100/('Summary, hourly ad costs'!K$11/'Summary, hourly ad costs'!AA$11))/('Summary, PPI''s'!AA36))</f>
        <v>.</v>
      </c>
      <c r="BY36" s="4" t="str">
        <f>IF(OR('Summary, hourly ad costs'!AB36=-9999,'Summary, PPI''s'!AB36="."),".",(('Summary, hourly ad costs'!L36/'Summary, hourly ad costs'!AB36)*100/('Summary, hourly ad costs'!L$11/'Summary, hourly ad costs'!AB$11))/('Summary, PPI''s'!AB36))</f>
        <v>.</v>
      </c>
      <c r="BZ36" s="4" t="str">
        <f>IF(OR('Summary, hourly ad costs'!AC36=-9999,'Summary, PPI''s'!AC36="."),".",(('Summary, hourly ad costs'!M36/'Summary, hourly ad costs'!AC36)*100/('Summary, hourly ad costs'!M$11/'Summary, hourly ad costs'!AC$11))/('Summary, PPI''s'!AC36))</f>
        <v>.</v>
      </c>
      <c r="CA36" s="4" t="str">
        <f>IF(OR('Summary, hourly ad costs'!AD36=-9999,'Summary, PPI''s'!AD36="."),".",(('Summary, hourly ad costs'!N36/'Summary, hourly ad costs'!AD36)*100/('Summary, hourly ad costs'!N$11/'Summary, hourly ad costs'!AD$11))/('Summary, PPI''s'!AD36))</f>
        <v>.</v>
      </c>
      <c r="CB36" s="4" t="str">
        <f>IF(OR('Summary, hourly ad costs'!AE36=-9999,'Summary, PPI''s'!AE36="."),".",(('Summary, hourly ad costs'!O36/'Summary, hourly ad costs'!AE36)*100/('Summary, hourly ad costs'!O$11/'Summary, hourly ad costs'!AE$11))/('Summary, PPI''s'!AE36))</f>
        <v>.</v>
      </c>
      <c r="CC36" s="4" t="str">
        <f>IF(OR('Summary, hourly ad costs'!AF36=-9999,'Summary, PPI''s'!AF36="."),".",(('Summary, hourly ad costs'!P36/'Summary, hourly ad costs'!AF36)*100/('Summary, hourly ad costs'!P$11/'Summary, hourly ad costs'!AF$11))/('Summary, PPI''s'!AF36))</f>
        <v>.</v>
      </c>
      <c r="CE36" s="4">
        <f t="shared" si="80"/>
        <v>5.5308411014999725E-2</v>
      </c>
      <c r="CF36" s="4" t="str">
        <f t="shared" si="81"/>
        <v>.</v>
      </c>
      <c r="CG36" s="4" t="str">
        <f t="shared" si="82"/>
        <v>.</v>
      </c>
      <c r="CH36" s="4">
        <f t="shared" si="83"/>
        <v>2.5112293889555382E-2</v>
      </c>
      <c r="CI36" s="4">
        <f t="shared" si="84"/>
        <v>-2.665218049450957E-2</v>
      </c>
      <c r="CJ36" s="4" t="str">
        <f t="shared" si="85"/>
        <v>.</v>
      </c>
      <c r="CK36" s="4">
        <f t="shared" si="86"/>
        <v>-2.3273191181671926E-5</v>
      </c>
      <c r="CL36" s="4">
        <f t="shared" si="87"/>
        <v>-9.6303901347785104E-3</v>
      </c>
      <c r="CM36" s="4">
        <f t="shared" si="88"/>
        <v>-2.6074619118915288E-2</v>
      </c>
      <c r="CN36" s="4">
        <f t="shared" si="89"/>
        <v>1.7798475246969897E-2</v>
      </c>
      <c r="CO36" s="4">
        <f t="shared" si="79"/>
        <v>0.3005863404312909</v>
      </c>
      <c r="CP36" s="4">
        <f t="shared" si="79"/>
        <v>6.7386181509797652E-2</v>
      </c>
      <c r="CQ36" s="4" t="str">
        <f t="shared" si="62"/>
        <v>.</v>
      </c>
      <c r="CR36" s="4" t="str">
        <f t="shared" si="63"/>
        <v>.</v>
      </c>
      <c r="CS36" s="4" t="str">
        <f t="shared" si="64"/>
        <v>.</v>
      </c>
      <c r="CU36" s="5">
        <f>IF(CU35=".", ".", IF('Summary, PPI''s'!R36=".",IF(OR('Summary, hourly ad costs'!R36=-9999,'Summary, hourly ad costs'!R36=0), ".", 'Predicted PPIs'!CU35*('Summary, hourly ad costs'!B36/'Summary, hourly ad costs'!R36)/('Summary, hourly ad costs'!B35/'Summary, hourly ad costs'!R35)/(1-CE35)), 'Summary, PPI''s'!R36))</f>
        <v>76.228327554014385</v>
      </c>
      <c r="CV36" s="5">
        <f>IF(CV35=".", ".", IF('Summary, PPI''s'!S36=".",IF(OR('Summary, hourly ad costs'!S36=-9999,'Summary, hourly ad costs'!S36=0), ".", 'Predicted PPIs'!CV35*('Summary, hourly ad costs'!C36/'Summary, hourly ad costs'!S36)/('Summary, hourly ad costs'!C35/'Summary, hourly ad costs'!S35)/(1-CF35)), 'Summary, PPI''s'!S36))</f>
        <v>76.228327554014385</v>
      </c>
      <c r="CW36" s="5">
        <f>IF(CW35=".", ".", IF('Summary, PPI''s'!T36=".",IF(OR('Summary, hourly ad costs'!T36=-9999,'Summary, hourly ad costs'!T36=0), ".", 'Predicted PPIs'!CW35*('Summary, hourly ad costs'!D36/'Summary, hourly ad costs'!T36)/('Summary, hourly ad costs'!D35/'Summary, hourly ad costs'!T35)/(1-CG35)), 'Summary, PPI''s'!T36))</f>
        <v>62.324457643328145</v>
      </c>
      <c r="CX36" s="5">
        <f>IF(CX35=".", ".", IF('Summary, PPI''s'!U36=".",IF(OR('Summary, hourly ad costs'!U36=-9999,'Summary, hourly ad costs'!U36=0), ".", 'Predicted PPIs'!CX35*('Summary, hourly ad costs'!E36/'Summary, hourly ad costs'!U36)/('Summary, hourly ad costs'!E35/'Summary, hourly ad costs'!U35)/(1-CH35)), 'Summary, PPI''s'!U36))</f>
        <v>36.601514574607599</v>
      </c>
      <c r="CY36" s="5">
        <f>IF(CY35=".", ".", IF('Summary, PPI''s'!V36=".",IF(OR('Summary, hourly ad costs'!V36=-9999,'Summary, hourly ad costs'!V36=0), ".", 'Predicted PPIs'!CY35*('Summary, hourly ad costs'!F36/'Summary, hourly ad costs'!V36)/('Summary, hourly ad costs'!F35/'Summary, hourly ad costs'!V35)/(1-CI35)), 'Summary, PPI''s'!V36))</f>
        <v>35.732526051320065</v>
      </c>
      <c r="CZ36" s="5">
        <f>IF(CZ35=".", ".", IF('Summary, PPI''s'!W36=".",IF(OR('Summary, hourly ad costs'!W36=-9999,'Summary, hourly ad costs'!W36=0), ".", 'Predicted PPIs'!CZ35*('Summary, hourly ad costs'!G36/'Summary, hourly ad costs'!W36)/('Summary, hourly ad costs'!G35/'Summary, hourly ad costs'!W35)/(1-CJ35)), 'Summary, PPI''s'!W36))</f>
        <v>41.937126299205879</v>
      </c>
      <c r="DA36" s="5">
        <f>IF(DA35=".", ".", IF('Summary, PPI''s'!X36=".",IF(OR('Summary, hourly ad costs'!X36=-9999,'Summary, hourly ad costs'!X36=0), ".", 'Predicted PPIs'!DA35*('Summary, hourly ad costs'!H36/'Summary, hourly ad costs'!X36)/('Summary, hourly ad costs'!H35/'Summary, hourly ad costs'!X35)/(1-CK35)), 'Summary, PPI''s'!X36))</f>
        <v>41.94</v>
      </c>
      <c r="DB36" s="5">
        <f>IF(DB35=".", ".", IF('Summary, PPI''s'!Y36=".",IF(OR('Summary, hourly ad costs'!Y36=-9999,'Summary, hourly ad costs'!Y36=0), ".", 'Predicted PPIs'!DB35*('Summary, hourly ad costs'!I36/'Summary, hourly ad costs'!Y36)/('Summary, hourly ad costs'!I35/'Summary, hourly ad costs'!Y35)/(1-CL35)), 'Summary, PPI''s'!Y36))</f>
        <v>53.621526112675809</v>
      </c>
      <c r="DC36" s="5">
        <f>IF(DC35=".", ".", IF('Summary, PPI''s'!Z36=".",IF(OR('Summary, hourly ad costs'!Z36=-9999,'Summary, hourly ad costs'!Z36=0), ".", 'Predicted PPIs'!DC35*('Summary, hourly ad costs'!J36/'Summary, hourly ad costs'!Z36)/('Summary, hourly ad costs'!J35/'Summary, hourly ad costs'!Z35)/(1-CM35)), 'Summary, PPI''s'!Z36))</f>
        <v>57.485895495409927</v>
      </c>
      <c r="DD36" s="5">
        <f>IF(DD35=".", ".", IF('Summary, PPI''s'!AA36=".",IF(OR('Summary, hourly ad costs'!AA36=-9999,'Summary, hourly ad costs'!AA36=0), ".", 'Predicted PPIs'!DD35*('Summary, hourly ad costs'!K36/'Summary, hourly ad costs'!AA36)/('Summary, hourly ad costs'!K35/'Summary, hourly ad costs'!AA35)/(1-CN35)), 'Summary, PPI''s'!AA36))</f>
        <v>32.211623486338269</v>
      </c>
      <c r="DE36" s="5" t="str">
        <f>IF(DE35=".", ".", IF('Summary, PPI''s'!AB36=".",IF(OR('Summary, hourly ad costs'!AB36=-9999,'Summary, hourly ad costs'!AB36=0), ".", 'Predicted PPIs'!DE35*('Summary, hourly ad costs'!L36/'Summary, hourly ad costs'!AB36)/('Summary, hourly ad costs'!L35/'Summary, hourly ad costs'!AB35)/(1-CO35)), 'Summary, PPI''s'!AB36))</f>
        <v>.</v>
      </c>
      <c r="DF36" s="5" t="str">
        <f>IF(DF35=".", ".", IF('Summary, PPI''s'!AC36=".",IF(OR('Summary, hourly ad costs'!AC36=-9999,'Summary, hourly ad costs'!AC36=0), ".", 'Predicted PPIs'!DF35*('Summary, hourly ad costs'!M36/'Summary, hourly ad costs'!AC36)/('Summary, hourly ad costs'!M35/'Summary, hourly ad costs'!AC35)/(1-CP35)), 'Summary, PPI''s'!AC36))</f>
        <v>.</v>
      </c>
      <c r="DG36" s="5">
        <f>IF(DG35=".", ".", IF('Summary, PPI''s'!AD36=".",IF(OR('Summary, hourly ad costs'!AD36=-9999,'Summary, hourly ad costs'!AD36=0), ".", 'Predicted PPIs'!DG35*('Summary, hourly ad costs'!N36/'Summary, hourly ad costs'!AD36)/('Summary, hourly ad costs'!N35/'Summary, hourly ad costs'!AD35)/(1-CQ35)), 'Summary, PPI''s'!AD36))</f>
        <v>57.229737747630764</v>
      </c>
      <c r="DH36" s="5">
        <f>IF(DH35=".", ".", IF('Summary, PPI''s'!AE36=".",IF(OR('Summary, hourly ad costs'!AE36=-9999,'Summary, hourly ad costs'!AE36=0), ".", 'Predicted PPIs'!DH35*('Summary, hourly ad costs'!O36/'Summary, hourly ad costs'!AE36)/('Summary, hourly ad costs'!O35/'Summary, hourly ad costs'!AE35)/(1-CR35)), 'Summary, PPI''s'!AE36))</f>
        <v>40.471898308957954</v>
      </c>
      <c r="DI36" s="5">
        <f>IF(DI35=".", ".", IF('Summary, PPI''s'!AF36=".",IF(OR('Summary, hourly ad costs'!AF36=-9999,'Summary, hourly ad costs'!AF36=0), ".", 'Predicted PPIs'!DI35*('Summary, hourly ad costs'!P36/'Summary, hourly ad costs'!AF36)/('Summary, hourly ad costs'!P35/'Summary, hourly ad costs'!AF35)/(1-CS35)), 'Summary, PPI''s'!AF36))</f>
        <v>48.859068345323756</v>
      </c>
      <c r="DK36" s="4">
        <v>35.53</v>
      </c>
      <c r="DM36" s="5">
        <f t="shared" si="65"/>
        <v>-4.4205676397507387E-2</v>
      </c>
      <c r="DN36" s="5">
        <f t="shared" si="66"/>
        <v>-4.4205676397507387E-2</v>
      </c>
      <c r="DO36" s="5">
        <f t="shared" si="67"/>
        <v>-4.897570436759624E-2</v>
      </c>
      <c r="DP36" s="5">
        <f t="shared" si="68"/>
        <v>-7.5156636065196736E-3</v>
      </c>
      <c r="DQ36" s="5">
        <f t="shared" si="69"/>
        <v>-1.706196473957089E-2</v>
      </c>
      <c r="DR36" s="5">
        <f t="shared" si="70"/>
        <v>-5.87294659984261E-3</v>
      </c>
      <c r="DS36" s="5">
        <f t="shared" si="71"/>
        <v>-2.0255987294640287E-2</v>
      </c>
      <c r="DT36" s="5">
        <f t="shared" si="72"/>
        <v>-3.5515856397997925E-2</v>
      </c>
      <c r="DU36" s="5">
        <f t="shared" si="73"/>
        <v>-3.5515856397997925E-2</v>
      </c>
      <c r="DV36" s="5">
        <f t="shared" si="74"/>
        <v>-1.9142554839268744E-2</v>
      </c>
      <c r="DW36" s="4">
        <f t="shared" si="78"/>
        <v>-0.15332431824861043</v>
      </c>
      <c r="DX36" s="4">
        <f t="shared" si="78"/>
        <v>0.10857849866778907</v>
      </c>
      <c r="DY36" s="4">
        <f>_xlfn.FORECAST.LINEAR($BM36,DY$4:DY$35,$BM$4:$BM$35)</f>
        <v>-1.4178505534868649E-2</v>
      </c>
      <c r="DZ36" s="5">
        <f t="shared" ref="DZ36:DZ45" si="92">IF(OR(DH36=".", DH37="."), ".",(DH36/$DK36)/(DH37/$DK37)-1)</f>
        <v>-2.1559178564283688E-2</v>
      </c>
      <c r="EA36" s="4">
        <f>_xlfn.FORECAST.LINEAR($BM36,EA$4:EA$35,$BM$4:$BM$35)</f>
        <v>-8.2452231562160135E-3</v>
      </c>
      <c r="EC36" s="1">
        <f t="shared" ref="EC36:EC67" si="93">IF(CU36=".", EC35*$DK36/$DK35/(1-DM35), CU36)</f>
        <v>76.228327554014385</v>
      </c>
      <c r="ED36" s="1">
        <f t="shared" ref="ED36:ED67" si="94">IF(CV36=".", ED35*$DK36/$DK35/(1-DN35), CV36)</f>
        <v>76.228327554014385</v>
      </c>
      <c r="EE36" s="1">
        <f t="shared" ref="EE36:EE67" si="95">IF(CW36=".", EE35*$DK36/$DK35/(1-DO35), CW36)</f>
        <v>62.324457643328145</v>
      </c>
      <c r="EF36" s="1">
        <f t="shared" ref="EF36:EF67" si="96">IF(CX36=".", EF35*$DK36/$DK35/(1-DP35), CX36)</f>
        <v>36.601514574607599</v>
      </c>
      <c r="EG36" s="1">
        <f t="shared" ref="EG36:EG67" si="97">IF(CY36=".", EG35*$DK36/$DK35/(1-DQ35), CY36)</f>
        <v>35.732526051320065</v>
      </c>
      <c r="EH36" s="1">
        <f t="shared" ref="EH36:EH67" si="98">IF(CZ36=".", EH35*$DK36/$DK35/(1-DR35), CZ36)</f>
        <v>41.937126299205879</v>
      </c>
      <c r="EI36" s="1">
        <f t="shared" ref="EI36:EI67" si="99">IF(DA36=".", EI35*$DK36/$DK35/(1-DS35), DA36)</f>
        <v>41.94</v>
      </c>
      <c r="EJ36" s="1">
        <f t="shared" ref="EJ36:EJ67" si="100">IF(DB36=".", EJ35*$DK36/$DK35/(1-DT35), DB36)</f>
        <v>53.621526112675809</v>
      </c>
      <c r="EK36" s="1">
        <f t="shared" ref="EK36:EK67" si="101">IF(DC36=".", EK35*$DK36/$DK35/(1-DU35), DC36)</f>
        <v>57.485895495409927</v>
      </c>
      <c r="EL36" s="1">
        <f t="shared" ref="EL36:EL67" si="102">IF(DD36=".", EL35*$DK36/$DK35/(1-DV35), DD36)</f>
        <v>32.211623486338269</v>
      </c>
      <c r="EM36" s="1">
        <f t="shared" ref="EM36:EM67" si="103">IF(DE36=".", EM35*$DK36/$DK35/(1-DW35), DE36)</f>
        <v>91.228114180509735</v>
      </c>
      <c r="EN36" s="1">
        <f t="shared" ref="EN36:EN67" si="104">IF(DF36=".", EN35*$DK36/$DK35/(1-DX35), DF36)</f>
        <v>48.742793778775997</v>
      </c>
      <c r="EO36" s="1">
        <f t="shared" ref="EO36:EO67" si="105">IF(DG36=".", EO35*$DK36/$DK35/(1-DY35), DG36)</f>
        <v>57.229737747630764</v>
      </c>
      <c r="EP36" s="1">
        <f t="shared" ref="EP36:EP67" si="106">IF(DH36=".", EP35*$DK36/$DK35/(1-DZ35), DH36)</f>
        <v>40.471898308957954</v>
      </c>
      <c r="EQ36" s="1">
        <f t="shared" ref="EQ36:EQ67" si="107">IF(DI36=".", EQ35*$DK36/$DK35/(1-EA35), DI36)</f>
        <v>48.859068345323756</v>
      </c>
      <c r="ES36" s="1">
        <f>IF(EF$26=".", 0, 'Summary, PPI''s'!E36)+IF(EG$26=".", 0, 'Summary, PPI''s'!F36)+IF(EH$26=".", 0, 'Summary, PPI''s'!G36)+IF(EI$26=".", 0, 'Summary, PPI''s'!H36)+IF(EJ$26=".", 0, 'Summary, PPI''s'!I36)+IF(EK$26=".", 0, 'Summary, PPI''s'!J36)+IF(EL$26=".", 0, 'Summary, PPI''s'!K36)+IF(EM$26=".", 0, 'Summary, PPI''s'!L36)+IF(EN$26=".", 0, 'Summary, PPI''s'!M36)+IF(EC$26=".", 0, 'Summary, PPI''s'!B36)+IF(ED$26=".", 0, 'Summary, PPI''s'!C36)+IF(EE$26=".", 0, 'Summary, PPI''s'!D36)+IF(EO$26=".", 0, 'Summary, PPI''s'!N36)+IF(EP$26=".", 0, 'Summary, PPI''s'!O36)+IF(EQ$26=".", 0, 'Summary, PPI''s'!P36)</f>
        <v>113304125.70386614</v>
      </c>
      <c r="ET36" s="1">
        <f>'Summary, hourly ad costs'!E36+'Summary, hourly ad costs'!F36+'Summary, hourly ad costs'!H36+'Summary, hourly ad costs'!I36+'Summary, hourly ad costs'!J36+'Summary, hourly ad costs'!K36+'Summary, hourly ad costs'!L36+'Summary, hourly ad costs'!M36+'Summary, hourly ad costs'!B36</f>
        <v>59751244.580802105</v>
      </c>
      <c r="EV36" s="13">
        <f>EV35*IF(EF$26=".", 1, (EF36/EF35)^(('Summary, PPI''s'!$E36+'Summary, PPI''s'!$E35)/('Predicted PPIs'!ES36+'Predicted PPIs'!ES35)))*IF(EG$26=".", 1, (EG36/EG35)^(('Summary, PPI''s'!$F36+'Summary, PPI''s'!$F35)/('Predicted PPIs'!ES36+'Predicted PPIs'!ES35)))*IF(EH$26=".", 1, (EH36/EH35)^(('Summary, PPI''s'!$G36+'Summary, PPI''s'!$G35)/('Predicted PPIs'!ES36+'Predicted PPIs'!ES35)))*IF(EI$26=".", 1, (EI36/EI35)^(('Summary, PPI''s'!$H36+'Summary, PPI''s'!$H35)/('Predicted PPIs'!ES36+'Predicted PPIs'!ES35)))*IF(EJ$26=".", 1, (EJ36/EJ35)^(('Summary, PPI''s'!$I36+'Summary, PPI''s'!$I35)/('Predicted PPIs'!ES36+'Predicted PPIs'!ES35)))*IF(EK$26=".", 1, (EK36/EK35)^(('Summary, PPI''s'!$J36+'Summary, PPI''s'!$J35)/('Predicted PPIs'!ES36+'Predicted PPIs'!ES35)))*IF(EL$26=".", 1, (EL36/EL35)^(('Summary, PPI''s'!$K36+'Summary, PPI''s'!$K35)/('Predicted PPIs'!ES36+'Predicted PPIs'!ES35)))*IF(EM$26=".", 1, (EM36/EM35)^(('Summary, PPI''s'!$L36+'Summary, PPI''s'!$L35)/('Predicted PPIs'!ES36+'Predicted PPIs'!ES35)))*IF(EN$26=".", 1, (EN36/EN35)^(('Summary, PPI''s'!$M36+'Summary, PPI''s'!$M35)/('Predicted PPIs'!ES36+'Predicted PPIs'!ES35)))*IF(EC$26=".", 1, (EC36/EC35)^(('Summary, PPI''s'!$B36+'Summary, PPI''s'!$B35)/('Predicted PPIs'!ES36+'Predicted PPIs'!ES35)))*IF(ED$26=".", 1, (ED36/ED35)^(('Summary, PPI''s'!$C36+'Summary, PPI''s'!$C35)/('Predicted PPIs'!ES36+'Predicted PPIs'!ES35)))*IF(EE$26=".", 1, (EE36/EE35)^(('Summary, PPI''s'!$D36+'Summary, PPI''s'!$D35)/('Predicted PPIs'!ES36+'Predicted PPIs'!ES35)))*IF(EO$26=".", 1, (EO36/EO35)^(('Summary, PPI''s'!$N36+'Summary, PPI''s'!$N35)/('Predicted PPIs'!ES36+'Predicted PPIs'!ES35)))*IF(EP$26=".", 1, (EP36/EP35)^(('Summary, PPI''s'!$O36+'Summary, PPI''s'!$O35)/('Predicted PPIs'!ES36+'Predicted PPIs'!ES35)))*IF(EQ$26=".", 1, (EQ36/EQ35)^(('Summary, PPI''s'!$P36+'Summary, PPI''s'!$P35)/('Predicted PPIs'!ES36+'Predicted PPIs'!ES35)))</f>
        <v>56.65501193345591</v>
      </c>
      <c r="EW36" s="13">
        <f>EW35*IF(EF$26=".", 1, (EF36/EF35)^(('Summary, PPI''s'!$E36+'Summary, PPI''s'!$E35)/('Predicted PPIs'!ET36+'Predicted PPIs'!ET35)))*IF(EG$26=".", 1, (EG36/EG35)^(('Summary, PPI''s'!$F36+'Summary, PPI''s'!$F35)/('Predicted PPIs'!ET36+'Predicted PPIs'!ET35)))*IF(EH$26=".", 1, (EH36/EH35)^(('Summary, PPI''s'!$G36+'Summary, PPI''s'!$G35)/('Predicted PPIs'!ET36+'Predicted PPIs'!ET35)))*IF(EK$26=".", 1, (EK36/EK35)^(('Summary, PPI''s'!$J36+'Summary, PPI''s'!$J35)/('Predicted PPIs'!ET36+'Predicted PPIs'!ET35)))*IF(EL$26=".", 1, (EL36/EL35)^(('Summary, PPI''s'!$K36+'Summary, PPI''s'!$K35)/('Predicted PPIs'!ET36+'Predicted PPIs'!ET35)))*IF(EM$26=".", 1, (EM36/EM35)^(('Summary, PPI''s'!$L36+'Summary, PPI''s'!$L35)/('Predicted PPIs'!ET36+'Predicted PPIs'!ET35)))*IF(EN$26=".", 1, (EN36/EN35)^(('Summary, PPI''s'!$M36+'Summary, PPI''s'!$M35)/('Predicted PPIs'!ET36+'Predicted PPIs'!ET35)))*IF(EC$26=".", 1, (EC36/EC35)^(('Summary, PPI''s'!$B36+'Summary, PPI''s'!$B35)/('Predicted PPIs'!ET36+'Predicted PPIs'!ET35)))</f>
        <v>57.511014134006871</v>
      </c>
      <c r="EY36" s="2"/>
    </row>
    <row r="37" spans="1:155" x14ac:dyDescent="0.3">
      <c r="A37" s="4">
        <v>1986</v>
      </c>
      <c r="B37" s="10">
        <f>IF(B36=".", ".", IF('Summary, PPI''s'!R37=".",IF(OR('Summary, hourly ad costs'!R37=-9999,'Summary, hourly ad costs'!R37=0), ".", 'Predicted PPIs'!B36*('Summary, hourly ad costs'!B37/'Summary, hourly ad costs'!R37)/('Summary, hourly ad costs'!B36/'Summary, hourly ad costs'!R36)), 'Summary, PPI''s'!R37))</f>
        <v>74.579887970125355</v>
      </c>
      <c r="C37" s="10">
        <f>IF(C36=".", ".", IF('Summary, PPI''s'!S37=".",IF(OR('Summary, hourly ad costs'!S37=-9999,'Summary, hourly ad costs'!S37=0), ".", 'Predicted PPIs'!C36*('Summary, hourly ad costs'!C37/'Summary, hourly ad costs'!S37)/('Summary, hourly ad costs'!C36/'Summary, hourly ad costs'!S36)), 'Summary, PPI''s'!S37))</f>
        <v>74.579887970125355</v>
      </c>
      <c r="D37" s="10">
        <f>IF(D36=".", ".", IF('Summary, PPI''s'!T37=".",IF(OR('Summary, hourly ad costs'!T37=-9999,'Summary, hourly ad costs'!T37=0), ".", 'Predicted PPIs'!D36*('Summary, hourly ad costs'!D37/'Summary, hourly ad costs'!T37)/('Summary, hourly ad costs'!D36/'Summary, hourly ad costs'!T36)), 'Summary, PPI''s'!T37))</f>
        <v>61.282528816630595</v>
      </c>
      <c r="E37" s="10">
        <f>IF(E36=".", ".", IF('Summary, PPI''s'!U37=".",IF(OR('Summary, hourly ad costs'!U37=-9999,'Summary, hourly ad costs'!U37=0), ".", 'Predicted PPIs'!E36*('Summary, hourly ad costs'!E37/'Summary, hourly ad costs'!U37)/('Summary, hourly ad costs'!E36/'Summary, hourly ad costs'!U36)), 'Summary, PPI''s'!U37))</f>
        <v>34.486186910352409</v>
      </c>
      <c r="F37" s="10">
        <f>IF(F36=".", ".", IF('Summary, PPI''s'!V37=".",IF(OR('Summary, hourly ad costs'!V37=-9999,'Summary, hourly ad costs'!V37=0), ".", 'Predicted PPIs'!F36*('Summary, hourly ad costs'!F37/'Summary, hourly ad costs'!V37)/('Summary, hourly ad costs'!F36/'Summary, hourly ad costs'!V36)), 'Summary, PPI''s'!V37))</f>
        <v>33.994398451336544</v>
      </c>
      <c r="G37" s="10">
        <f>IF(G36=".", ".", IF('Summary, PPI''s'!W37=".",IF(OR('Summary, hourly ad costs'!W37=-9999,'Summary, hourly ad costs'!W37=0), ".", 'Predicted PPIs'!G36*('Summary, hourly ad costs'!G37/'Summary, hourly ad costs'!W37)/('Summary, hourly ad costs'!G36/'Summary, hourly ad costs'!W36)), 'Summary, PPI''s'!W37))</f>
        <v>39.448142392164918</v>
      </c>
      <c r="H37" s="10">
        <f>IF(H36=".", ".", IF('Summary, PPI''s'!X37=".",IF(OR('Summary, hourly ad costs'!X37=-9999,'Summary, hourly ad costs'!X37=0), ".", 'Predicted PPIs'!H36*('Summary, hourly ad costs'!H37/'Summary, hourly ad costs'!X37)/('Summary, hourly ad costs'!H36/'Summary, hourly ad costs'!X36)), 'Summary, PPI''s'!X37))</f>
        <v>40.03</v>
      </c>
      <c r="I37" s="10">
        <f>IF(I36=".", ".", IF('Summary, PPI''s'!Y37=".",IF(OR('Summary, hourly ad costs'!Y37=-9999,'Summary, hourly ad costs'!Y37=0), ".", 'Predicted PPIs'!I36*('Summary, hourly ad costs'!I37/'Summary, hourly ad costs'!Y37)/('Summary, hourly ad costs'!I36/'Summary, hourly ad costs'!Y36)), 'Summary, PPI''s'!Y37))</f>
        <v>51.989286857805958</v>
      </c>
      <c r="J37" s="10">
        <f>IF(J36=".", ".", IF('Summary, PPI''s'!Z37=".",IF(OR('Summary, hourly ad costs'!Z37=-9999,'Summary, hourly ad costs'!Z37=0), ".", 'Predicted PPIs'!J36*('Summary, hourly ad costs'!J37/'Summary, hourly ad costs'!Z37)/('Summary, hourly ad costs'!J36/'Summary, hourly ad costs'!Z36)), 'Summary, PPI''s'!Z37))</f>
        <v>55.736024836529651</v>
      </c>
      <c r="K37" s="10">
        <f>IF(K36=".", ".", IF('Summary, PPI''s'!AA37=".",IF(OR('Summary, hourly ad costs'!AA37=-9999,'Summary, hourly ad costs'!AA37=0), ".", 'Predicted PPIs'!K36*('Summary, hourly ad costs'!K37/'Summary, hourly ad costs'!AA37)/('Summary, hourly ad costs'!K36/'Summary, hourly ad costs'!AA36)), 'Summary, PPI''s'!AA37))</f>
        <v>33.370737847468128</v>
      </c>
      <c r="L37" s="10" t="str">
        <f>IF(L36=".", ".", IF('Summary, PPI''s'!AB37=".",IF(OR('Summary, hourly ad costs'!AB37=-9999,'Summary, hourly ad costs'!AB37=0), ".", 'Predicted PPIs'!L36*('Summary, hourly ad costs'!L37/'Summary, hourly ad costs'!AB37)/('Summary, hourly ad costs'!L36/'Summary, hourly ad costs'!AB36)), 'Summary, PPI''s'!AB37))</f>
        <v>.</v>
      </c>
      <c r="M37" s="10" t="str">
        <f>IF(M36=".", ".", IF('Summary, PPI''s'!AC37=".",IF(OR('Summary, hourly ad costs'!AC37=-9999,'Summary, hourly ad costs'!AC37=0), ".", 'Predicted PPIs'!M36*('Summary, hourly ad costs'!M37/'Summary, hourly ad costs'!AC37)/('Summary, hourly ad costs'!M36/'Summary, hourly ad costs'!AC36)), 'Summary, PPI''s'!AC37))</f>
        <v>.</v>
      </c>
      <c r="N37" s="10" t="str">
        <f>IF(N36=".", ".", IF('Summary, PPI''s'!AD37=".",IF(OR('Summary, hourly ad costs'!AD37=-9999,'Summary, hourly ad costs'!AD37=0), ".", 'Predicted PPIs'!N36*('Summary, hourly ad costs'!N37/'Summary, hourly ad costs'!AD37)/('Summary, hourly ad costs'!N36/'Summary, hourly ad costs'!AD36)), 'Summary, PPI''s'!AD37))</f>
        <v>.</v>
      </c>
      <c r="O37" s="10">
        <f>IF(O36=".", ".", IF('Summary, PPI''s'!AE37=".",IF(OR('Summary, hourly ad costs'!AE37=-9999,'Summary, hourly ad costs'!AE37=0), ".", 'Predicted PPIs'!O36*('Summary, hourly ad costs'!O37/'Summary, hourly ad costs'!AE37)/('Summary, hourly ad costs'!O36/'Summary, hourly ad costs'!AE36)), 'Summary, PPI''s'!AE37))</f>
        <v>38.680207370820384</v>
      </c>
      <c r="P37" s="10" t="str">
        <f>IF(P36=".", ".", IF('Summary, PPI''s'!AF37=".",IF(OR('Summary, hourly ad costs'!AF37=-9999,'Summary, hourly ad costs'!AF37=0), ".", 'Predicted PPIs'!P36*('Summary, hourly ad costs'!P37/'Summary, hourly ad costs'!AF37)/('Summary, hourly ad costs'!P36/'Summary, hourly ad costs'!AF36)), 'Summary, PPI''s'!AF37))</f>
        <v>.</v>
      </c>
      <c r="R37" s="1">
        <f>IF(E$26=".", 0, 'Summary, PPI''s'!E37)+IF(F$26=".", 0, 'Summary, PPI''s'!F37)+IF(G$26=".", 0, 'Summary, PPI''s'!G37)+IF(H$26=".", 0, 'Summary, PPI''s'!H37)+IF(I$26=".", 0, 'Summary, PPI''s'!I37)+IF(J$26=".", 0, 'Summary, PPI''s'!J37)+IF(K$26=".", 0, 'Summary, PPI''s'!K37)+IF(L$26=".", 0, 'Summary, PPI''s'!L37)+IF(M$26=".", 0, 'Summary, PPI''s'!M37)+IF(B$26=".", 0, 'Summary, PPI''s'!B37)+IF(C$26=".", 0, 'Summary, PPI''s'!C37)+IF(D$26=".", 0, 'Summary, PPI''s'!D37)+IF(N$26=".", 0, 'Summary, PPI''s'!N37)+IF(O$26=".", 0, 'Summary, PPI''s'!O37)+IF(P$26=".", 0, 'Summary, PPI''s'!P37)</f>
        <v>106049512.78492711</v>
      </c>
      <c r="S37" s="1">
        <f>IF(E$36=".", 0, 'Summary, PPI''s'!E37)+IF(F$36=".", 0, 'Summary, PPI''s'!F37)+IF(G$36=".", 0, 'Summary, PPI''s'!G37)+IF(H$36=".", 0, 'Summary, PPI''s'!H37)+IF(I$36=".", 0, 'Summary, PPI''s'!I37)+IF(J$36=".", 0, 'Summary, PPI''s'!J37)+IF(K$36=".", 0, 'Summary, PPI''s'!K37)+IF(L$36=".", 0, 'Summary, PPI''s'!L37)+IF(M$36=".", 0, 'Summary, PPI''s'!M37)+IF(B$36=".", 0, 'Summary, PPI''s'!B37)+IF(C$36=".", 0, 'Summary, PPI''s'!C37)+IF(D$36=".", 0, 'Summary, PPI''s'!D37)+IF(N$36=".", 0, 'Summary, PPI''s'!N37)+IF(O$36=".", 0, 'Summary, PPI''s'!O37)+IF(P$36=".", 0, 'Summary, PPI''s'!P37)</f>
        <v>106049512.78492711</v>
      </c>
      <c r="T37" s="1">
        <f>IF(E$46=".", 0, 'Summary, PPI''s'!E37)+IF(F$46=".", 0, 'Summary, PPI''s'!F37)+IF(G$46=".", 0, 'Summary, PPI''s'!G37)+IF(H$46=".", 0, 'Summary, PPI''s'!H37)+IF(I$46=".", 0, 'Summary, PPI''s'!I37)+IF(J$46=".", 0, 'Summary, PPI''s'!J37)+IF(K$46=".", 0, 'Summary, PPI''s'!K37)+IF(L$46=".", 0, 'Summary, PPI''s'!L37)+IF(M$46=".", 0, 'Summary, PPI''s'!M37)+IF(B$46=".", 0, 'Summary, PPI''s'!B37)+IF(C$46=".", 0, 'Summary, PPI''s'!C37)+IF(D$46=".", 0, 'Summary, PPI''s'!D37)+IF(N$46=".", 0, 'Summary, PPI''s'!N37)+IF(O$46=".", 0, 'Summary, PPI''s'!O37)+IF(P$46=".", 0, 'Summary, PPI''s'!P37)</f>
        <v>76220195.054519787</v>
      </c>
      <c r="U37" s="1">
        <f>IF(E$60=".", 0, 'Summary, PPI''s'!E37)+IF(F$60=".", 0, 'Summary, PPI''s'!F37)+IF(G$60=".", 0, 'Summary, PPI''s'!G37)+IF(H$60=".", 0, 'Summary, PPI''s'!H37)+IF(I$60=".", 0, 'Summary, PPI''s'!I37)+IF(J$60=".", 0, 'Summary, PPI''s'!J37)+IF(K$60=".", 0, 'Summary, PPI''s'!K37)+IF(L$60=".", 0, 'Summary, PPI''s'!L37)+IF(M$60=".", 0, 'Summary, PPI''s'!M37)+IF(B$60=".", 0, 'Summary, PPI''s'!B37)+IF(C$60=".", 0, 'Summary, PPI''s'!C37)+IF(D$60=".", 0, 'Summary, PPI''s'!D37)+IF(N$60=".", 0, 'Summary, PPI''s'!N37)+IF(O$60=".", 0, 'Summary, PPI''s'!O37)+IF(P$60=".", 0, 'Summary, PPI''s'!P37)</f>
        <v>68540308.960345209</v>
      </c>
      <c r="V37" s="1">
        <f>IF(E$73=".", 0, 'Summary, PPI''s'!E37)+IF(F$73=".", 0, 'Summary, PPI''s'!F37)+IF(G$73=".", 0, 'Summary, PPI''s'!G37)+IF(H$73=".", 0, 'Summary, PPI''s'!H37)+IF(I$73=".", 0, 'Summary, PPI''s'!I37)+IF(J$73=".", 0, 'Summary, PPI''s'!J37)+IF(K$73=".", 0, 'Summary, PPI''s'!K37)+IF(L$73=".", 0, 'Summary, PPI''s'!L37)+IF(M$73=".", 0, 'Summary, PPI''s'!M37)+IF(B$73=".", 0, 'Summary, PPI''s'!B37)+IF(C$73=".", 0, 'Summary, PPI''s'!C37)+IF(D$73=".", 0, 'Summary, PPI''s'!D37)+IF(N$73=".", 0, 'Summary, PPI''s'!N37)+IF(O$73=".", 0, 'Summary, PPI''s'!O37)+IF(P$73=".", 0, 'Summary, PPI''s'!P37)</f>
        <v>54549982.027839512</v>
      </c>
      <c r="W37" s="1">
        <f>IF(E$94=".",0,'Summary, PPI''s'!E37)+IF(F$94=".",0,'Summary, PPI''s'!F37)+IF(G$94=".",0,'Summary, PPI''s'!G37)+IF(H$94=".",0,'Summary, PPI''s'!H37)+IF(I$94=".",0,'Summary, PPI''s'!I37)+IF(J$94=".",0,'Summary, PPI''s'!J37)+IF(K$94=".",0,'Summary, PPI''s'!K37)+IF(L$94=".",0,'Summary, PPI''s'!L37)+IF(M$94=".",0,'Summary, PPI''s'!M37)+IF(B$94=".",0,'Summary, PPI''s'!B37)+IF(C$94=".",0,'Summary, PPI''s'!C37)+IF(D$94=".",0,'Summary, PPI''s'!D37)+IF(N$94=".",0,'Summary, PPI''s'!N37)+IF(O$94=".",0,'Summary, PPI''s'!O37)+IF(P$94=".",0,'Summary, PPI''s'!P37)</f>
        <v>38939586.155214369</v>
      </c>
      <c r="X37" s="1">
        <f>IF(E$123=".", 0, 'Summary, PPI''s'!E37)+IF(F$123=".", 0, 'Summary, PPI''s'!F37)+IF(G$123=".", 0, 'Summary, PPI''s'!G37)+IF(H$123=".", 0, 'Summary, PPI''s'!H37)+IF(I$123=".", 0, 'Summary, PPI''s'!I37)+IF(J$123=".", 0, 'Summary, PPI''s'!J37)+IF(K$123=".", 0, 'Summary, PPI''s'!K37)+IF(L$123=".", 0, 'Summary, PPI''s'!L37)+IF(M$123=".", 0, 'Summary, PPI''s'!M37)+IF(B$123=".", 0, 'Summary, PPI''s'!B37)+IF(C$123=".", 0, 'Summary, PPI''s'!C37)+IF(D$123=".", 0, 'Summary, PPI''s'!D37)+IF(N$123=".", 0, 'Summary, PPI''s'!N37)+IF(O$123=".", 0, 'Summary, PPI''s'!O37)+IF(P$123=".", 0, 'Summary, PPI''s'!P37)</f>
        <v>33332099.936923221</v>
      </c>
      <c r="Z37" s="4" t="e">
        <f>Z36*IF(E$26=".", 1, (E37/E36)^(('Summary, PPI''s'!$E37+'Summary, PPI''s'!$E36)/('Predicted PPIs'!R37+'Predicted PPIs'!R36)))*IF(F$26=".", 1, (F37/F36)^(('Summary, PPI''s'!$F37+'Summary, PPI''s'!$F36)/('Predicted PPIs'!R37+'Predicted PPIs'!R36)))*IF(G$26=".", 1, (G37/G36)^(('Summary, PPI''s'!$G37+'Summary, PPI''s'!$G36)/('Predicted PPIs'!R37+'Predicted PPIs'!R36)))*IF(H$26=".", 1, (H37/H36)^(('Summary, PPI''s'!$H37+'Summary, PPI''s'!$H36)/('Predicted PPIs'!R37+'Predicted PPIs'!R36)))*IF(I$26=".", 1, (I37/I36)^(('Summary, PPI''s'!$I37+'Summary, PPI''s'!$I36)/('Predicted PPIs'!R37+'Predicted PPIs'!R36)))*IF(J$26=".", 1, (J37/J36)^(('Summary, PPI''s'!$J37+'Summary, PPI''s'!$J36)/('Predicted PPIs'!R37+'Predicted PPIs'!R36)))*IF(K$26=".", 1, (K37/K36)^(('Summary, PPI''s'!$K37+'Summary, PPI''s'!$K36)/('Predicted PPIs'!R37+'Predicted PPIs'!R36)))*IF(L$26=".", 1, (L37/L36)^(('Summary, PPI''s'!$L37+'Summary, PPI''s'!$L36)/('Predicted PPIs'!R37+'Predicted PPIs'!R36)))*IF(M$26=".", 1, (M37/M36)^(('Summary, PPI''s'!$M37+'Summary, PPI''s'!$M36)/('Predicted PPIs'!R37+'Predicted PPIs'!R36)))*IF(B$26=".", 1, (B37/B36)^(('Summary, PPI''s'!$B37+'Summary, PPI''s'!$B36)/('Predicted PPIs'!R37+'Predicted PPIs'!R36)))*IF(C$26=".", 1, (C37/C36)^(('Summary, PPI''s'!$C37+'Summary, PPI''s'!$C36)/('Predicted PPIs'!R37+'Predicted PPIs'!R36)))*IF(D$26=".", 1, (D37/D36)^(('Summary, PPI''s'!$D37+'Summary, PPI''s'!$D36)/('Predicted PPIs'!R37+'Predicted PPIs'!R36)))*IF(N$26=".", 1, (N37/N36)^(('Summary, PPI''s'!$N37+'Summary, PPI''s'!$N36)/('Predicted PPIs'!R37+'Predicted PPIs'!R36)))*IF(O$26=".", 1, (O37/O36)^(('Summary, PPI''s'!$O37+'Summary, PPI''s'!$O36)/('Predicted PPIs'!R37+'Predicted PPIs'!R36)))*IF(P$26=".", 1, (P37/P36)^(('Summary, PPI''s'!$P37+'Summary, PPI''s'!$P36)/('Predicted PPIs'!R37+'Predicted PPIs'!R36)))</f>
        <v>#VALUE!</v>
      </c>
      <c r="AA37" s="4" t="e">
        <f>AA36*IF(E$36=".", 1, (E37/E36)^(('Summary, PPI''s'!$E37+'Summary, PPI''s'!$E36)/('Predicted PPIs'!S37+'Predicted PPIs'!S36)))*IF(F$36=".", 1, (F37/F36)^(('Summary, PPI''s'!$F37+'Summary, PPI''s'!$F36)/('Predicted PPIs'!S37+'Predicted PPIs'!S36)))*IF(G$36=".", 1, (G37/G36)^(('Summary, PPI''s'!$G37+'Summary, PPI''s'!$G36)/('Predicted PPIs'!S37+'Predicted PPIs'!S36)))*IF(H$36=".", 1, (H37/H36)^(('Summary, PPI''s'!$H37+'Summary, PPI''s'!$H36)/('Predicted PPIs'!S37+'Predicted PPIs'!S36)))*IF(I$36=".", 1, (I37/I36)^(('Summary, PPI''s'!$I37+'Summary, PPI''s'!$I36)/('Predicted PPIs'!S37+'Predicted PPIs'!S36)))*IF(J$36=".", 1, (J37/J36)^(('Summary, PPI''s'!$J37+'Summary, PPI''s'!$J36)/('Predicted PPIs'!S37+'Predicted PPIs'!S36)))*IF(K$36=".", 1, (K37/K36)^(('Summary, PPI''s'!$K37+'Summary, PPI''s'!$K36)/('Predicted PPIs'!S37+'Predicted PPIs'!S36)))*IF(L$36=".", 1, (L37/L36)^(('Summary, PPI''s'!$L37+'Summary, PPI''s'!$L36)/('Predicted PPIs'!S37+'Predicted PPIs'!S36)))*IF(M$36=".", 1, (M37/M36)^(('Summary, PPI''s'!$M37+'Summary, PPI''s'!$M36)/('Predicted PPIs'!S37+'Predicted PPIs'!S36)))*IF(B$36=".", 1, (B37/B36)^(('Summary, PPI''s'!$B37+'Summary, PPI''s'!$B36)/('Predicted PPIs'!S37+'Predicted PPIs'!S36)))*IF(C$36=".", 1, (C37/C36)^(('Summary, PPI''s'!$C37+'Summary, PPI''s'!$C36)/('Predicted PPIs'!S37+'Predicted PPIs'!S36)))*IF(D$36=".", 1, (D37/D36)^(('Summary, PPI''s'!$D37+'Summary, PPI''s'!$D36)/('Predicted PPIs'!S37+'Predicted PPIs'!S36)))*IF(N$36=".", 1, (N37/N36)^(('Summary, PPI''s'!$N37+'Summary, PPI''s'!$N36)/('Predicted PPIs'!S37+'Predicted PPIs'!S36)))*IF(O$36=".", 1, (O37/O36)^(('Summary, PPI''s'!$O37+'Summary, PPI''s'!$O36)/('Predicted PPIs'!S37+'Predicted PPIs'!S36)))*IF(P$36=".", 1, (P37/P36)^(('Summary, PPI''s'!$P37+'Summary, PPI''s'!$P36)/('Predicted PPIs'!S37+'Predicted PPIs'!S36)))</f>
        <v>#VALUE!</v>
      </c>
      <c r="AB37" s="4">
        <f>AB36*IF(E$46=".", 1, (E37/E36)^(('Summary, PPI''s'!$E37+'Summary, PPI''s'!$E36)/('Predicted PPIs'!T37+'Predicted PPIs'!T36)))*IF(F$46=".", 1, (F37/F36)^(('Summary, PPI''s'!$F37+'Summary, PPI''s'!$F36)/('Predicted PPIs'!T37+'Predicted PPIs'!T36)))*IF(G$46=".", 1, (G37/G36)^(('Summary, PPI''s'!$G37+'Summary, PPI''s'!$G36)/('Predicted PPIs'!T37+'Predicted PPIs'!T36)))*IF(H$46=".", 1, (H37/H36)^(('Summary, PPI''s'!$H37+'Summary, PPI''s'!$H36)/('Predicted PPIs'!T37+'Predicted PPIs'!T36)))*IF(I$46=".", 1, (I37/I36)^(('Summary, PPI''s'!$I37+'Summary, PPI''s'!$I36)/('Predicted PPIs'!T37+'Predicted PPIs'!T36)))*IF(J$46=".", 1, (J37/J36)^(('Summary, PPI''s'!$J37+'Summary, PPI''s'!$J36)/('Predicted PPIs'!T37+'Predicted PPIs'!T36)))*IF(K$46=".", 1, (K37/K36)^(('Summary, PPI''s'!$K37+'Summary, PPI''s'!$K36)/('Predicted PPIs'!T37+'Predicted PPIs'!T36)))*IF(L$46=".", 1, (L37/L36)^(('Summary, PPI''s'!$L37+'Summary, PPI''s'!$L36)/('Predicted PPIs'!T37+'Predicted PPIs'!T36)))*IF(M$46=".", 1, (M37/M36)^(('Summary, PPI''s'!$M37+'Summary, PPI''s'!$M36)/('Predicted PPIs'!T37+'Predicted PPIs'!T36)))*IF(B$46=".", 1, (B37/B36)^(('Summary, PPI''s'!$B37+'Summary, PPI''s'!$B36)/('Predicted PPIs'!T37+'Predicted PPIs'!T36)))*IF(C$46=".", 1, (C37/C36)^(('Summary, PPI''s'!$C37+'Summary, PPI''s'!$C36)/('Predicted PPIs'!T37+'Predicted PPIs'!T36)))*IF(D$46=".", 1, (D37/D36)^(('Summary, PPI''s'!$D37+'Summary, PPI''s'!$D36)/('Predicted PPIs'!T37+'Predicted PPIs'!T36)))*IF(N$46=".", 1, (N37/N36)^(('Summary, PPI''s'!$N37+'Summary, PPI''s'!$N36)/('Predicted PPIs'!T37+'Predicted PPIs'!T36)))*IF(O$46=".", 1, (O37/O36)^(('Summary, PPI''s'!$O37+'Summary, PPI''s'!$O36)/('Predicted PPIs'!T37+'Predicted PPIs'!T36)))*IF(P$46=".", 1, (P37/P36)^(('Summary, PPI''s'!$P37+'Summary, PPI''s'!$P36)/('Predicted PPIs'!T37+'Predicted PPIs'!T36)))</f>
        <v>43.523684622614525</v>
      </c>
      <c r="AC37" s="4">
        <f>AC36*IF(E$60=".",1,(E37/E36)^(('Summary, PPI''s'!$E37+'Summary, PPI''s'!$E36)/('Predicted PPIs'!U37+'Predicted PPIs'!U36)))*IF(F$60=".",1,(F37/F36)^(('Summary, PPI''s'!$F37+'Summary, PPI''s'!$F36)/('Predicted PPIs'!U37+'Predicted PPIs'!U36)))*IF(G$60=".",1,(G37/G36)^(('Summary, PPI''s'!$G37+'Summary, PPI''s'!$G36)/('Predicted PPIs'!U37+'Predicted PPIs'!U36)))*IF(H$60=".",1,(H37/H36)^(('Summary, PPI''s'!$H37+'Summary, PPI''s'!$H36)/('Predicted PPIs'!U37+'Predicted PPIs'!U36)))*IF(I$60=".",1,(I37/I36)^(('Summary, PPI''s'!$I37+'Summary, PPI''s'!$I36)/('Predicted PPIs'!U37+'Predicted PPIs'!U36)))*IF(J$60=".",1,(J37/J36)^(('Summary, PPI''s'!$J37+'Summary, PPI''s'!$J36)/('Predicted PPIs'!U37+'Predicted PPIs'!U36)))*IF(K$60=".",1,(K37/K36)^(('Summary, PPI''s'!$K37+'Summary, PPI''s'!$K36)/('Predicted PPIs'!U37+'Predicted PPIs'!U36)))*IF(L$60=".",1,(L37/L36)^(('Summary, PPI''s'!$L37+'Summary, PPI''s'!$L36)/('Predicted PPIs'!U37+'Predicted PPIs'!U36)))*IF(M$60=".",1,(M37/M36)^(('Summary, PPI''s'!$M37+'Summary, PPI''s'!$M36)/('Predicted PPIs'!U37+'Predicted PPIs'!U36)))*IF(B$60=".",1,(B37/B36)^(('Summary, PPI''s'!$B37+'Summary, PPI''s'!$B36)/('Predicted PPIs'!U37+'Predicted PPIs'!U36)))*IF(C$60=".",1,(C37/C36)^(('Summary, PPI''s'!$C37+'Summary, PPI''s'!$C36)/('Predicted PPIs'!U37+'Predicted PPIs'!U36)))*IF(D$60=".",1,(D37/D36)^(('Summary, PPI''s'!$D37+'Summary, PPI''s'!$D36)/('Predicted PPIs'!U37+'Predicted PPIs'!U36)))*IF(N$60=".",1,(N37/N36)^(('Summary, PPI''s'!$N37+'Summary, PPI''s'!$N36)/('Predicted PPIs'!U37+'Predicted PPIs'!U36)))*IF(O$60=".",1,(O37/O36)^(('Summary, PPI''s'!$O37+'Summary, PPI''s'!$O36)/('Predicted PPIs'!U37+'Predicted PPIs'!U36)))*IF(P$60=".",1,(P37/P36)^(('Summary, PPI''s'!$P37+'Summary, PPI''s'!$P36)/('Predicted PPIs'!U37+'Predicted PPIs'!U36)))</f>
        <v>47.422451723434321</v>
      </c>
      <c r="AD37" s="4">
        <f>AD36*IF(E$73=".", 1, (E37/E36)^(('Summary, PPI''s'!$E37+'Summary, PPI''s'!$E36)/('Predicted PPIs'!V37+'Predicted PPIs'!V36)))*IF(F$73=".", 1, (F37/F36)^(('Summary, PPI''s'!$F37+'Summary, PPI''s'!$F36)/('Predicted PPIs'!V37+'Predicted PPIs'!V36)))*IF(G$73=".", 1, (G37/G36)^(('Summary, PPI''s'!$G37+'Summary, PPI''s'!$G36)/('Predicted PPIs'!V37+'Predicted PPIs'!V36)))*IF(H$73=".", 1, (H37/H36)^(('Summary, PPI''s'!$H37+'Summary, PPI''s'!$H36)/('Predicted PPIs'!V37+'Predicted PPIs'!V36)))*IF(I$73=".", 1, (I37/I36)^(('Summary, PPI''s'!$I37+'Summary, PPI''s'!$I36)/('Predicted PPIs'!V37+'Predicted PPIs'!V36)))*IF(J$73=".", 1, (J37/J36)^(('Summary, PPI''s'!$J37+'Summary, PPI''s'!$J36)/('Predicted PPIs'!V37+'Predicted PPIs'!V36)))*IF(K$73=".", 1, (K37/K36)^(('Summary, PPI''s'!$K37+'Summary, PPI''s'!$K36)/('Predicted PPIs'!V37+'Predicted PPIs'!V36)))*IF(L$73=".", 1, (L37/L36)^(('Summary, PPI''s'!$L37+'Summary, PPI''s'!$L36)/('Predicted PPIs'!V37+'Predicted PPIs'!V36)))*IF(M$73=".", 1, (M37/M36)^(('Summary, PPI''s'!$M37+'Summary, PPI''s'!$M36)/('Predicted PPIs'!V37+'Predicted PPIs'!V36)))*IF(B$73=".", 1, (B37/B36)^(('Summary, PPI''s'!$B37+'Summary, PPI''s'!$B36)/('Predicted PPIs'!V37+'Predicted PPIs'!V36)))*IF(C$73=".", 1, (C37/C36)^(('Summary, PPI''s'!$C37+'Summary, PPI''s'!$C36)/('Predicted PPIs'!V37+'Predicted PPIs'!V36)))*IF(D$73=".", 1, (D37/D36)^(('Summary, PPI''s'!$D37+'Summary, PPI''s'!$D36)/('Predicted PPIs'!V37+'Predicted PPIs'!V36)))*IF(N$73=".", 1, (N37/N36)^(('Summary, PPI''s'!$N37+'Summary, PPI''s'!$N36)/('Predicted PPIs'!V37+'Predicted PPIs'!V36)))*IF(O$73=".", 1, (O37/O36)^(('Summary, PPI''s'!$O37+'Summary, PPI''s'!$O36)/('Predicted PPIs'!V37+'Predicted PPIs'!V36)))*IF(P$73=".", 1, (P37/P36)^(('Summary, PPI''s'!$P37+'Summary, PPI''s'!$P36)/('Predicted PPIs'!V37+'Predicted PPIs'!V36)))</f>
        <v>45.647840708121379</v>
      </c>
      <c r="AE37" s="4">
        <f>AE36*IF(E$94=".", 1, (E37/E36)^(('Summary, PPI''s'!$E37+'Summary, PPI''s'!$E36)/('Predicted PPIs'!W37+'Predicted PPIs'!W36)))*IF(F$94=".", 1, (F37/F36)^(('Summary, PPI''s'!$F37+'Summary, PPI''s'!$F36)/('Predicted PPIs'!W37+'Predicted PPIs'!W36)))*IF(G$94=".", 1, (G37/G36)^(('Summary, PPI''s'!$G37+'Summary, PPI''s'!$G36)/('Predicted PPIs'!W37+'Predicted PPIs'!W36)))*IF(H$94=".", 1, (H37/H36)^(('Summary, PPI''s'!$H37+'Summary, PPI''s'!$H36)/('Predicted PPIs'!W37+'Predicted PPIs'!W36)))*IF(I$94=".", 1, (I37/I36)^(('Summary, PPI''s'!$I37+'Summary, PPI''s'!$I36)/('Predicted PPIs'!W37+'Predicted PPIs'!W36)))*IF(J$94=".", 1, (J37/J36)^(('Summary, PPI''s'!$J37+'Summary, PPI''s'!$J36)/('Predicted PPIs'!W37+'Predicted PPIs'!W36)))*IF(K$94=".", 1, (K37/K36)^(('Summary, PPI''s'!$K37+'Summary, PPI''s'!$K36)/('Predicted PPIs'!W37+'Predicted PPIs'!W36)))*IF(L$94=".", 1, (L37/L36)^(('Summary, PPI''s'!$L37+'Summary, PPI''s'!$L36)/('Predicted PPIs'!W37+'Predicted PPIs'!W36)))*IF(M$94=".", 1, (M37/M36)^(('Summary, PPI''s'!$M37+'Summary, PPI''s'!$M36)/('Predicted PPIs'!W37+'Predicted PPIs'!W36)))*IF(B$94=".", 1, (B37/B36)^(('Summary, PPI''s'!$B37+'Summary, PPI''s'!$B36)/('Predicted PPIs'!W37+'Predicted PPIs'!W36)))*IF(C$94=".", 1, (C37/C36)^(('Summary, PPI''s'!$C37+'Summary, PPI''s'!$C36)/('Predicted PPIs'!W37+'Predicted PPIs'!W36)))*IF(D$94=".", 1, (D37/D36)^(('Summary, PPI''s'!$D37+'Summary, PPI''s'!$D36)/('Predicted PPIs'!W37+'Predicted PPIs'!W36)))*IF(N$94=".", 1, (N37/N36)^(('Summary, PPI''s'!$N37+'Summary, PPI''s'!$N36)/('Predicted PPIs'!W37+'Predicted PPIs'!W36)))*IF(O$94=".", 1, (O37/O36)^(('Summary, PPI''s'!$O37+'Summary, PPI''s'!$O36)/('Predicted PPIs'!W37+'Predicted PPIs'!W36)))*IF(P$94=".", 1, (P37/P36)^(('Summary, PPI''s'!$P37+'Summary, PPI''s'!$P36)/('Predicted PPIs'!W37+'Predicted PPIs'!W36)))</f>
        <v>40.28994788960695</v>
      </c>
      <c r="AF37" s="4">
        <f>AF36*IF(E$123=".", 1, (E37/E36)^(('Summary, PPI''s'!$E37+'Summary, PPI''s'!$E36)/('Predicted PPIs'!X37+'Predicted PPIs'!X36)))*IF(F$123=".", 1, (F37/F36)^(('Summary, PPI''s'!$F37+'Summary, PPI''s'!$F36)/('Predicted PPIs'!X37+'Predicted PPIs'!X36)))*IF(G$123=".", 1, (G37/G36)^(('Summary, PPI''s'!$G37+'Summary, PPI''s'!$G36)/('Predicted PPIs'!X37+'Predicted PPIs'!X36)))*IF(H$123=".", 1, (H37/H36)^(('Summary, PPI''s'!$H37+'Summary, PPI''s'!$H36)/('Predicted PPIs'!X37+'Predicted PPIs'!X36)))*IF(I$123=".", 1, (I37/I36)^(('Summary, PPI''s'!$I37+'Summary, PPI''s'!$I36)/('Predicted PPIs'!X37+'Predicted PPIs'!X36)))*IF(J$123=".", 1, (J37/J36)^(('Summary, PPI''s'!$J37+'Summary, PPI''s'!$J36)/('Predicted PPIs'!X37+'Predicted PPIs'!X36)))*IF(K$123=".", 1, (K37/K36)^(('Summary, PPI''s'!$K37+'Summary, PPI''s'!$K36)/('Predicted PPIs'!X37+'Predicted PPIs'!X36)))*IF(L$123=".", 1, (L37/L36)^(('Summary, PPI''s'!$L37+'Summary, PPI''s'!$L36)/('Predicted PPIs'!X37+'Predicted PPIs'!X36)))*IF(M$123=".", 1, (M37/M36)^(('Summary, PPI''s'!$M37+'Summary, PPI''s'!$M36)/('Predicted PPIs'!X37+'Predicted PPIs'!X36)))*IF(B$123=".", 1, (B37/B36)^(('Summary, PPI''s'!$B37+'Summary, PPI''s'!$B36)/('Predicted PPIs'!X37+'Predicted PPIs'!X36)))*IF(C$123=".", 1, (C37/C36)^(('Summary, PPI''s'!$C37+'Summary, PPI''s'!$C36)/('Predicted PPIs'!X37+'Predicted PPIs'!X36)))*IF(D$123=".", 1, (D37/D36)^(('Summary, PPI''s'!$D37+'Summary, PPI''s'!$D36)/('Predicted PPIs'!X37+'Predicted PPIs'!X36)))*IF(N$123=".", 1, (N37/N36)^(('Summary, PPI''s'!$N37+'Summary, PPI''s'!$N36)/('Predicted PPIs'!X37+'Predicted PPIs'!X36)))*IF(O$123=".", 1, (O37/O36)^(('Summary, PPI''s'!$O37+'Summary, PPI''s'!$O36)/('Predicted PPIs'!X37+'Predicted PPIs'!X36)))*IF(P$123=".", 1, (P37/P36)^(('Summary, PPI''s'!$P37+'Summary, PPI''s'!$P36)/('Predicted PPIs'!X37+'Predicted PPIs'!X36)))</f>
        <v>36.979616945538361</v>
      </c>
      <c r="AH37" s="13">
        <f t="shared" si="91"/>
        <v>51.530401891264141</v>
      </c>
      <c r="AJ37" s="4">
        <v>2886.3</v>
      </c>
      <c r="AK37" s="4">
        <v>-0.89600000000000002</v>
      </c>
      <c r="AL37" s="4">
        <v>-305.24099999999999</v>
      </c>
      <c r="AM37" s="4">
        <v>-4.9829999999999997</v>
      </c>
      <c r="AN37" s="4">
        <v>3151.1</v>
      </c>
      <c r="AO37" s="4">
        <v>830.6</v>
      </c>
      <c r="AP37" s="4">
        <f>('[3]1986'!$I$14+'[3]1986'!$I$69+'[3]1986'!$I$71-'[3]1986'!$I$73)*0.001</f>
        <v>-35.613999999999997</v>
      </c>
      <c r="AQ37" s="4">
        <f>('[3]1986'!$AY$56+'[3]1986'!$AY$69+'[3]1986'!$AY$71-'[3]1986'!$AY$73)*0.001</f>
        <v>-154.75300000000001</v>
      </c>
      <c r="AR37" s="4">
        <v>-11.743</v>
      </c>
      <c r="AS37" s="4">
        <v>-21.38</v>
      </c>
      <c r="AT37" s="4">
        <v>54.183999999999997</v>
      </c>
      <c r="AU37" s="4">
        <v>60.664999999999999</v>
      </c>
      <c r="AV37" s="4">
        <v>47.006999999999998</v>
      </c>
      <c r="AW37" s="4">
        <v>28.686</v>
      </c>
      <c r="AX37" s="4">
        <v>53.093000000000004</v>
      </c>
      <c r="AY37" s="4">
        <v>73.021000000000001</v>
      </c>
      <c r="AZ37" s="4">
        <v>36.039000000000001</v>
      </c>
      <c r="BA37" s="4">
        <v>55.71</v>
      </c>
      <c r="BB37" s="4">
        <v>101.83199999999999</v>
      </c>
      <c r="BC37" s="4">
        <v>62.555999999999997</v>
      </c>
      <c r="BG37" s="4">
        <f t="shared" si="50"/>
        <v>48.429550974580309</v>
      </c>
      <c r="BI37" s="4">
        <f>BI$13*'[2]Ordinary Experience'!$D$389/'[2]Ordinary Experience'!$D$413</f>
        <v>239801636.45267588</v>
      </c>
      <c r="BJ37" s="4">
        <f>'[2]Ordinary Experience'!$E$389</f>
        <v>21.933424881685209</v>
      </c>
      <c r="BL37" s="4">
        <f t="shared" si="90"/>
        <v>65.272297797126029</v>
      </c>
      <c r="BM37" s="4">
        <f t="shared" si="34"/>
        <v>1.2402391429864545E-2</v>
      </c>
      <c r="BO37" s="4">
        <f>IF(OR('Summary, hourly ad costs'!R37=-9999,'Summary, PPI''s'!R37="."),".",(('Summary, hourly ad costs'!B37/'Summary, hourly ad costs'!R37)*100/('Summary, hourly ad costs'!B$11/'Summary, hourly ad costs'!R$11))/('Summary, PPI''s'!R37))</f>
        <v>0.77326733582517426</v>
      </c>
      <c r="BP37" s="4" t="str">
        <f>IF(OR('Summary, hourly ad costs'!S37=-9999,'Summary, PPI''s'!S37="."),".",(('Summary, hourly ad costs'!C37/'Summary, hourly ad costs'!S37)*100/('Summary, hourly ad costs'!C$11/'Summary, hourly ad costs'!S$11))/('Summary, PPI''s'!S37))</f>
        <v>.</v>
      </c>
      <c r="BQ37" s="4" t="str">
        <f>IF(OR('Summary, hourly ad costs'!T37=-9999,'Summary, PPI''s'!T37="."),".",(('Summary, hourly ad costs'!D37/'Summary, hourly ad costs'!T37)*100/('Summary, hourly ad costs'!D$11/'Summary, hourly ad costs'!T$11))/('Summary, PPI''s'!T37))</f>
        <v>.</v>
      </c>
      <c r="BR37" s="4">
        <f>IF(OR('Summary, hourly ad costs'!U37=-9999,'Summary, PPI''s'!U37="."),".",(('Summary, hourly ad costs'!E37/'Summary, hourly ad costs'!U37)*100/('Summary, hourly ad costs'!E$11/'Summary, hourly ad costs'!U$11))/('Summary, PPI''s'!U37))</f>
        <v>2.2708629876364905</v>
      </c>
      <c r="BS37" s="4">
        <f>IF(OR('Summary, hourly ad costs'!V37=-9999,'Summary, PPI''s'!V37="."),".",(('Summary, hourly ad costs'!F37/'Summary, hourly ad costs'!V37)*100/('Summary, hourly ad costs'!F$11/'Summary, hourly ad costs'!V$11))/('Summary, PPI''s'!V37))</f>
        <v>1.9154291484370511</v>
      </c>
      <c r="BT37" s="4" t="str">
        <f>IF(OR('Summary, hourly ad costs'!W37=-9999,'Summary, PPI''s'!W37="."),".",(('Summary, hourly ad costs'!G37/'Summary, hourly ad costs'!W37)*100/('Summary, hourly ad costs'!G$11/'Summary, hourly ad costs'!W$11))/('Summary, PPI''s'!W37))</f>
        <v>.</v>
      </c>
      <c r="BU37" s="4">
        <f>IF(OR('Summary, hourly ad costs'!X37=-9999,'Summary, PPI''s'!X37="."),".",(('Summary, hourly ad costs'!H37/'Summary, hourly ad costs'!X37)*100/('Summary, hourly ad costs'!H$11/'Summary, hourly ad costs'!X$11))/('Summary, PPI''s'!X37))</f>
        <v>1.1131538092265827</v>
      </c>
      <c r="BV37" s="4">
        <f>IF(OR('Summary, hourly ad costs'!Y37=-9999,'Summary, PPI''s'!Y37="."),".",(('Summary, hourly ad costs'!I37/'Summary, hourly ad costs'!Y37)*100/('Summary, hourly ad costs'!I$11/'Summary, hourly ad costs'!Y$11))/('Summary, PPI''s'!Y37))</f>
        <v>0.7050804516650433</v>
      </c>
      <c r="BW37" s="4">
        <f>IF(OR('Summary, hourly ad costs'!Z37=-9999,'Summary, PPI''s'!Z37="."),".",(('Summary, hourly ad costs'!J37/'Summary, hourly ad costs'!Z37)*100/('Summary, hourly ad costs'!J$11/'Summary, hourly ad costs'!Z$11))/('Summary, PPI''s'!Z37))</f>
        <v>0.73682083468617054</v>
      </c>
      <c r="BX37" s="4" t="str">
        <f>IF(OR('Summary, hourly ad costs'!AA37=-9999,'Summary, PPI''s'!AA37="."),".",(('Summary, hourly ad costs'!K37/'Summary, hourly ad costs'!AA37)*100/('Summary, hourly ad costs'!K$11/'Summary, hourly ad costs'!AA$11))/('Summary, PPI''s'!AA37))</f>
        <v>.</v>
      </c>
      <c r="BY37" s="4" t="str">
        <f>IF(OR('Summary, hourly ad costs'!AB37=-9999,'Summary, PPI''s'!AB37="."),".",(('Summary, hourly ad costs'!L37/'Summary, hourly ad costs'!AB37)*100/('Summary, hourly ad costs'!L$11/'Summary, hourly ad costs'!AB$11))/('Summary, PPI''s'!AB37))</f>
        <v>.</v>
      </c>
      <c r="BZ37" s="4" t="str">
        <f>IF(OR('Summary, hourly ad costs'!AC37=-9999,'Summary, PPI''s'!AC37="."),".",(('Summary, hourly ad costs'!M37/'Summary, hourly ad costs'!AC37)*100/('Summary, hourly ad costs'!M$11/'Summary, hourly ad costs'!AC$11))/('Summary, PPI''s'!AC37))</f>
        <v>.</v>
      </c>
      <c r="CA37" s="4" t="str">
        <f>IF(OR('Summary, hourly ad costs'!AD37=-9999,'Summary, PPI''s'!AD37="."),".",(('Summary, hourly ad costs'!N37/'Summary, hourly ad costs'!AD37)*100/('Summary, hourly ad costs'!N$11/'Summary, hourly ad costs'!AD$11))/('Summary, PPI''s'!AD37))</f>
        <v>.</v>
      </c>
      <c r="CB37" s="4" t="str">
        <f>IF(OR('Summary, hourly ad costs'!AE37=-9999,'Summary, PPI''s'!AE37="."),".",(('Summary, hourly ad costs'!O37/'Summary, hourly ad costs'!AE37)*100/('Summary, hourly ad costs'!O$11/'Summary, hourly ad costs'!AE$11))/('Summary, PPI''s'!AE37))</f>
        <v>.</v>
      </c>
      <c r="CC37" s="4" t="str">
        <f>IF(OR('Summary, hourly ad costs'!AF37=-9999,'Summary, PPI''s'!AF37="."),".",(('Summary, hourly ad costs'!P37/'Summary, hourly ad costs'!AF37)*100/('Summary, hourly ad costs'!P$11/'Summary, hourly ad costs'!AF$11))/('Summary, PPI''s'!AF37))</f>
        <v>.</v>
      </c>
      <c r="CE37" s="4">
        <f t="shared" si="80"/>
        <v>1.3358890873180096E-2</v>
      </c>
      <c r="CF37" s="4" t="str">
        <f t="shared" si="81"/>
        <v>.</v>
      </c>
      <c r="CG37" s="4" t="str">
        <f t="shared" si="82"/>
        <v>.</v>
      </c>
      <c r="CH37" s="4">
        <f t="shared" si="83"/>
        <v>1.3515496398818438E-2</v>
      </c>
      <c r="CI37" s="4">
        <f t="shared" si="84"/>
        <v>-7.6107192429452075E-2</v>
      </c>
      <c r="CJ37" s="4" t="str">
        <f t="shared" si="85"/>
        <v>.</v>
      </c>
      <c r="CK37" s="4">
        <f t="shared" si="86"/>
        <v>1.2924077810394508E-5</v>
      </c>
      <c r="CL37" s="4">
        <f t="shared" si="87"/>
        <v>3.4988185964424989E-2</v>
      </c>
      <c r="CM37" s="4">
        <f t="shared" si="88"/>
        <v>6.8871015672171687E-2</v>
      </c>
      <c r="CN37" s="4">
        <f t="shared" si="89"/>
        <v>-1.7634022426603502E-2</v>
      </c>
      <c r="CO37" s="4">
        <f t="shared" si="79"/>
        <v>7.5633909085539769E-2</v>
      </c>
      <c r="CP37" s="4">
        <f t="shared" si="79"/>
        <v>0.15804918408314245</v>
      </c>
      <c r="CQ37" s="4" t="str">
        <f t="shared" si="62"/>
        <v>.</v>
      </c>
      <c r="CR37" s="4" t="str">
        <f t="shared" si="63"/>
        <v>.</v>
      </c>
      <c r="CS37" s="4" t="str">
        <f t="shared" si="64"/>
        <v>.</v>
      </c>
      <c r="CU37" s="5">
        <f>IF(CU36=".", ".", IF('Summary, PPI''s'!R37=".",IF(OR('Summary, hourly ad costs'!R37=-9999,'Summary, hourly ad costs'!R37=0), ".", 'Predicted PPIs'!CU36*('Summary, hourly ad costs'!B37/'Summary, hourly ad costs'!R37)/('Summary, hourly ad costs'!B36/'Summary, hourly ad costs'!R36)/(1-CE36)), 'Summary, PPI''s'!R37))</f>
        <v>74.579887970125355</v>
      </c>
      <c r="CV37" s="5">
        <f>IF(CV36=".", ".", IF('Summary, PPI''s'!S37=".",IF(OR('Summary, hourly ad costs'!S37=-9999,'Summary, hourly ad costs'!S37=0), ".", 'Predicted PPIs'!CV36*('Summary, hourly ad costs'!C37/'Summary, hourly ad costs'!S37)/('Summary, hourly ad costs'!C36/'Summary, hourly ad costs'!S36)/(1-CF36)), 'Summary, PPI''s'!S37))</f>
        <v>74.579887970125355</v>
      </c>
      <c r="CW37" s="5">
        <f>IF(CW36=".", ".", IF('Summary, PPI''s'!T37=".",IF(OR('Summary, hourly ad costs'!T37=-9999,'Summary, hourly ad costs'!T37=0), ".", 'Predicted PPIs'!CW36*('Summary, hourly ad costs'!D37/'Summary, hourly ad costs'!T37)/('Summary, hourly ad costs'!D36/'Summary, hourly ad costs'!T36)/(1-CG36)), 'Summary, PPI''s'!T37))</f>
        <v>61.282528816630595</v>
      </c>
      <c r="CX37" s="5">
        <f>IF(CX36=".", ".", IF('Summary, PPI''s'!U37=".",IF(OR('Summary, hourly ad costs'!U37=-9999,'Summary, hourly ad costs'!U37=0), ".", 'Predicted PPIs'!CX36*('Summary, hourly ad costs'!E37/'Summary, hourly ad costs'!U37)/('Summary, hourly ad costs'!E36/'Summary, hourly ad costs'!U36)/(1-CH36)), 'Summary, PPI''s'!U37))</f>
        <v>34.486186910352409</v>
      </c>
      <c r="CY37" s="5">
        <f>IF(CY36=".", ".", IF('Summary, PPI''s'!V37=".",IF(OR('Summary, hourly ad costs'!V37=-9999,'Summary, hourly ad costs'!V37=0), ".", 'Predicted PPIs'!CY36*('Summary, hourly ad costs'!F37/'Summary, hourly ad costs'!V37)/('Summary, hourly ad costs'!F36/'Summary, hourly ad costs'!V36)/(1-CI36)), 'Summary, PPI''s'!V37))</f>
        <v>33.994398451336544</v>
      </c>
      <c r="CZ37" s="5">
        <f>IF(CZ36=".", ".", IF('Summary, PPI''s'!W37=".",IF(OR('Summary, hourly ad costs'!W37=-9999,'Summary, hourly ad costs'!W37=0), ".", 'Predicted PPIs'!CZ36*('Summary, hourly ad costs'!G37/'Summary, hourly ad costs'!W37)/('Summary, hourly ad costs'!G36/'Summary, hourly ad costs'!W36)/(1-CJ36)), 'Summary, PPI''s'!W37))</f>
        <v>39.448142392164918</v>
      </c>
      <c r="DA37" s="5">
        <f>IF(DA36=".", ".", IF('Summary, PPI''s'!X37=".",IF(OR('Summary, hourly ad costs'!X37=-9999,'Summary, hourly ad costs'!X37=0), ".", 'Predicted PPIs'!DA36*('Summary, hourly ad costs'!H37/'Summary, hourly ad costs'!X37)/('Summary, hourly ad costs'!H36/'Summary, hourly ad costs'!X36)/(1-CK36)), 'Summary, PPI''s'!X37))</f>
        <v>40.03</v>
      </c>
      <c r="DB37" s="5">
        <f>IF(DB36=".", ".", IF('Summary, PPI''s'!Y37=".",IF(OR('Summary, hourly ad costs'!Y37=-9999,'Summary, hourly ad costs'!Y37=0), ".", 'Predicted PPIs'!DB36*('Summary, hourly ad costs'!I37/'Summary, hourly ad costs'!Y37)/('Summary, hourly ad costs'!I36/'Summary, hourly ad costs'!Y36)/(1-CL36)), 'Summary, PPI''s'!Y37))</f>
        <v>51.989286857805958</v>
      </c>
      <c r="DC37" s="5">
        <f>IF(DC36=".", ".", IF('Summary, PPI''s'!Z37=".",IF(OR('Summary, hourly ad costs'!Z37=-9999,'Summary, hourly ad costs'!Z37=0), ".", 'Predicted PPIs'!DC36*('Summary, hourly ad costs'!J37/'Summary, hourly ad costs'!Z37)/('Summary, hourly ad costs'!J36/'Summary, hourly ad costs'!Z36)/(1-CM36)), 'Summary, PPI''s'!Z37))</f>
        <v>55.736024836529651</v>
      </c>
      <c r="DD37" s="5">
        <f>IF(DD36=".", ".", IF('Summary, PPI''s'!AA37=".",IF(OR('Summary, hourly ad costs'!AA37=-9999,'Summary, hourly ad costs'!AA37=0), ".", 'Predicted PPIs'!DD36*('Summary, hourly ad costs'!K37/'Summary, hourly ad costs'!AA37)/('Summary, hourly ad costs'!K36/'Summary, hourly ad costs'!AA36)/(1-CN36)), 'Summary, PPI''s'!AA37))</f>
        <v>30.709765719836035</v>
      </c>
      <c r="DE37" s="5" t="str">
        <f>IF(DE36=".", ".", IF('Summary, PPI''s'!AB37=".",IF(OR('Summary, hourly ad costs'!AB37=-9999,'Summary, hourly ad costs'!AB37=0), ".", 'Predicted PPIs'!DE36*('Summary, hourly ad costs'!L37/'Summary, hourly ad costs'!AB37)/('Summary, hourly ad costs'!L36/'Summary, hourly ad costs'!AB36)/(1-CO36)), 'Summary, PPI''s'!AB37))</f>
        <v>.</v>
      </c>
      <c r="DF37" s="5" t="str">
        <f>IF(DF36=".", ".", IF('Summary, PPI''s'!AC37=".",IF(OR('Summary, hourly ad costs'!AC37=-9999,'Summary, hourly ad costs'!AC37=0), ".", 'Predicted PPIs'!DF36*('Summary, hourly ad costs'!M37/'Summary, hourly ad costs'!AC37)/('Summary, hourly ad costs'!M36/'Summary, hourly ad costs'!AC36)/(1-CP36)), 'Summary, PPI''s'!AC37))</f>
        <v>.</v>
      </c>
      <c r="DG37" s="5" t="str">
        <f>IF(DG36=".", ".", IF('Summary, PPI''s'!AD37=".",IF(OR('Summary, hourly ad costs'!AD37=-9999,'Summary, hourly ad costs'!AD37=0), ".", 'Predicted PPIs'!DG36*('Summary, hourly ad costs'!N37/'Summary, hourly ad costs'!AD37)/('Summary, hourly ad costs'!N36/'Summary, hourly ad costs'!AD36)/(1-CQ36)), 'Summary, PPI''s'!AD37))</f>
        <v>.</v>
      </c>
      <c r="DH37" s="5">
        <f>IF(DH36=".", ".", IF('Summary, PPI''s'!AE37=".",IF(OR('Summary, hourly ad costs'!AE37=-9999,'Summary, hourly ad costs'!AE37=0), ".", 'Predicted PPIs'!DH36*('Summary, hourly ad costs'!O37/'Summary, hourly ad costs'!AE37)/('Summary, hourly ad costs'!O36/'Summary, hourly ad costs'!AE36)/(1-CR36)), 'Summary, PPI''s'!AE37))</f>
        <v>38.680207370820384</v>
      </c>
      <c r="DI37" s="5" t="str">
        <f>IF(DI36=".", ".", IF('Summary, PPI''s'!AF37=".",IF(OR('Summary, hourly ad costs'!AF37=-9999,'Summary, hourly ad costs'!AF37=0), ".", 'Predicted PPIs'!DI36*('Summary, hourly ad costs'!P37/'Summary, hourly ad costs'!AF37)/('Summary, hourly ad costs'!P36/'Summary, hourly ad costs'!AF36)/(1-CS36)), 'Summary, PPI''s'!AF37))</f>
        <v>.</v>
      </c>
      <c r="DK37" s="4">
        <v>33.225000000000001</v>
      </c>
      <c r="DM37" s="5">
        <f t="shared" si="65"/>
        <v>-3.6210421914222413E-2</v>
      </c>
      <c r="DN37" s="5">
        <f t="shared" si="66"/>
        <v>-3.6210421914222413E-2</v>
      </c>
      <c r="DO37" s="5">
        <f t="shared" si="67"/>
        <v>-4.1032575212207267E-2</v>
      </c>
      <c r="DP37" s="5">
        <f t="shared" si="68"/>
        <v>-4.2285679072509019E-3</v>
      </c>
      <c r="DQ37" s="5">
        <f t="shared" si="69"/>
        <v>1.979460049012749E-2</v>
      </c>
      <c r="DR37" s="5">
        <f t="shared" si="70"/>
        <v>9.2333845697081252E-3</v>
      </c>
      <c r="DS37" s="5">
        <f t="shared" si="71"/>
        <v>-2.1596852374900943E-2</v>
      </c>
      <c r="DT37" s="5">
        <f t="shared" si="72"/>
        <v>-1.2150191507466768E-2</v>
      </c>
      <c r="DU37" s="5">
        <f t="shared" si="73"/>
        <v>-1.2150191507466879E-2</v>
      </c>
      <c r="DV37" s="5">
        <f t="shared" si="74"/>
        <v>-2.0524099728997935E-2</v>
      </c>
      <c r="DW37" s="4">
        <f t="shared" si="78"/>
        <v>-5.3996890083391536E-2</v>
      </c>
      <c r="DX37" s="4">
        <f t="shared" si="78"/>
        <v>-7.5701454436088333E-2</v>
      </c>
      <c r="DY37" s="4">
        <f t="shared" ref="DY37:DY100" si="108">_xlfn.FORECAST.LINEAR($BM37,DY$4:DY$35,$BM$4:$BM$35)</f>
        <v>-1.8581555732500303E-2</v>
      </c>
      <c r="DZ37" s="5">
        <f t="shared" si="92"/>
        <v>-2.1673215716792038E-2</v>
      </c>
      <c r="EA37" s="4">
        <f t="shared" ref="EA37:EA100" si="109">_xlfn.FORECAST.LINEAR($BM37,EA$4:EA$35,$BM$4:$BM$35)</f>
        <v>-1.0996172376690741E-2</v>
      </c>
      <c r="EC37" s="1">
        <f t="shared" si="93"/>
        <v>74.579887970125355</v>
      </c>
      <c r="ED37" s="1">
        <f t="shared" si="94"/>
        <v>74.579887970125355</v>
      </c>
      <c r="EE37" s="1">
        <f t="shared" si="95"/>
        <v>61.282528816630595</v>
      </c>
      <c r="EF37" s="1">
        <f t="shared" si="96"/>
        <v>34.486186910352409</v>
      </c>
      <c r="EG37" s="1">
        <f t="shared" si="97"/>
        <v>33.994398451336544</v>
      </c>
      <c r="EH37" s="1">
        <f t="shared" si="98"/>
        <v>39.448142392164918</v>
      </c>
      <c r="EI37" s="1">
        <f t="shared" si="99"/>
        <v>40.03</v>
      </c>
      <c r="EJ37" s="1">
        <f t="shared" si="100"/>
        <v>51.989286857805958</v>
      </c>
      <c r="EK37" s="1">
        <f t="shared" si="101"/>
        <v>55.736024836529651</v>
      </c>
      <c r="EL37" s="1">
        <f t="shared" si="102"/>
        <v>30.709765719836035</v>
      </c>
      <c r="EM37" s="1">
        <f t="shared" si="103"/>
        <v>73.968537201585804</v>
      </c>
      <c r="EN37" s="1">
        <f t="shared" si="104"/>
        <v>51.13250798660718</v>
      </c>
      <c r="EO37" s="1">
        <f t="shared" si="105"/>
        <v>52.768790023842691</v>
      </c>
      <c r="EP37" s="1">
        <f t="shared" si="106"/>
        <v>38.680207370820384</v>
      </c>
      <c r="EQ37" s="1">
        <f t="shared" si="107"/>
        <v>45.31571017609631</v>
      </c>
      <c r="ES37" s="1">
        <f>IF(EF$26=".", 0, 'Summary, PPI''s'!E37)+IF(EG$26=".", 0, 'Summary, PPI''s'!F37)+IF(EH$26=".", 0, 'Summary, PPI''s'!G37)+IF(EI$26=".", 0, 'Summary, PPI''s'!H37)+IF(EJ$26=".", 0, 'Summary, PPI''s'!I37)+IF(EK$26=".", 0, 'Summary, PPI''s'!J37)+IF(EL$26=".", 0, 'Summary, PPI''s'!K37)+IF(EM$26=".", 0, 'Summary, PPI''s'!L37)+IF(EN$26=".", 0, 'Summary, PPI''s'!M37)+IF(EC$26=".", 0, 'Summary, PPI''s'!B37)+IF(ED$26=".", 0, 'Summary, PPI''s'!C37)+IF(EE$26=".", 0, 'Summary, PPI''s'!D37)+IF(EO$26=".", 0, 'Summary, PPI''s'!N37)+IF(EP$26=".", 0, 'Summary, PPI''s'!O37)+IF(EQ$26=".", 0, 'Summary, PPI''s'!P37)</f>
        <v>106049512.78492711</v>
      </c>
      <c r="ET37" s="1">
        <f>'Summary, hourly ad costs'!E37+'Summary, hourly ad costs'!F37+'Summary, hourly ad costs'!H37+'Summary, hourly ad costs'!I37+'Summary, hourly ad costs'!J37+'Summary, hourly ad costs'!K37+'Summary, hourly ad costs'!L37+'Summary, hourly ad costs'!M37+'Summary, hourly ad costs'!B37</f>
        <v>55767760.791591741</v>
      </c>
      <c r="EV37" s="13">
        <f>EV36*IF(EF$26=".", 1, (EF37/EF36)^(('Summary, PPI''s'!$E37+'Summary, PPI''s'!$E36)/('Predicted PPIs'!ES37+'Predicted PPIs'!ES36)))*IF(EG$26=".", 1, (EG37/EG36)^(('Summary, PPI''s'!$F37+'Summary, PPI''s'!$F36)/('Predicted PPIs'!ES37+'Predicted PPIs'!ES36)))*IF(EH$26=".", 1, (EH37/EH36)^(('Summary, PPI''s'!$G37+'Summary, PPI''s'!$G36)/('Predicted PPIs'!ES37+'Predicted PPIs'!ES36)))*IF(EI$26=".", 1, (EI37/EI36)^(('Summary, PPI''s'!$H37+'Summary, PPI''s'!$H36)/('Predicted PPIs'!ES37+'Predicted PPIs'!ES36)))*IF(EJ$26=".", 1, (EJ37/EJ36)^(('Summary, PPI''s'!$I37+'Summary, PPI''s'!$I36)/('Predicted PPIs'!ES37+'Predicted PPIs'!ES36)))*IF(EK$26=".", 1, (EK37/EK36)^(('Summary, PPI''s'!$J37+'Summary, PPI''s'!$J36)/('Predicted PPIs'!ES37+'Predicted PPIs'!ES36)))*IF(EL$26=".", 1, (EL37/EL36)^(('Summary, PPI''s'!$K37+'Summary, PPI''s'!$K36)/('Predicted PPIs'!ES37+'Predicted PPIs'!ES36)))*IF(EM$26=".", 1, (EM37/EM36)^(('Summary, PPI''s'!$L37+'Summary, PPI''s'!$L36)/('Predicted PPIs'!ES37+'Predicted PPIs'!ES36)))*IF(EN$26=".", 1, (EN37/EN36)^(('Summary, PPI''s'!$M37+'Summary, PPI''s'!$M36)/('Predicted PPIs'!ES37+'Predicted PPIs'!ES36)))*IF(EC$26=".", 1, (EC37/EC36)^(('Summary, PPI''s'!$B37+'Summary, PPI''s'!$B36)/('Predicted PPIs'!ES37+'Predicted PPIs'!ES36)))*IF(ED$26=".", 1, (ED37/ED36)^(('Summary, PPI''s'!$C37+'Summary, PPI''s'!$C36)/('Predicted PPIs'!ES37+'Predicted PPIs'!ES36)))*IF(EE$26=".", 1, (EE37/EE36)^(('Summary, PPI''s'!$D37+'Summary, PPI''s'!$D36)/('Predicted PPIs'!ES37+'Predicted PPIs'!ES36)))*IF(EO$26=".", 1, (EO37/EO36)^(('Summary, PPI''s'!$N37+'Summary, PPI''s'!$N36)/('Predicted PPIs'!ES37+'Predicted PPIs'!ES36)))*IF(EP$26=".", 1, (EP37/EP36)^(('Summary, PPI''s'!$O37+'Summary, PPI''s'!$O36)/('Predicted PPIs'!ES37+'Predicted PPIs'!ES36)))*IF(EQ$26=".", 1, (EQ37/EQ36)^(('Summary, PPI''s'!$P37+'Summary, PPI''s'!$P36)/('Predicted PPIs'!ES37+'Predicted PPIs'!ES36)))</f>
        <v>53.706013219786605</v>
      </c>
      <c r="EW37" s="13">
        <f>EW36*IF(EF$26=".", 1, (EF37/EF36)^(('Summary, PPI''s'!$E37+'Summary, PPI''s'!$E36)/('Predicted PPIs'!ET37+'Predicted PPIs'!ET36)))*IF(EG$26=".", 1, (EG37/EG36)^(('Summary, PPI''s'!$F37+'Summary, PPI''s'!$F36)/('Predicted PPIs'!ET37+'Predicted PPIs'!ET36)))*IF(EH$26=".", 1, (EH37/EH36)^(('Summary, PPI''s'!$G37+'Summary, PPI''s'!$G36)/('Predicted PPIs'!ET37+'Predicted PPIs'!ET36)))*IF(EK$26=".", 1, (EK37/EK36)^(('Summary, PPI''s'!$J37+'Summary, PPI''s'!$J36)/('Predicted PPIs'!ET37+'Predicted PPIs'!ET36)))*IF(EL$26=".", 1, (EL37/EL36)^(('Summary, PPI''s'!$K37+'Summary, PPI''s'!$K36)/('Predicted PPIs'!ET37+'Predicted PPIs'!ET36)))*IF(EM$26=".", 1, (EM37/EM36)^(('Summary, PPI''s'!$L37+'Summary, PPI''s'!$L36)/('Predicted PPIs'!ET37+'Predicted PPIs'!ET36)))*IF(EN$26=".", 1, (EN37/EN36)^(('Summary, PPI''s'!$M37+'Summary, PPI''s'!$M36)/('Predicted PPIs'!ET37+'Predicted PPIs'!ET36)))*IF(EC$26=".", 1, (EC37/EC36)^(('Summary, PPI''s'!$B37+'Summary, PPI''s'!$B36)/('Predicted PPIs'!ET37+'Predicted PPIs'!ET36)))</f>
        <v>54.751509737782676</v>
      </c>
      <c r="EY37" s="2"/>
    </row>
    <row r="38" spans="1:155" x14ac:dyDescent="0.3">
      <c r="A38" s="4">
        <v>1985</v>
      </c>
      <c r="B38" s="10">
        <f>IF(B37=".", ".", IF('Summary, PPI''s'!R38=".",IF(OR('Summary, hourly ad costs'!R38=-9999,'Summary, hourly ad costs'!R38=0), ".", 'Predicted PPIs'!B37*('Summary, hourly ad costs'!B38/'Summary, hourly ad costs'!R38)/('Summary, hourly ad costs'!B37/'Summary, hourly ad costs'!R37)), 'Summary, PPI''s'!R38))</f>
        <v>72.947452654041058</v>
      </c>
      <c r="C38" s="10">
        <f>IF(C37=".", ".", IF('Summary, PPI''s'!S38=".",IF(OR('Summary, hourly ad costs'!S38=-9999,'Summary, hourly ad costs'!S38=0), ".", 'Predicted PPIs'!C37*('Summary, hourly ad costs'!C38/'Summary, hourly ad costs'!S38)/('Summary, hourly ad costs'!C37/'Summary, hourly ad costs'!S37)), 'Summary, PPI''s'!S38))</f>
        <v>72.947452654041058</v>
      </c>
      <c r="D38" s="10">
        <f>IF(D37=".", ".", IF('Summary, PPI''s'!T38=".",IF(OR('Summary, hourly ad costs'!T38=-9999,'Summary, hourly ad costs'!T38=0), ".", 'Predicted PPIs'!D37*('Summary, hourly ad costs'!D38/'Summary, hourly ad costs'!T38)/('Summary, hourly ad costs'!D37/'Summary, hourly ad costs'!T37)), 'Summary, PPI''s'!T38))</f>
        <v>60.24256475720744</v>
      </c>
      <c r="E38" s="10">
        <f>IF(E37=".", ".", IF('Summary, PPI''s'!U38=".",IF(OR('Summary, hourly ad costs'!U38=-9999,'Summary, hourly ad costs'!U38=0), ".", 'Predicted PPIs'!E37*('Summary, hourly ad costs'!E38/'Summary, hourly ad costs'!U38)/('Summary, hourly ad costs'!E37/'Summary, hourly ad costs'!U37)), 'Summary, PPI''s'!U38))</f>
        <v>32.647967170114647</v>
      </c>
      <c r="F38" s="10">
        <f>IF(F37=".", ".", IF('Summary, PPI''s'!V38=".",IF(OR('Summary, hourly ad costs'!V38=-9999,'Summary, hourly ad costs'!V38=0), ".", 'Predicted PPIs'!F37*('Summary, hourly ad costs'!F38/'Summary, hourly ad costs'!V38)/('Summary, hourly ad costs'!F37/'Summary, hourly ad costs'!V37)), 'Summary, PPI''s'!V38))</f>
        <v>31.424276123398823</v>
      </c>
      <c r="G38" s="10">
        <f>IF(G37=".", ".", IF('Summary, PPI''s'!W38=".",IF(OR('Summary, hourly ad costs'!W38=-9999,'Summary, hourly ad costs'!W38=0), ".", 'Predicted PPIs'!G37*('Summary, hourly ad costs'!G38/'Summary, hourly ad costs'!W38)/('Summary, hourly ad costs'!G37/'Summary, hourly ad costs'!W37)), 'Summary, PPI''s'!W38))</f>
        <v>36.84729224804142</v>
      </c>
      <c r="H38" s="10">
        <f>IF(H37=".", ".", IF('Summary, PPI''s'!X38=".",IF(OR('Summary, hourly ad costs'!X38=-9999,'Summary, hourly ad costs'!X38=0), ".", 'Predicted PPIs'!H37*('Summary, hourly ad costs'!H38/'Summary, hourly ad costs'!X38)/('Summary, hourly ad costs'!H37/'Summary, hourly ad costs'!X37)), 'Summary, PPI''s'!X38))</f>
        <v>38.569000000000003</v>
      </c>
      <c r="I38" s="10">
        <f>IF(I37=".", ".", IF('Summary, PPI''s'!Y38=".",IF(OR('Summary, hourly ad costs'!Y38=-9999,'Summary, hourly ad costs'!Y38=0), ".", 'Predicted PPIs'!I37*('Summary, hourly ad costs'!I38/'Summary, hourly ad costs'!Y38)/('Summary, hourly ad costs'!I37/'Summary, hourly ad costs'!Y37)), 'Summary, PPI''s'!Y38))</f>
        <v>49.612780820492162</v>
      </c>
      <c r="J38" s="10">
        <f>IF(J37=".", ".", IF('Summary, PPI''s'!Z38=".",IF(OR('Summary, hourly ad costs'!Z38=-9999,'Summary, hourly ad costs'!Z38=0), ".", 'Predicted PPIs'!J37*('Summary, hourly ad costs'!J38/'Summary, hourly ad costs'!Z38)/('Summary, hourly ad costs'!J37/'Summary, hourly ad costs'!Z37)), 'Summary, PPI''s'!Z38))</f>
        <v>53.18824994817308</v>
      </c>
      <c r="K38" s="10">
        <f>IF(K37=".", ".", IF('Summary, PPI''s'!AA38=".",IF(OR('Summary, hourly ad costs'!AA38=-9999,'Summary, hourly ad costs'!AA38=0), ".", 'Predicted PPIs'!K37*('Summary, hourly ad costs'!K38/'Summary, hourly ad costs'!AA38)/('Summary, hourly ad costs'!K37/'Summary, hourly ad costs'!AA37)), 'Summary, PPI''s'!AA38))</f>
        <v>32.683932332383762</v>
      </c>
      <c r="L38" s="10" t="str">
        <f>IF(L37=".", ".", IF('Summary, PPI''s'!AB38=".",IF(OR('Summary, hourly ad costs'!AB38=-9999,'Summary, hourly ad costs'!AB38=0), ".", 'Predicted PPIs'!L37*('Summary, hourly ad costs'!L38/'Summary, hourly ad costs'!AB38)/('Summary, hourly ad costs'!L37/'Summary, hourly ad costs'!AB37)), 'Summary, PPI''s'!AB38))</f>
        <v>.</v>
      </c>
      <c r="M38" s="10" t="str">
        <f>IF(M37=".", ".", IF('Summary, PPI''s'!AC38=".",IF(OR('Summary, hourly ad costs'!AC38=-9999,'Summary, hourly ad costs'!AC38=0), ".", 'Predicted PPIs'!M37*('Summary, hourly ad costs'!M38/'Summary, hourly ad costs'!AC38)/('Summary, hourly ad costs'!M37/'Summary, hourly ad costs'!AC37)), 'Summary, PPI''s'!AC38))</f>
        <v>.</v>
      </c>
      <c r="N38" s="10" t="str">
        <f>IF(N37=".", ".", IF('Summary, PPI''s'!AD38=".",IF(OR('Summary, hourly ad costs'!AD38=-9999,'Summary, hourly ad costs'!AD38=0), ".", 'Predicted PPIs'!N37*('Summary, hourly ad costs'!N38/'Summary, hourly ad costs'!AD38)/('Summary, hourly ad costs'!N37/'Summary, hourly ad costs'!AD37)), 'Summary, PPI''s'!AD38))</f>
        <v>.</v>
      </c>
      <c r="O38" s="10">
        <f>IF(O37=".", ".", IF('Summary, PPI''s'!AE38=".",IF(OR('Summary, hourly ad costs'!AE38=-9999,'Summary, hourly ad costs'!AE38=0), ".", 'Predicted PPIs'!O37*('Summary, hourly ad costs'!O38/'Summary, hourly ad costs'!AE38)/('Summary, hourly ad costs'!O37/'Summary, hourly ad costs'!AE37)), 'Summary, PPI''s'!AE38))</f>
        <v>37.27138059068556</v>
      </c>
      <c r="P38" s="10" t="str">
        <f>IF(P37=".", ".", IF('Summary, PPI''s'!AF38=".",IF(OR('Summary, hourly ad costs'!AF38=-9999,'Summary, hourly ad costs'!AF38=0), ".", 'Predicted PPIs'!P37*('Summary, hourly ad costs'!P38/'Summary, hourly ad costs'!AF38)/('Summary, hourly ad costs'!P37/'Summary, hourly ad costs'!AF37)), 'Summary, PPI''s'!AF38))</f>
        <v>.</v>
      </c>
      <c r="R38" s="1">
        <f>IF(E$26=".", 0, 'Summary, PPI''s'!E38)+IF(F$26=".", 0, 'Summary, PPI''s'!F38)+IF(G$26=".", 0, 'Summary, PPI''s'!G38)+IF(H$26=".", 0, 'Summary, PPI''s'!H38)+IF(I$26=".", 0, 'Summary, PPI''s'!I38)+IF(J$26=".", 0, 'Summary, PPI''s'!J38)+IF(K$26=".", 0, 'Summary, PPI''s'!K38)+IF(L$26=".", 0, 'Summary, PPI''s'!L38)+IF(M$26=".", 0, 'Summary, PPI''s'!M38)+IF(B$26=".", 0, 'Summary, PPI''s'!B38)+IF(C$26=".", 0, 'Summary, PPI''s'!C38)+IF(D$26=".", 0, 'Summary, PPI''s'!D38)+IF(N$26=".", 0, 'Summary, PPI''s'!N38)+IF(O$26=".", 0, 'Summary, PPI''s'!O38)+IF(P$26=".", 0, 'Summary, PPI''s'!P38)</f>
        <v>98088444.47088629</v>
      </c>
      <c r="S38" s="1">
        <f>IF(E$36=".", 0, 'Summary, PPI''s'!E38)+IF(F$36=".", 0, 'Summary, PPI''s'!F38)+IF(G$36=".", 0, 'Summary, PPI''s'!G38)+IF(H$36=".", 0, 'Summary, PPI''s'!H38)+IF(I$36=".", 0, 'Summary, PPI''s'!I38)+IF(J$36=".", 0, 'Summary, PPI''s'!J38)+IF(K$36=".", 0, 'Summary, PPI''s'!K38)+IF(L$36=".", 0, 'Summary, PPI''s'!L38)+IF(M$36=".", 0, 'Summary, PPI''s'!M38)+IF(B$36=".", 0, 'Summary, PPI''s'!B38)+IF(C$36=".", 0, 'Summary, PPI''s'!C38)+IF(D$36=".", 0, 'Summary, PPI''s'!D38)+IF(N$36=".", 0, 'Summary, PPI''s'!N38)+IF(O$36=".", 0, 'Summary, PPI''s'!O38)+IF(P$36=".", 0, 'Summary, PPI''s'!P38)</f>
        <v>98088444.47088629</v>
      </c>
      <c r="T38" s="1">
        <f>IF(E$46=".", 0, 'Summary, PPI''s'!E38)+IF(F$46=".", 0, 'Summary, PPI''s'!F38)+IF(G$46=".", 0, 'Summary, PPI''s'!G38)+IF(H$46=".", 0, 'Summary, PPI''s'!H38)+IF(I$46=".", 0, 'Summary, PPI''s'!I38)+IF(J$46=".", 0, 'Summary, PPI''s'!J38)+IF(K$46=".", 0, 'Summary, PPI''s'!K38)+IF(L$46=".", 0, 'Summary, PPI''s'!L38)+IF(M$46=".", 0, 'Summary, PPI''s'!M38)+IF(B$46=".", 0, 'Summary, PPI''s'!B38)+IF(C$46=".", 0, 'Summary, PPI''s'!C38)+IF(D$46=".", 0, 'Summary, PPI''s'!D38)+IF(N$46=".", 0, 'Summary, PPI''s'!N38)+IF(O$46=".", 0, 'Summary, PPI''s'!O38)+IF(P$46=".", 0, 'Summary, PPI''s'!P38)</f>
        <v>70565881.957405269</v>
      </c>
      <c r="U38" s="1">
        <f>IF(E$60=".", 0, 'Summary, PPI''s'!E38)+IF(F$60=".", 0, 'Summary, PPI''s'!F38)+IF(G$60=".", 0, 'Summary, PPI''s'!G38)+IF(H$60=".", 0, 'Summary, PPI''s'!H38)+IF(I$60=".", 0, 'Summary, PPI''s'!I38)+IF(J$60=".", 0, 'Summary, PPI''s'!J38)+IF(K$60=".", 0, 'Summary, PPI''s'!K38)+IF(L$60=".", 0, 'Summary, PPI''s'!L38)+IF(M$60=".", 0, 'Summary, PPI''s'!M38)+IF(B$60=".", 0, 'Summary, PPI''s'!B38)+IF(C$60=".", 0, 'Summary, PPI''s'!C38)+IF(D$60=".", 0, 'Summary, PPI''s'!D38)+IF(N$60=".", 0, 'Summary, PPI''s'!N38)+IF(O$60=".", 0, 'Summary, PPI''s'!O38)+IF(P$60=".", 0, 'Summary, PPI''s'!P38)</f>
        <v>63484957.311747253</v>
      </c>
      <c r="V38" s="1">
        <f>IF(E$73=".", 0, 'Summary, PPI''s'!E38)+IF(F$73=".", 0, 'Summary, PPI''s'!F38)+IF(G$73=".", 0, 'Summary, PPI''s'!G38)+IF(H$73=".", 0, 'Summary, PPI''s'!H38)+IF(I$73=".", 0, 'Summary, PPI''s'!I38)+IF(J$73=".", 0, 'Summary, PPI''s'!J38)+IF(K$73=".", 0, 'Summary, PPI''s'!K38)+IF(L$73=".", 0, 'Summary, PPI''s'!L38)+IF(M$73=".", 0, 'Summary, PPI''s'!M38)+IF(B$73=".", 0, 'Summary, PPI''s'!B38)+IF(C$73=".", 0, 'Summary, PPI''s'!C38)+IF(D$73=".", 0, 'Summary, PPI''s'!D38)+IF(N$73=".", 0, 'Summary, PPI''s'!N38)+IF(O$73=".", 0, 'Summary, PPI''s'!O38)+IF(P$73=".", 0, 'Summary, PPI''s'!P38)</f>
        <v>51079132.156151354</v>
      </c>
      <c r="W38" s="1">
        <f>IF(E$94=".",0,'Summary, PPI''s'!E38)+IF(F$94=".",0,'Summary, PPI''s'!F38)+IF(G$94=".",0,'Summary, PPI''s'!G38)+IF(H$94=".",0,'Summary, PPI''s'!H38)+IF(I$94=".",0,'Summary, PPI''s'!I38)+IF(J$94=".",0,'Summary, PPI''s'!J38)+IF(K$94=".",0,'Summary, PPI''s'!K38)+IF(L$94=".",0,'Summary, PPI''s'!L38)+IF(M$94=".",0,'Summary, PPI''s'!M38)+IF(B$94=".",0,'Summary, PPI''s'!B38)+IF(C$94=".",0,'Summary, PPI''s'!C38)+IF(D$94=".",0,'Summary, PPI''s'!D38)+IF(N$94=".",0,'Summary, PPI''s'!N38)+IF(O$94=".",0,'Summary, PPI''s'!O38)+IF(P$94=".",0,'Summary, PPI''s'!P38)</f>
        <v>36608373.883812077</v>
      </c>
      <c r="X38" s="1">
        <f>IF(E$123=".", 0, 'Summary, PPI''s'!E38)+IF(F$123=".", 0, 'Summary, PPI''s'!F38)+IF(G$123=".", 0, 'Summary, PPI''s'!G38)+IF(H$123=".", 0, 'Summary, PPI''s'!H38)+IF(I$123=".", 0, 'Summary, PPI''s'!I38)+IF(J$123=".", 0, 'Summary, PPI''s'!J38)+IF(K$123=".", 0, 'Summary, PPI''s'!K38)+IF(L$123=".", 0, 'Summary, PPI''s'!L38)+IF(M$123=".", 0, 'Summary, PPI''s'!M38)+IF(B$123=".", 0, 'Summary, PPI''s'!B38)+IF(C$123=".", 0, 'Summary, PPI''s'!C38)+IF(D$123=".", 0, 'Summary, PPI''s'!D38)+IF(N$123=".", 0, 'Summary, PPI''s'!N38)+IF(O$123=".", 0, 'Summary, PPI''s'!O38)+IF(P$123=".", 0, 'Summary, PPI''s'!P38)</f>
        <v>31368616.650448222</v>
      </c>
      <c r="Z38" s="4" t="e">
        <f>Z37*IF(E$26=".", 1, (E38/E37)^(('Summary, PPI''s'!$E38+'Summary, PPI''s'!$E37)/('Predicted PPIs'!R38+'Predicted PPIs'!R37)))*IF(F$26=".", 1, (F38/F37)^(('Summary, PPI''s'!$F38+'Summary, PPI''s'!$F37)/('Predicted PPIs'!R38+'Predicted PPIs'!R37)))*IF(G$26=".", 1, (G38/G37)^(('Summary, PPI''s'!$G38+'Summary, PPI''s'!$G37)/('Predicted PPIs'!R38+'Predicted PPIs'!R37)))*IF(H$26=".", 1, (H38/H37)^(('Summary, PPI''s'!$H38+'Summary, PPI''s'!$H37)/('Predicted PPIs'!R38+'Predicted PPIs'!R37)))*IF(I$26=".", 1, (I38/I37)^(('Summary, PPI''s'!$I38+'Summary, PPI''s'!$I37)/('Predicted PPIs'!R38+'Predicted PPIs'!R37)))*IF(J$26=".", 1, (J38/J37)^(('Summary, PPI''s'!$J38+'Summary, PPI''s'!$J37)/('Predicted PPIs'!R38+'Predicted PPIs'!R37)))*IF(K$26=".", 1, (K38/K37)^(('Summary, PPI''s'!$K38+'Summary, PPI''s'!$K37)/('Predicted PPIs'!R38+'Predicted PPIs'!R37)))*IF(L$26=".", 1, (L38/L37)^(('Summary, PPI''s'!$L38+'Summary, PPI''s'!$L37)/('Predicted PPIs'!R38+'Predicted PPIs'!R37)))*IF(M$26=".", 1, (M38/M37)^(('Summary, PPI''s'!$M38+'Summary, PPI''s'!$M37)/('Predicted PPIs'!R38+'Predicted PPIs'!R37)))*IF(B$26=".", 1, (B38/B37)^(('Summary, PPI''s'!$B38+'Summary, PPI''s'!$B37)/('Predicted PPIs'!R38+'Predicted PPIs'!R37)))*IF(C$26=".", 1, (C38/C37)^(('Summary, PPI''s'!$C38+'Summary, PPI''s'!$C37)/('Predicted PPIs'!R38+'Predicted PPIs'!R37)))*IF(D$26=".", 1, (D38/D37)^(('Summary, PPI''s'!$D38+'Summary, PPI''s'!$D37)/('Predicted PPIs'!R38+'Predicted PPIs'!R37)))*IF(N$26=".", 1, (N38/N37)^(('Summary, PPI''s'!$N38+'Summary, PPI''s'!$N37)/('Predicted PPIs'!R38+'Predicted PPIs'!R37)))*IF(O$26=".", 1, (O38/O37)^(('Summary, PPI''s'!$O38+'Summary, PPI''s'!$O37)/('Predicted PPIs'!R38+'Predicted PPIs'!R37)))*IF(P$26=".", 1, (P38/P37)^(('Summary, PPI''s'!$P38+'Summary, PPI''s'!$P37)/('Predicted PPIs'!R38+'Predicted PPIs'!R37)))</f>
        <v>#VALUE!</v>
      </c>
      <c r="AA38" s="4" t="e">
        <f>AA37*IF(E$36=".", 1, (E38/E37)^(('Summary, PPI''s'!$E38+'Summary, PPI''s'!$E37)/('Predicted PPIs'!S38+'Predicted PPIs'!S37)))*IF(F$36=".", 1, (F38/F37)^(('Summary, PPI''s'!$F38+'Summary, PPI''s'!$F37)/('Predicted PPIs'!S38+'Predicted PPIs'!S37)))*IF(G$36=".", 1, (G38/G37)^(('Summary, PPI''s'!$G38+'Summary, PPI''s'!$G37)/('Predicted PPIs'!S38+'Predicted PPIs'!S37)))*IF(H$36=".", 1, (H38/H37)^(('Summary, PPI''s'!$H38+'Summary, PPI''s'!$H37)/('Predicted PPIs'!S38+'Predicted PPIs'!S37)))*IF(I$36=".", 1, (I38/I37)^(('Summary, PPI''s'!$I38+'Summary, PPI''s'!$I37)/('Predicted PPIs'!S38+'Predicted PPIs'!S37)))*IF(J$36=".", 1, (J38/J37)^(('Summary, PPI''s'!$J38+'Summary, PPI''s'!$J37)/('Predicted PPIs'!S38+'Predicted PPIs'!S37)))*IF(K$36=".", 1, (K38/K37)^(('Summary, PPI''s'!$K38+'Summary, PPI''s'!$K37)/('Predicted PPIs'!S38+'Predicted PPIs'!S37)))*IF(L$36=".", 1, (L38/L37)^(('Summary, PPI''s'!$L38+'Summary, PPI''s'!$L37)/('Predicted PPIs'!S38+'Predicted PPIs'!S37)))*IF(M$36=".", 1, (M38/M37)^(('Summary, PPI''s'!$M38+'Summary, PPI''s'!$M37)/('Predicted PPIs'!S38+'Predicted PPIs'!S37)))*IF(B$36=".", 1, (B38/B37)^(('Summary, PPI''s'!$B38+'Summary, PPI''s'!$B37)/('Predicted PPIs'!S38+'Predicted PPIs'!S37)))*IF(C$36=".", 1, (C38/C37)^(('Summary, PPI''s'!$C38+'Summary, PPI''s'!$C37)/('Predicted PPIs'!S38+'Predicted PPIs'!S37)))*IF(D$36=".", 1, (D38/D37)^(('Summary, PPI''s'!$D38+'Summary, PPI''s'!$D37)/('Predicted PPIs'!S38+'Predicted PPIs'!S37)))*IF(N$36=".", 1, (N38/N37)^(('Summary, PPI''s'!$N38+'Summary, PPI''s'!$N37)/('Predicted PPIs'!S38+'Predicted PPIs'!S37)))*IF(O$36=".", 1, (O38/O37)^(('Summary, PPI''s'!$O38+'Summary, PPI''s'!$O37)/('Predicted PPIs'!S38+'Predicted PPIs'!S37)))*IF(P$36=".", 1, (P38/P37)^(('Summary, PPI''s'!$P38+'Summary, PPI''s'!$P37)/('Predicted PPIs'!S38+'Predicted PPIs'!S37)))</f>
        <v>#VALUE!</v>
      </c>
      <c r="AB38" s="4">
        <f>AB37*IF(E$46=".", 1, (E38/E37)^(('Summary, PPI''s'!$E38+'Summary, PPI''s'!$E37)/('Predicted PPIs'!T38+'Predicted PPIs'!T37)))*IF(F$46=".", 1, (F38/F37)^(('Summary, PPI''s'!$F38+'Summary, PPI''s'!$F37)/('Predicted PPIs'!T38+'Predicted PPIs'!T37)))*IF(G$46=".", 1, (G38/G37)^(('Summary, PPI''s'!$G38+'Summary, PPI''s'!$G37)/('Predicted PPIs'!T38+'Predicted PPIs'!T37)))*IF(H$46=".", 1, (H38/H37)^(('Summary, PPI''s'!$H38+'Summary, PPI''s'!$H37)/('Predicted PPIs'!T38+'Predicted PPIs'!T37)))*IF(I$46=".", 1, (I38/I37)^(('Summary, PPI''s'!$I38+'Summary, PPI''s'!$I37)/('Predicted PPIs'!T38+'Predicted PPIs'!T37)))*IF(J$46=".", 1, (J38/J37)^(('Summary, PPI''s'!$J38+'Summary, PPI''s'!$J37)/('Predicted PPIs'!T38+'Predicted PPIs'!T37)))*IF(K$46=".", 1, (K38/K37)^(('Summary, PPI''s'!$K38+'Summary, PPI''s'!$K37)/('Predicted PPIs'!T38+'Predicted PPIs'!T37)))*IF(L$46=".", 1, (L38/L37)^(('Summary, PPI''s'!$L38+'Summary, PPI''s'!$L37)/('Predicted PPIs'!T38+'Predicted PPIs'!T37)))*IF(M$46=".", 1, (M38/M37)^(('Summary, PPI''s'!$M38+'Summary, PPI''s'!$M37)/('Predicted PPIs'!T38+'Predicted PPIs'!T37)))*IF(B$46=".", 1, (B38/B37)^(('Summary, PPI''s'!$B38+'Summary, PPI''s'!$B37)/('Predicted PPIs'!T38+'Predicted PPIs'!T37)))*IF(C$46=".", 1, (C38/C37)^(('Summary, PPI''s'!$C38+'Summary, PPI''s'!$C37)/('Predicted PPIs'!T38+'Predicted PPIs'!T37)))*IF(D$46=".", 1, (D38/D37)^(('Summary, PPI''s'!$D38+'Summary, PPI''s'!$D37)/('Predicted PPIs'!T38+'Predicted PPIs'!T37)))*IF(N$46=".", 1, (N38/N37)^(('Summary, PPI''s'!$N38+'Summary, PPI''s'!$N37)/('Predicted PPIs'!T38+'Predicted PPIs'!T37)))*IF(O$46=".", 1, (O38/O37)^(('Summary, PPI''s'!$O38+'Summary, PPI''s'!$O37)/('Predicted PPIs'!T38+'Predicted PPIs'!T37)))*IF(P$46=".", 1, (P38/P37)^(('Summary, PPI''s'!$P38+'Summary, PPI''s'!$P37)/('Predicted PPIs'!T38+'Predicted PPIs'!T37)))</f>
        <v>41.42399007247797</v>
      </c>
      <c r="AC38" s="4">
        <f>AC37*IF(E$60=".",1,(E38/E37)^(('Summary, PPI''s'!$E38+'Summary, PPI''s'!$E37)/('Predicted PPIs'!U38+'Predicted PPIs'!U37)))*IF(F$60=".",1,(F38/F37)^(('Summary, PPI''s'!$F38+'Summary, PPI''s'!$F37)/('Predicted PPIs'!U38+'Predicted PPIs'!U37)))*IF(G$60=".",1,(G38/G37)^(('Summary, PPI''s'!$G38+'Summary, PPI''s'!$G37)/('Predicted PPIs'!U38+'Predicted PPIs'!U37)))*IF(H$60=".",1,(H38/H37)^(('Summary, PPI''s'!$H38+'Summary, PPI''s'!$H37)/('Predicted PPIs'!U38+'Predicted PPIs'!U37)))*IF(I$60=".",1,(I38/I37)^(('Summary, PPI''s'!$I38+'Summary, PPI''s'!$I37)/('Predicted PPIs'!U38+'Predicted PPIs'!U37)))*IF(J$60=".",1,(J38/J37)^(('Summary, PPI''s'!$J38+'Summary, PPI''s'!$J37)/('Predicted PPIs'!U38+'Predicted PPIs'!U37)))*IF(K$60=".",1,(K38/K37)^(('Summary, PPI''s'!$K38+'Summary, PPI''s'!$K37)/('Predicted PPIs'!U38+'Predicted PPIs'!U37)))*IF(L$60=".",1,(L38/L37)^(('Summary, PPI''s'!$L38+'Summary, PPI''s'!$L37)/('Predicted PPIs'!U38+'Predicted PPIs'!U37)))*IF(M$60=".",1,(M38/M37)^(('Summary, PPI''s'!$M38+'Summary, PPI''s'!$M37)/('Predicted PPIs'!U38+'Predicted PPIs'!U37)))*IF(B$60=".",1,(B38/B37)^(('Summary, PPI''s'!$B38+'Summary, PPI''s'!$B37)/('Predicted PPIs'!U38+'Predicted PPIs'!U37)))*IF(C$60=".",1,(C38/C37)^(('Summary, PPI''s'!$C38+'Summary, PPI''s'!$C37)/('Predicted PPIs'!U38+'Predicted PPIs'!U37)))*IF(D$60=".",1,(D38/D37)^(('Summary, PPI''s'!$D38+'Summary, PPI''s'!$D37)/('Predicted PPIs'!U38+'Predicted PPIs'!U37)))*IF(N$60=".",1,(N38/N37)^(('Summary, PPI''s'!$N38+'Summary, PPI''s'!$N37)/('Predicted PPIs'!U38+'Predicted PPIs'!U37)))*IF(O$60=".",1,(O38/O37)^(('Summary, PPI''s'!$O38+'Summary, PPI''s'!$O37)/('Predicted PPIs'!U38+'Predicted PPIs'!U37)))*IF(P$60=".",1,(P38/P37)^(('Summary, PPI''s'!$P38+'Summary, PPI''s'!$P37)/('Predicted PPIs'!U38+'Predicted PPIs'!U37)))</f>
        <v>45.010581793408988</v>
      </c>
      <c r="AD38" s="4">
        <f>AD37*IF(E$73=".", 1, (E38/E37)^(('Summary, PPI''s'!$E38+'Summary, PPI''s'!$E37)/('Predicted PPIs'!V38+'Predicted PPIs'!V37)))*IF(F$73=".", 1, (F38/F37)^(('Summary, PPI''s'!$F38+'Summary, PPI''s'!$F37)/('Predicted PPIs'!V38+'Predicted PPIs'!V37)))*IF(G$73=".", 1, (G38/G37)^(('Summary, PPI''s'!$G38+'Summary, PPI''s'!$G37)/('Predicted PPIs'!V38+'Predicted PPIs'!V37)))*IF(H$73=".", 1, (H38/H37)^(('Summary, PPI''s'!$H38+'Summary, PPI''s'!$H37)/('Predicted PPIs'!V38+'Predicted PPIs'!V37)))*IF(I$73=".", 1, (I38/I37)^(('Summary, PPI''s'!$I38+'Summary, PPI''s'!$I37)/('Predicted PPIs'!V38+'Predicted PPIs'!V37)))*IF(J$73=".", 1, (J38/J37)^(('Summary, PPI''s'!$J38+'Summary, PPI''s'!$J37)/('Predicted PPIs'!V38+'Predicted PPIs'!V37)))*IF(K$73=".", 1, (K38/K37)^(('Summary, PPI''s'!$K38+'Summary, PPI''s'!$K37)/('Predicted PPIs'!V38+'Predicted PPIs'!V37)))*IF(L$73=".", 1, (L38/L37)^(('Summary, PPI''s'!$L38+'Summary, PPI''s'!$L37)/('Predicted PPIs'!V38+'Predicted PPIs'!V37)))*IF(M$73=".", 1, (M38/M37)^(('Summary, PPI''s'!$M38+'Summary, PPI''s'!$M37)/('Predicted PPIs'!V38+'Predicted PPIs'!V37)))*IF(B$73=".", 1, (B38/B37)^(('Summary, PPI''s'!$B38+'Summary, PPI''s'!$B37)/('Predicted PPIs'!V38+'Predicted PPIs'!V37)))*IF(C$73=".", 1, (C38/C37)^(('Summary, PPI''s'!$C38+'Summary, PPI''s'!$C37)/('Predicted PPIs'!V38+'Predicted PPIs'!V37)))*IF(D$73=".", 1, (D38/D37)^(('Summary, PPI''s'!$D38+'Summary, PPI''s'!$D37)/('Predicted PPIs'!V38+'Predicted PPIs'!V37)))*IF(N$73=".", 1, (N38/N37)^(('Summary, PPI''s'!$N38+'Summary, PPI''s'!$N37)/('Predicted PPIs'!V38+'Predicted PPIs'!V37)))*IF(O$73=".", 1, (O38/O37)^(('Summary, PPI''s'!$O38+'Summary, PPI''s'!$O37)/('Predicted PPIs'!V38+'Predicted PPIs'!V37)))*IF(P$73=".", 1, (P38/P37)^(('Summary, PPI''s'!$P38+'Summary, PPI''s'!$P37)/('Predicted PPIs'!V38+'Predicted PPIs'!V37)))</f>
        <v>43.244745114037485</v>
      </c>
      <c r="AE38" s="4">
        <f>AE37*IF(E$94=".", 1, (E38/E37)^(('Summary, PPI''s'!$E38+'Summary, PPI''s'!$E37)/('Predicted PPIs'!W38+'Predicted PPIs'!W37)))*IF(F$94=".", 1, (F38/F37)^(('Summary, PPI''s'!$F38+'Summary, PPI''s'!$F37)/('Predicted PPIs'!W38+'Predicted PPIs'!W37)))*IF(G$94=".", 1, (G38/G37)^(('Summary, PPI''s'!$G38+'Summary, PPI''s'!$G37)/('Predicted PPIs'!W38+'Predicted PPIs'!W37)))*IF(H$94=".", 1, (H38/H37)^(('Summary, PPI''s'!$H38+'Summary, PPI''s'!$H37)/('Predicted PPIs'!W38+'Predicted PPIs'!W37)))*IF(I$94=".", 1, (I38/I37)^(('Summary, PPI''s'!$I38+'Summary, PPI''s'!$I37)/('Predicted PPIs'!W38+'Predicted PPIs'!W37)))*IF(J$94=".", 1, (J38/J37)^(('Summary, PPI''s'!$J38+'Summary, PPI''s'!$J37)/('Predicted PPIs'!W38+'Predicted PPIs'!W37)))*IF(K$94=".", 1, (K38/K37)^(('Summary, PPI''s'!$K38+'Summary, PPI''s'!$K37)/('Predicted PPIs'!W38+'Predicted PPIs'!W37)))*IF(L$94=".", 1, (L38/L37)^(('Summary, PPI''s'!$L38+'Summary, PPI''s'!$L37)/('Predicted PPIs'!W38+'Predicted PPIs'!W37)))*IF(M$94=".", 1, (M38/M37)^(('Summary, PPI''s'!$M38+'Summary, PPI''s'!$M37)/('Predicted PPIs'!W38+'Predicted PPIs'!W37)))*IF(B$94=".", 1, (B38/B37)^(('Summary, PPI''s'!$B38+'Summary, PPI''s'!$B37)/('Predicted PPIs'!W38+'Predicted PPIs'!W37)))*IF(C$94=".", 1, (C38/C37)^(('Summary, PPI''s'!$C38+'Summary, PPI''s'!$C37)/('Predicted PPIs'!W38+'Predicted PPIs'!W37)))*IF(D$94=".", 1, (D38/D37)^(('Summary, PPI''s'!$D38+'Summary, PPI''s'!$D37)/('Predicted PPIs'!W38+'Predicted PPIs'!W37)))*IF(N$94=".", 1, (N38/N37)^(('Summary, PPI''s'!$N38+'Summary, PPI''s'!$N37)/('Predicted PPIs'!W38+'Predicted PPIs'!W37)))*IF(O$94=".", 1, (O38/O37)^(('Summary, PPI''s'!$O38+'Summary, PPI''s'!$O37)/('Predicted PPIs'!W38+'Predicted PPIs'!W37)))*IF(P$94=".", 1, (P38/P37)^(('Summary, PPI''s'!$P38+'Summary, PPI''s'!$P37)/('Predicted PPIs'!W38+'Predicted PPIs'!W37)))</f>
        <v>38.058261978897001</v>
      </c>
      <c r="AF38" s="4">
        <f>AF37*IF(E$123=".", 1, (E38/E37)^(('Summary, PPI''s'!$E38+'Summary, PPI''s'!$E37)/('Predicted PPIs'!X38+'Predicted PPIs'!X37)))*IF(F$123=".", 1, (F38/F37)^(('Summary, PPI''s'!$F38+'Summary, PPI''s'!$F37)/('Predicted PPIs'!X38+'Predicted PPIs'!X37)))*IF(G$123=".", 1, (G38/G37)^(('Summary, PPI''s'!$G38+'Summary, PPI''s'!$G37)/('Predicted PPIs'!X38+'Predicted PPIs'!X37)))*IF(H$123=".", 1, (H38/H37)^(('Summary, PPI''s'!$H38+'Summary, PPI''s'!$H37)/('Predicted PPIs'!X38+'Predicted PPIs'!X37)))*IF(I$123=".", 1, (I38/I37)^(('Summary, PPI''s'!$I38+'Summary, PPI''s'!$I37)/('Predicted PPIs'!X38+'Predicted PPIs'!X37)))*IF(J$123=".", 1, (J38/J37)^(('Summary, PPI''s'!$J38+'Summary, PPI''s'!$J37)/('Predicted PPIs'!X38+'Predicted PPIs'!X37)))*IF(K$123=".", 1, (K38/K37)^(('Summary, PPI''s'!$K38+'Summary, PPI''s'!$K37)/('Predicted PPIs'!X38+'Predicted PPIs'!X37)))*IF(L$123=".", 1, (L38/L37)^(('Summary, PPI''s'!$L38+'Summary, PPI''s'!$L37)/('Predicted PPIs'!X38+'Predicted PPIs'!X37)))*IF(M$123=".", 1, (M38/M37)^(('Summary, PPI''s'!$M38+'Summary, PPI''s'!$M37)/('Predicted PPIs'!X38+'Predicted PPIs'!X37)))*IF(B$123=".", 1, (B38/B37)^(('Summary, PPI''s'!$B38+'Summary, PPI''s'!$B37)/('Predicted PPIs'!X38+'Predicted PPIs'!X37)))*IF(C$123=".", 1, (C38/C37)^(('Summary, PPI''s'!$C38+'Summary, PPI''s'!$C37)/('Predicted PPIs'!X38+'Predicted PPIs'!X37)))*IF(D$123=".", 1, (D38/D37)^(('Summary, PPI''s'!$D38+'Summary, PPI''s'!$D37)/('Predicted PPIs'!X38+'Predicted PPIs'!X37)))*IF(N$123=".", 1, (N38/N37)^(('Summary, PPI''s'!$N38+'Summary, PPI''s'!$N37)/('Predicted PPIs'!X38+'Predicted PPIs'!X37)))*IF(O$123=".", 1, (O38/O37)^(('Summary, PPI''s'!$O38+'Summary, PPI''s'!$O37)/('Predicted PPIs'!X38+'Predicted PPIs'!X37)))*IF(P$123=".", 1, (P38/P37)^(('Summary, PPI''s'!$P38+'Summary, PPI''s'!$P37)/('Predicted PPIs'!X38+'Predicted PPIs'!X37)))</f>
        <v>34.871640430487965</v>
      </c>
      <c r="AH38" s="13">
        <f t="shared" si="91"/>
        <v>49.044442695584863</v>
      </c>
      <c r="AJ38" s="4">
        <v>2712.8</v>
      </c>
      <c r="AK38" s="4">
        <v>-0.92600000000000005</v>
      </c>
      <c r="AL38" s="4">
        <v>-280.60300000000001</v>
      </c>
      <c r="AM38" s="4">
        <v>-5.1139999999999999</v>
      </c>
      <c r="AN38" s="4">
        <v>3160.9</v>
      </c>
      <c r="AO38" s="4">
        <v>802.4</v>
      </c>
      <c r="AP38" s="4">
        <f>('[3]1985'!$I$14+'[3]1985'!$I$69+'[3]1985'!$I$71-'[3]1985'!$I$73)*0.001</f>
        <v>-34.017000000000003</v>
      </c>
      <c r="AQ38" s="4">
        <f>('[3]1985'!$AY$56+'[3]1985'!$AY$69+'[3]1985'!$AY$71-'[3]1985'!$AY$73)*0.001</f>
        <v>-145.27500000000001</v>
      </c>
      <c r="AR38" s="4">
        <v>-11.188000000000001</v>
      </c>
      <c r="AS38" s="4">
        <v>-18.561</v>
      </c>
      <c r="AT38" s="4">
        <v>53.030999999999999</v>
      </c>
      <c r="AU38" s="4">
        <v>59.784999999999997</v>
      </c>
      <c r="AV38" s="4">
        <v>44.37</v>
      </c>
      <c r="AW38" s="4">
        <v>29.369</v>
      </c>
      <c r="AX38" s="4">
        <v>53.957000000000001</v>
      </c>
      <c r="AY38" s="4">
        <v>71.277000000000001</v>
      </c>
      <c r="AZ38" s="4">
        <v>35.360999999999997</v>
      </c>
      <c r="BA38" s="4">
        <v>54.92</v>
      </c>
      <c r="BB38" s="4">
        <v>102.98</v>
      </c>
      <c r="BC38" s="4">
        <v>59.972999999999999</v>
      </c>
      <c r="BG38" s="4">
        <f t="shared" si="50"/>
        <v>47.325236600245354</v>
      </c>
      <c r="BI38" s="4">
        <f>BI$13*'[2]Ordinary Experience'!$D$388/'[2]Ordinary Experience'!$D$413</f>
        <v>237573744.24670532</v>
      </c>
      <c r="BJ38" s="4">
        <f>'[2]Ordinary Experience'!$E$388</f>
        <v>22.043139522309435</v>
      </c>
      <c r="BL38" s="4">
        <f t="shared" si="90"/>
        <v>64.472682354037929</v>
      </c>
      <c r="BM38" s="4">
        <f t="shared" si="34"/>
        <v>3.3086938437746793E-2</v>
      </c>
      <c r="BO38" s="4">
        <f>IF(OR('Summary, hourly ad costs'!R38=-9999,'Summary, PPI''s'!R38="."),".",(('Summary, hourly ad costs'!B38/'Summary, hourly ad costs'!R38)*100/('Summary, hourly ad costs'!B$11/'Summary, hourly ad costs'!R$11))/('Summary, PPI''s'!R38))</f>
        <v>0.7630735199440285</v>
      </c>
      <c r="BP38" s="4" t="str">
        <f>IF(OR('Summary, hourly ad costs'!S38=-9999,'Summary, PPI''s'!S38="."),".",(('Summary, hourly ad costs'!C38/'Summary, hourly ad costs'!S38)*100/('Summary, hourly ad costs'!C$11/'Summary, hourly ad costs'!S$11))/('Summary, PPI''s'!S38))</f>
        <v>.</v>
      </c>
      <c r="BQ38" s="4" t="str">
        <f>IF(OR('Summary, hourly ad costs'!T38=-9999,'Summary, PPI''s'!T38="."),".",(('Summary, hourly ad costs'!D38/'Summary, hourly ad costs'!T38)*100/('Summary, hourly ad costs'!D$11/'Summary, hourly ad costs'!T$11))/('Summary, PPI''s'!T38))</f>
        <v>.</v>
      </c>
      <c r="BR38" s="4">
        <f>IF(OR('Summary, hourly ad costs'!U38=-9999,'Summary, PPI''s'!U38="."),".",(('Summary, hourly ad costs'!E38/'Summary, hourly ad costs'!U38)*100/('Summary, hourly ad costs'!E$11/'Summary, hourly ad costs'!U$11))/('Summary, PPI''s'!U38))</f>
        <v>2.2405804308915132</v>
      </c>
      <c r="BS38" s="4">
        <f>IF(OR('Summary, hourly ad costs'!V38=-9999,'Summary, PPI''s'!V38="."),".",(('Summary, hourly ad costs'!F38/'Summary, hourly ad costs'!V38)*100/('Summary, hourly ad costs'!F$11/'Summary, hourly ad costs'!V$11))/('Summary, PPI''s'!V38))</f>
        <v>2.0732157808153411</v>
      </c>
      <c r="BT38" s="4" t="str">
        <f>IF(OR('Summary, hourly ad costs'!W38=-9999,'Summary, PPI''s'!W38="."),".",(('Summary, hourly ad costs'!G38/'Summary, hourly ad costs'!W38)*100/('Summary, hourly ad costs'!G$11/'Summary, hourly ad costs'!W$11))/('Summary, PPI''s'!W38))</f>
        <v>.</v>
      </c>
      <c r="BU38" s="4">
        <f>IF(OR('Summary, hourly ad costs'!X38=-9999,'Summary, PPI''s'!X38="."),".",(('Summary, hourly ad costs'!H38/'Summary, hourly ad costs'!X38)*100/('Summary, hourly ad costs'!H$11/'Summary, hourly ad costs'!X$11))/('Summary, PPI''s'!X38))</f>
        <v>1.1131394229260669</v>
      </c>
      <c r="BV38" s="4">
        <f>IF(OR('Summary, hourly ad costs'!Y38=-9999,'Summary, PPI''s'!Y38="."),".",(('Summary, hourly ad costs'!I38/'Summary, hourly ad costs'!Y38)*100/('Summary, hourly ad costs'!I$11/'Summary, hourly ad costs'!Y$11))/('Summary, PPI''s'!Y38))</f>
        <v>0.68124492745589516</v>
      </c>
      <c r="BW38" s="4">
        <f>IF(OR('Summary, hourly ad costs'!Z38=-9999,'Summary, PPI''s'!Z38="."),".",(('Summary, hourly ad costs'!J38/'Summary, hourly ad costs'!Z38)*100/('Summary, hourly ad costs'!J$11/'Summary, hourly ad costs'!Z$11))/('Summary, PPI''s'!Z38))</f>
        <v>0.68934494797093204</v>
      </c>
      <c r="BX38" s="4" t="str">
        <f>IF(OR('Summary, hourly ad costs'!AA38=-9999,'Summary, PPI''s'!AA38="."),".",(('Summary, hourly ad costs'!K38/'Summary, hourly ad costs'!AA38)*100/('Summary, hourly ad costs'!K$11/'Summary, hourly ad costs'!AA$11))/('Summary, PPI''s'!AA38))</f>
        <v>.</v>
      </c>
      <c r="BY38" s="4" t="str">
        <f>IF(OR('Summary, hourly ad costs'!AB38=-9999,'Summary, PPI''s'!AB38="."),".",(('Summary, hourly ad costs'!L38/'Summary, hourly ad costs'!AB38)*100/('Summary, hourly ad costs'!L$11/'Summary, hourly ad costs'!AB$11))/('Summary, PPI''s'!AB38))</f>
        <v>.</v>
      </c>
      <c r="BZ38" s="4" t="str">
        <f>IF(OR('Summary, hourly ad costs'!AC38=-9999,'Summary, PPI''s'!AC38="."),".",(('Summary, hourly ad costs'!M38/'Summary, hourly ad costs'!AC38)*100/('Summary, hourly ad costs'!M$11/'Summary, hourly ad costs'!AC$11))/('Summary, PPI''s'!AC38))</f>
        <v>.</v>
      </c>
      <c r="CA38" s="4" t="str">
        <f>IF(OR('Summary, hourly ad costs'!AD38=-9999,'Summary, PPI''s'!AD38="."),".",(('Summary, hourly ad costs'!N38/'Summary, hourly ad costs'!AD38)*100/('Summary, hourly ad costs'!N$11/'Summary, hourly ad costs'!AD$11))/('Summary, PPI''s'!AD38))</f>
        <v>.</v>
      </c>
      <c r="CB38" s="4" t="str">
        <f>IF(OR('Summary, hourly ad costs'!AE38=-9999,'Summary, PPI''s'!AE38="."),".",(('Summary, hourly ad costs'!O38/'Summary, hourly ad costs'!AE38)*100/('Summary, hourly ad costs'!O$11/'Summary, hourly ad costs'!AE$11))/('Summary, PPI''s'!AE38))</f>
        <v>.</v>
      </c>
      <c r="CC38" s="4" t="str">
        <f>IF(OR('Summary, hourly ad costs'!AF38=-9999,'Summary, PPI''s'!AF38="."),".",(('Summary, hourly ad costs'!P38/'Summary, hourly ad costs'!AF38)*100/('Summary, hourly ad costs'!P$11/'Summary, hourly ad costs'!AF$11))/('Summary, PPI''s'!AF38))</f>
        <v>.</v>
      </c>
      <c r="CE38" s="4">
        <f t="shared" si="80"/>
        <v>3.4452068828354276E-2</v>
      </c>
      <c r="CF38" s="4" t="str">
        <f t="shared" si="81"/>
        <v>.</v>
      </c>
      <c r="CG38" s="4" t="str">
        <f t="shared" si="82"/>
        <v>.</v>
      </c>
      <c r="CH38" s="4">
        <f t="shared" si="83"/>
        <v>-5.5975832566853567E-3</v>
      </c>
      <c r="CI38" s="4">
        <f t="shared" si="84"/>
        <v>-6.2387015009578328E-2</v>
      </c>
      <c r="CJ38" s="4" t="str">
        <f t="shared" si="85"/>
        <v>.</v>
      </c>
      <c r="CK38" s="4">
        <f t="shared" si="86"/>
        <v>-6.1507277014927197E-6</v>
      </c>
      <c r="CL38" s="4">
        <f t="shared" si="87"/>
        <v>3.0530770808255614E-2</v>
      </c>
      <c r="CM38" s="4">
        <f t="shared" si="88"/>
        <v>-2.1025368168050673E-2</v>
      </c>
      <c r="CN38" s="4">
        <f t="shared" si="89"/>
        <v>3.7718547318484688E-3</v>
      </c>
      <c r="CO38" s="4">
        <f t="shared" si="79"/>
        <v>0.21153469023407409</v>
      </c>
      <c r="CP38" s="4">
        <f t="shared" si="79"/>
        <v>0.10327683600368767</v>
      </c>
      <c r="CQ38" s="4" t="str">
        <f t="shared" si="62"/>
        <v>.</v>
      </c>
      <c r="CR38" s="4" t="str">
        <f t="shared" si="63"/>
        <v>.</v>
      </c>
      <c r="CS38" s="4" t="str">
        <f t="shared" si="64"/>
        <v>.</v>
      </c>
      <c r="CU38" s="5">
        <f>IF(CU37=".", ".", IF('Summary, PPI''s'!R38=".",IF(OR('Summary, hourly ad costs'!R38=-9999,'Summary, hourly ad costs'!R38=0), ".", 'Predicted PPIs'!CU37*('Summary, hourly ad costs'!B38/'Summary, hourly ad costs'!R38)/('Summary, hourly ad costs'!B37/'Summary, hourly ad costs'!R37)/(1-CE37)), 'Summary, PPI''s'!R38))</f>
        <v>72.947452654041058</v>
      </c>
      <c r="CV38" s="5">
        <f>IF(CV37=".", ".", IF('Summary, PPI''s'!S38=".",IF(OR('Summary, hourly ad costs'!S38=-9999,'Summary, hourly ad costs'!S38=0), ".", 'Predicted PPIs'!CV37*('Summary, hourly ad costs'!C38/'Summary, hourly ad costs'!S38)/('Summary, hourly ad costs'!C37/'Summary, hourly ad costs'!S37)/(1-CF37)), 'Summary, PPI''s'!S38))</f>
        <v>72.947452654041058</v>
      </c>
      <c r="CW38" s="5">
        <f>IF(CW37=".", ".", IF('Summary, PPI''s'!T38=".",IF(OR('Summary, hourly ad costs'!T38=-9999,'Summary, hourly ad costs'!T38=0), ".", 'Predicted PPIs'!CW37*('Summary, hourly ad costs'!D38/'Summary, hourly ad costs'!T38)/('Summary, hourly ad costs'!D37/'Summary, hourly ad costs'!T37)/(1-CG37)), 'Summary, PPI''s'!T38))</f>
        <v>60.24256475720744</v>
      </c>
      <c r="CX38" s="5">
        <f>IF(CX37=".", ".", IF('Summary, PPI''s'!U38=".",IF(OR('Summary, hourly ad costs'!U38=-9999,'Summary, hourly ad costs'!U38=0), ".", 'Predicted PPIs'!CX37*('Summary, hourly ad costs'!E38/'Summary, hourly ad costs'!U38)/('Summary, hourly ad costs'!E37/'Summary, hourly ad costs'!U37)/(1-CH37)), 'Summary, PPI''s'!U38))</f>
        <v>32.647967170114647</v>
      </c>
      <c r="CY38" s="5">
        <f>IF(CY37=".", ".", IF('Summary, PPI''s'!V38=".",IF(OR('Summary, hourly ad costs'!V38=-9999,'Summary, hourly ad costs'!V38=0), ".", 'Predicted PPIs'!CY37*('Summary, hourly ad costs'!F38/'Summary, hourly ad costs'!V38)/('Summary, hourly ad costs'!F37/'Summary, hourly ad costs'!V37)/(1-CI37)), 'Summary, PPI''s'!V38))</f>
        <v>31.424276123398823</v>
      </c>
      <c r="CZ38" s="5">
        <f>IF(CZ37=".", ".", IF('Summary, PPI''s'!W38=".",IF(OR('Summary, hourly ad costs'!W38=-9999,'Summary, hourly ad costs'!W38=0), ".", 'Predicted PPIs'!CZ37*('Summary, hourly ad costs'!G38/'Summary, hourly ad costs'!W38)/('Summary, hourly ad costs'!G37/'Summary, hourly ad costs'!W37)/(1-CJ37)), 'Summary, PPI''s'!W38))</f>
        <v>36.84729224804142</v>
      </c>
      <c r="DA38" s="5">
        <f>IF(DA37=".", ".", IF('Summary, PPI''s'!X38=".",IF(OR('Summary, hourly ad costs'!X38=-9999,'Summary, hourly ad costs'!X38=0), ".", 'Predicted PPIs'!DA37*('Summary, hourly ad costs'!H38/'Summary, hourly ad costs'!X38)/('Summary, hourly ad costs'!H37/'Summary, hourly ad costs'!X37)/(1-CK37)), 'Summary, PPI''s'!X38))</f>
        <v>38.569000000000003</v>
      </c>
      <c r="DB38" s="5">
        <f>IF(DB37=".", ".", IF('Summary, PPI''s'!Y38=".",IF(OR('Summary, hourly ad costs'!Y38=-9999,'Summary, hourly ad costs'!Y38=0), ".", 'Predicted PPIs'!DB37*('Summary, hourly ad costs'!I38/'Summary, hourly ad costs'!Y38)/('Summary, hourly ad costs'!I37/'Summary, hourly ad costs'!Y37)/(1-CL37)), 'Summary, PPI''s'!Y38))</f>
        <v>49.612780820492162</v>
      </c>
      <c r="DC38" s="5">
        <f>IF(DC37=".", ".", IF('Summary, PPI''s'!Z38=".",IF(OR('Summary, hourly ad costs'!Z38=-9999,'Summary, hourly ad costs'!Z38=0), ".", 'Predicted PPIs'!DC37*('Summary, hourly ad costs'!J38/'Summary, hourly ad costs'!Z38)/('Summary, hourly ad costs'!J37/'Summary, hourly ad costs'!Z37)/(1-CM37)), 'Summary, PPI''s'!Z38))</f>
        <v>53.18824994817308</v>
      </c>
      <c r="DD38" s="5">
        <f>IF(DD37=".", ".", IF('Summary, PPI''s'!AA38=".",IF(OR('Summary, hourly ad costs'!AA38=-9999,'Summary, hourly ad costs'!AA38=0), ".", 'Predicted PPIs'!DD37*('Summary, hourly ad costs'!K38/'Summary, hourly ad costs'!AA38)/('Summary, hourly ad costs'!K37/'Summary, hourly ad costs'!AA37)/(1-CN37)), 'Summary, PPI''s'!AA38))</f>
        <v>29.556525428002054</v>
      </c>
      <c r="DE38" s="5" t="str">
        <f>IF(DE37=".", ".", IF('Summary, PPI''s'!AB38=".",IF(OR('Summary, hourly ad costs'!AB38=-9999,'Summary, hourly ad costs'!AB38=0), ".", 'Predicted PPIs'!DE37*('Summary, hourly ad costs'!L38/'Summary, hourly ad costs'!AB38)/('Summary, hourly ad costs'!L37/'Summary, hourly ad costs'!AB37)/(1-CO37)), 'Summary, PPI''s'!AB38))</f>
        <v>.</v>
      </c>
      <c r="DF38" s="5" t="str">
        <f>IF(DF37=".", ".", IF('Summary, PPI''s'!AC38=".",IF(OR('Summary, hourly ad costs'!AC38=-9999,'Summary, hourly ad costs'!AC38=0), ".", 'Predicted PPIs'!DF37*('Summary, hourly ad costs'!M38/'Summary, hourly ad costs'!AC38)/('Summary, hourly ad costs'!M37/'Summary, hourly ad costs'!AC37)/(1-CP37)), 'Summary, PPI''s'!AC38))</f>
        <v>.</v>
      </c>
      <c r="DG38" s="5" t="str">
        <f>IF(DG37=".", ".", IF('Summary, PPI''s'!AD38=".",IF(OR('Summary, hourly ad costs'!AD38=-9999,'Summary, hourly ad costs'!AD38=0), ".", 'Predicted PPIs'!DG37*('Summary, hourly ad costs'!N38/'Summary, hourly ad costs'!AD38)/('Summary, hourly ad costs'!N37/'Summary, hourly ad costs'!AD37)/(1-CQ37)), 'Summary, PPI''s'!AD38))</f>
        <v>.</v>
      </c>
      <c r="DH38" s="5">
        <f>IF(DH37=".", ".", IF('Summary, PPI''s'!AE38=".",IF(OR('Summary, hourly ad costs'!AE38=-9999,'Summary, hourly ad costs'!AE38=0), ".", 'Predicted PPIs'!DH37*('Summary, hourly ad costs'!O38/'Summary, hourly ad costs'!AE38)/('Summary, hourly ad costs'!O37/'Summary, hourly ad costs'!AE37)/(1-CR37)), 'Summary, PPI''s'!AE38))</f>
        <v>37.27138059068556</v>
      </c>
      <c r="DI38" s="5" t="str">
        <f>IF(DI37=".", ".", IF('Summary, PPI''s'!AF38=".",IF(OR('Summary, hourly ad costs'!AF38=-9999,'Summary, hourly ad costs'!AF38=0), ".", 'Predicted PPIs'!DI37*('Summary, hourly ad costs'!P38/'Summary, hourly ad costs'!AF38)/('Summary, hourly ad costs'!P37/'Summary, hourly ad costs'!AF37)/(1-CS37)), 'Summary, PPI''s'!AF38))</f>
        <v>.</v>
      </c>
      <c r="DK38" s="4">
        <v>31.321000000000002</v>
      </c>
      <c r="DM38" s="5">
        <f t="shared" si="65"/>
        <v>-8.0497600851359152E-3</v>
      </c>
      <c r="DN38" s="5">
        <f t="shared" si="66"/>
        <v>-8.0497600851359152E-3</v>
      </c>
      <c r="DO38" s="5">
        <f t="shared" si="67"/>
        <v>-4.9217126405440736E-2</v>
      </c>
      <c r="DP38" s="5">
        <f t="shared" si="68"/>
        <v>1.5035736065073468E-2</v>
      </c>
      <c r="DQ38" s="5">
        <f t="shared" si="69"/>
        <v>2.5002761163536391E-2</v>
      </c>
      <c r="DR38" s="5">
        <f t="shared" si="70"/>
        <v>4.5471961323505061E-2</v>
      </c>
      <c r="DS38" s="5">
        <f t="shared" si="71"/>
        <v>-8.3843555553244631E-3</v>
      </c>
      <c r="DT38" s="5">
        <f t="shared" si="72"/>
        <v>1.3277190623085078E-2</v>
      </c>
      <c r="DU38" s="5">
        <f t="shared" si="73"/>
        <v>1.3277190623085078E-2</v>
      </c>
      <c r="DV38" s="5">
        <f t="shared" si="74"/>
        <v>-1.6331846931521676E-2</v>
      </c>
      <c r="DW38" s="4">
        <f t="shared" si="78"/>
        <v>-0.11400368794894009</v>
      </c>
      <c r="DX38" s="4">
        <f t="shared" si="78"/>
        <v>3.5627813831921568E-2</v>
      </c>
      <c r="DY38" s="4">
        <f t="shared" si="108"/>
        <v>-1.5921535755322791E-2</v>
      </c>
      <c r="DZ38" s="5">
        <f t="shared" si="92"/>
        <v>-8.6333656918242685E-3</v>
      </c>
      <c r="EA38" s="4">
        <f t="shared" si="109"/>
        <v>-9.3342381369676264E-3</v>
      </c>
      <c r="EC38" s="1">
        <f t="shared" si="93"/>
        <v>72.947452654041058</v>
      </c>
      <c r="ED38" s="1">
        <f t="shared" si="94"/>
        <v>72.947452654041058</v>
      </c>
      <c r="EE38" s="1">
        <f t="shared" si="95"/>
        <v>60.24256475720744</v>
      </c>
      <c r="EF38" s="1">
        <f t="shared" si="96"/>
        <v>32.647967170114647</v>
      </c>
      <c r="EG38" s="1">
        <f t="shared" si="97"/>
        <v>31.424276123398823</v>
      </c>
      <c r="EH38" s="1">
        <f t="shared" si="98"/>
        <v>36.84729224804142</v>
      </c>
      <c r="EI38" s="1">
        <f t="shared" si="99"/>
        <v>38.569000000000003</v>
      </c>
      <c r="EJ38" s="1">
        <f t="shared" si="100"/>
        <v>49.612780820492162</v>
      </c>
      <c r="EK38" s="1">
        <f t="shared" si="101"/>
        <v>53.18824994817308</v>
      </c>
      <c r="EL38" s="1">
        <f t="shared" si="102"/>
        <v>29.556525428002054</v>
      </c>
      <c r="EM38" s="1">
        <f t="shared" si="103"/>
        <v>66.157385017443943</v>
      </c>
      <c r="EN38" s="1">
        <f t="shared" si="104"/>
        <v>44.810105761671352</v>
      </c>
      <c r="EO38" s="1">
        <f t="shared" si="105"/>
        <v>48.837335134078408</v>
      </c>
      <c r="EP38" s="1">
        <f t="shared" si="106"/>
        <v>37.27138059068556</v>
      </c>
      <c r="EQ38" s="1">
        <f t="shared" si="107"/>
        <v>42.254202478830578</v>
      </c>
      <c r="ES38" s="1">
        <f>IF(EF$26=".", 0, 'Summary, PPI''s'!E38)+IF(EG$26=".", 0, 'Summary, PPI''s'!F38)+IF(EH$26=".", 0, 'Summary, PPI''s'!G38)+IF(EI$26=".", 0, 'Summary, PPI''s'!H38)+IF(EJ$26=".", 0, 'Summary, PPI''s'!I38)+IF(EK$26=".", 0, 'Summary, PPI''s'!J38)+IF(EL$26=".", 0, 'Summary, PPI''s'!K38)+IF(EM$26=".", 0, 'Summary, PPI''s'!L38)+IF(EN$26=".", 0, 'Summary, PPI''s'!M38)+IF(EC$26=".", 0, 'Summary, PPI''s'!B38)+IF(ED$26=".", 0, 'Summary, PPI''s'!C38)+IF(EE$26=".", 0, 'Summary, PPI''s'!D38)+IF(EO$26=".", 0, 'Summary, PPI''s'!N38)+IF(EP$26=".", 0, 'Summary, PPI''s'!O38)+IF(EQ$26=".", 0, 'Summary, PPI''s'!P38)</f>
        <v>98088444.47088629</v>
      </c>
      <c r="ET38" s="1">
        <f>'Summary, hourly ad costs'!E38+'Summary, hourly ad costs'!F38+'Summary, hourly ad costs'!H38+'Summary, hourly ad costs'!I38+'Summary, hourly ad costs'!J38+'Summary, hourly ad costs'!K38+'Summary, hourly ad costs'!L38+'Summary, hourly ad costs'!M38+'Summary, hourly ad costs'!B38</f>
        <v>52080713.621641308</v>
      </c>
      <c r="EV38" s="13">
        <f>EV37*IF(EF$26=".", 1, (EF38/EF37)^(('Summary, PPI''s'!$E38+'Summary, PPI''s'!$E37)/('Predicted PPIs'!ES38+'Predicted PPIs'!ES37)))*IF(EG$26=".", 1, (EG38/EG37)^(('Summary, PPI''s'!$F38+'Summary, PPI''s'!$F37)/('Predicted PPIs'!ES38+'Predicted PPIs'!ES37)))*IF(EH$26=".", 1, (EH38/EH37)^(('Summary, PPI''s'!$G38+'Summary, PPI''s'!$G37)/('Predicted PPIs'!ES38+'Predicted PPIs'!ES37)))*IF(EI$26=".", 1, (EI38/EI37)^(('Summary, PPI''s'!$H38+'Summary, PPI''s'!$H37)/('Predicted PPIs'!ES38+'Predicted PPIs'!ES37)))*IF(EJ$26=".", 1, (EJ38/EJ37)^(('Summary, PPI''s'!$I38+'Summary, PPI''s'!$I37)/('Predicted PPIs'!ES38+'Predicted PPIs'!ES37)))*IF(EK$26=".", 1, (EK38/EK37)^(('Summary, PPI''s'!$J38+'Summary, PPI''s'!$J37)/('Predicted PPIs'!ES38+'Predicted PPIs'!ES37)))*IF(EL$26=".", 1, (EL38/EL37)^(('Summary, PPI''s'!$K38+'Summary, PPI''s'!$K37)/('Predicted PPIs'!ES38+'Predicted PPIs'!ES37)))*IF(EM$26=".", 1, (EM38/EM37)^(('Summary, PPI''s'!$L38+'Summary, PPI''s'!$L37)/('Predicted PPIs'!ES38+'Predicted PPIs'!ES37)))*IF(EN$26=".", 1, (EN38/EN37)^(('Summary, PPI''s'!$M38+'Summary, PPI''s'!$M37)/('Predicted PPIs'!ES38+'Predicted PPIs'!ES37)))*IF(EC$26=".", 1, (EC38/EC37)^(('Summary, PPI''s'!$B38+'Summary, PPI''s'!$B37)/('Predicted PPIs'!ES38+'Predicted PPIs'!ES37)))*IF(ED$26=".", 1, (ED38/ED37)^(('Summary, PPI''s'!$C38+'Summary, PPI''s'!$C37)/('Predicted PPIs'!ES38+'Predicted PPIs'!ES37)))*IF(EE$26=".", 1, (EE38/EE37)^(('Summary, PPI''s'!$D38+'Summary, PPI''s'!$D37)/('Predicted PPIs'!ES38+'Predicted PPIs'!ES37)))*IF(EO$26=".", 1, (EO38/EO37)^(('Summary, PPI''s'!$N38+'Summary, PPI''s'!$N37)/('Predicted PPIs'!ES38+'Predicted PPIs'!ES37)))*IF(EP$26=".", 1, (EP38/EP37)^(('Summary, PPI''s'!$O38+'Summary, PPI''s'!$O37)/('Predicted PPIs'!ES38+'Predicted PPIs'!ES37)))*IF(EQ$26=".", 1, (EQ38/EQ37)^(('Summary, PPI''s'!$P38+'Summary, PPI''s'!$P37)/('Predicted PPIs'!ES38+'Predicted PPIs'!ES37)))</f>
        <v>50.706691718581929</v>
      </c>
      <c r="EW38" s="13">
        <f>EW37*IF(EF$26=".", 1, (EF38/EF37)^(('Summary, PPI''s'!$E38+'Summary, PPI''s'!$E37)/('Predicted PPIs'!ET38+'Predicted PPIs'!ET37)))*IF(EG$26=".", 1, (EG38/EG37)^(('Summary, PPI''s'!$F38+'Summary, PPI''s'!$F37)/('Predicted PPIs'!ET38+'Predicted PPIs'!ET37)))*IF(EH$26=".", 1, (EH38/EH37)^(('Summary, PPI''s'!$G38+'Summary, PPI''s'!$G37)/('Predicted PPIs'!ET38+'Predicted PPIs'!ET37)))*IF(EK$26=".", 1, (EK38/EK37)^(('Summary, PPI''s'!$J38+'Summary, PPI''s'!$J37)/('Predicted PPIs'!ET38+'Predicted PPIs'!ET37)))*IF(EL$26=".", 1, (EL38/EL37)^(('Summary, PPI''s'!$K38+'Summary, PPI''s'!$K37)/('Predicted PPIs'!ET38+'Predicted PPIs'!ET37)))*IF(EM$26=".", 1, (EM38/EM37)^(('Summary, PPI''s'!$L38+'Summary, PPI''s'!$L37)/('Predicted PPIs'!ET38+'Predicted PPIs'!ET37)))*IF(EN$26=".", 1, (EN38/EN37)^(('Summary, PPI''s'!$M38+'Summary, PPI''s'!$M37)/('Predicted PPIs'!ET38+'Predicted PPIs'!ET37)))*IF(EC$26=".", 1, (EC38/EC37)^(('Summary, PPI''s'!$B38+'Summary, PPI''s'!$B37)/('Predicted PPIs'!ET38+'Predicted PPIs'!ET37)))</f>
        <v>51.70861780778079</v>
      </c>
      <c r="EY38" s="2"/>
    </row>
    <row r="39" spans="1:155" x14ac:dyDescent="0.3">
      <c r="A39" s="4">
        <v>1984</v>
      </c>
      <c r="B39" s="10">
        <f>IF(B38=".", ".", IF('Summary, PPI''s'!R39=".",IF(OR('Summary, hourly ad costs'!R39=-9999,'Summary, hourly ad costs'!R39=0), ".", 'Predicted PPIs'!B38*('Summary, hourly ad costs'!B39/'Summary, hourly ad costs'!R39)/('Summary, hourly ad costs'!B38/'Summary, hourly ad costs'!R38)), 'Summary, PPI''s'!R39))</f>
        <v>69.479861296345689</v>
      </c>
      <c r="C39" s="10">
        <f>IF(C38=".", ".", IF('Summary, PPI''s'!S39=".",IF(OR('Summary, hourly ad costs'!S39=-9999,'Summary, hourly ad costs'!S39=0), ".", 'Predicted PPIs'!C38*('Summary, hourly ad costs'!C39/'Summary, hourly ad costs'!S39)/('Summary, hourly ad costs'!C38/'Summary, hourly ad costs'!S38)), 'Summary, PPI''s'!S39))</f>
        <v>69.479861296345689</v>
      </c>
      <c r="D39" s="10">
        <f>IF(D38=".", ".", IF('Summary, PPI''s'!T39=".",IF(OR('Summary, hourly ad costs'!T39=-9999,'Summary, hourly ad costs'!T39=0), ".", 'Predicted PPIs'!D38*('Summary, hourly ad costs'!D39/'Summary, hourly ad costs'!T39)/('Summary, hourly ad costs'!D38/'Summary, hourly ad costs'!T38)), 'Summary, PPI''s'!T39))</f>
        <v>59.863320378651331</v>
      </c>
      <c r="E39" s="10">
        <f>IF(E38=".", ".", IF('Summary, PPI''s'!U39=".",IF(OR('Summary, hourly ad costs'!U39=-9999,'Summary, hourly ad costs'!U39=0), ".", 'Predicted PPIs'!E38*('Summary, hourly ad costs'!E39/'Summary, hourly ad costs'!U39)/('Summary, hourly ad costs'!E38/'Summary, hourly ad costs'!U38)), 'Summary, PPI''s'!U39))</f>
        <v>30.388797224690098</v>
      </c>
      <c r="F39" s="10">
        <f>IF(F38=".", ".", IF('Summary, PPI''s'!V39=".",IF(OR('Summary, hourly ad costs'!V39=-9999,'Summary, hourly ad costs'!V39=0), ".", 'Predicted PPIs'!F38*('Summary, hourly ad costs'!F39/'Summary, hourly ad costs'!V39)/('Summary, hourly ad costs'!F38/'Summary, hourly ad costs'!V38)), 'Summary, PPI''s'!V39))</f>
        <v>28.965361011573791</v>
      </c>
      <c r="G39" s="10">
        <f>IF(G38=".", ".", IF('Summary, PPI''s'!W39=".",IF(OR('Summary, hourly ad costs'!W39=-9999,'Summary, hourly ad costs'!W39=0), ".", 'Predicted PPIs'!G38*('Summary, hourly ad costs'!G39/'Summary, hourly ad costs'!W39)/('Summary, hourly ad costs'!G38/'Summary, hourly ad costs'!W38)), 'Summary, PPI''s'!W39))</f>
        <v>33.299053391625492</v>
      </c>
      <c r="H39" s="10">
        <f>IF(H38=".", ".", IF('Summary, PPI''s'!X39=".",IF(OR('Summary, hourly ad costs'!X39=-9999,'Summary, hourly ad costs'!X39=0), ".", 'Predicted PPIs'!H38*('Summary, hourly ad costs'!H39/'Summary, hourly ad costs'!X39)/('Summary, hourly ad costs'!H38/'Summary, hourly ad costs'!X38)), 'Summary, PPI''s'!X39))</f>
        <v>36.747999999999998</v>
      </c>
      <c r="I39" s="10">
        <f>IF(I38=".", ".", IF('Summary, PPI''s'!Y39=".",IF(OR('Summary, hourly ad costs'!Y39=-9999,'Summary, hourly ad costs'!Y39=0), ".", 'Predicted PPIs'!I38*('Summary, hourly ad costs'!I39/'Summary, hourly ad costs'!Y39)/('Summary, hourly ad costs'!I38/'Summary, hourly ad costs'!Y38)), 'Summary, PPI''s'!Y39))</f>
        <v>46.259826792666544</v>
      </c>
      <c r="J39" s="10">
        <f>IF(J38=".", ".", IF('Summary, PPI''s'!Z39=".",IF(OR('Summary, hourly ad costs'!Z39=-9999,'Summary, hourly ad costs'!Z39=0), ".", 'Predicted PPIs'!J38*('Summary, hourly ad costs'!J39/'Summary, hourly ad costs'!Z39)/('Summary, hourly ad costs'!J38/'Summary, hourly ad costs'!Z38)), 'Summary, PPI''s'!Z39))</f>
        <v>49.593656902845098</v>
      </c>
      <c r="K39" s="10">
        <f>IF(K38=".", ".", IF('Summary, PPI''s'!AA39=".",IF(OR('Summary, hourly ad costs'!AA39=-9999,'Summary, hourly ad costs'!AA39=0), ".", 'Predicted PPIs'!K38*('Summary, hourly ad costs'!K39/'Summary, hourly ad costs'!AA39)/('Summary, hourly ad costs'!K38/'Summary, hourly ad costs'!AA38)), 'Summary, PPI''s'!AA39))</f>
        <v>31.273983133582032</v>
      </c>
      <c r="L39" s="10" t="str">
        <f>IF(L38=".", ".", IF('Summary, PPI''s'!AB39=".",IF(OR('Summary, hourly ad costs'!AB39=-9999,'Summary, hourly ad costs'!AB39=0), ".", 'Predicted PPIs'!L38*('Summary, hourly ad costs'!L39/'Summary, hourly ad costs'!AB39)/('Summary, hourly ad costs'!L38/'Summary, hourly ad costs'!AB38)), 'Summary, PPI''s'!AB39))</f>
        <v>.</v>
      </c>
      <c r="M39" s="10" t="str">
        <f>IF(M38=".", ".", IF('Summary, PPI''s'!AC39=".",IF(OR('Summary, hourly ad costs'!AC39=-9999,'Summary, hourly ad costs'!AC39=0), ".", 'Predicted PPIs'!M38*('Summary, hourly ad costs'!M39/'Summary, hourly ad costs'!AC39)/('Summary, hourly ad costs'!M38/'Summary, hourly ad costs'!AC38)), 'Summary, PPI''s'!AC39))</f>
        <v>.</v>
      </c>
      <c r="N39" s="10" t="str">
        <f>IF(N38=".", ".", IF('Summary, PPI''s'!AD39=".",IF(OR('Summary, hourly ad costs'!AD39=-9999,'Summary, hourly ad costs'!AD39=0), ".", 'Predicted PPIs'!N38*('Summary, hourly ad costs'!N39/'Summary, hourly ad costs'!AD39)/('Summary, hourly ad costs'!N38/'Summary, hourly ad costs'!AD38)), 'Summary, PPI''s'!AD39))</f>
        <v>.</v>
      </c>
      <c r="O39" s="10">
        <f>IF(O38=".", ".", IF('Summary, PPI''s'!AE39=".",IF(OR('Summary, hourly ad costs'!AE39=-9999,'Summary, hourly ad costs'!AE39=0), ".", 'Predicted PPIs'!O38*('Summary, hourly ad costs'!O39/'Summary, hourly ad costs'!AE39)/('Summary, hourly ad costs'!O38/'Summary, hourly ad costs'!AE38)), 'Summary, PPI''s'!AE39))</f>
        <v>35.520566269840039</v>
      </c>
      <c r="P39" s="10" t="str">
        <f>IF(P38=".", ".", IF('Summary, PPI''s'!AF39=".",IF(OR('Summary, hourly ad costs'!AF39=-9999,'Summary, hourly ad costs'!AF39=0), ".", 'Predicted PPIs'!P38*('Summary, hourly ad costs'!P39/'Summary, hourly ad costs'!AF39)/('Summary, hourly ad costs'!P38/'Summary, hourly ad costs'!AF38)), 'Summary, PPI''s'!AF39))</f>
        <v>.</v>
      </c>
      <c r="R39" s="1">
        <f>IF(E$26=".", 0, 'Summary, PPI''s'!E39)+IF(F$26=".", 0, 'Summary, PPI''s'!F39)+IF(G$26=".", 0, 'Summary, PPI''s'!G39)+IF(H$26=".", 0, 'Summary, PPI''s'!H39)+IF(I$26=".", 0, 'Summary, PPI''s'!I39)+IF(J$26=".", 0, 'Summary, PPI''s'!J39)+IF(K$26=".", 0, 'Summary, PPI''s'!K39)+IF(L$26=".", 0, 'Summary, PPI''s'!L39)+IF(M$26=".", 0, 'Summary, PPI''s'!M39)+IF(B$26=".", 0, 'Summary, PPI''s'!B39)+IF(C$26=".", 0, 'Summary, PPI''s'!C39)+IF(D$26=".", 0, 'Summary, PPI''s'!D39)+IF(N$26=".", 0, 'Summary, PPI''s'!N39)+IF(O$26=".", 0, 'Summary, PPI''s'!O39)+IF(P$26=".", 0, 'Summary, PPI''s'!P39)</f>
        <v>90107558.786300212</v>
      </c>
      <c r="S39" s="1">
        <f>IF(E$36=".", 0, 'Summary, PPI''s'!E39)+IF(F$36=".", 0, 'Summary, PPI''s'!F39)+IF(G$36=".", 0, 'Summary, PPI''s'!G39)+IF(H$36=".", 0, 'Summary, PPI''s'!H39)+IF(I$36=".", 0, 'Summary, PPI''s'!I39)+IF(J$36=".", 0, 'Summary, PPI''s'!J39)+IF(K$36=".", 0, 'Summary, PPI''s'!K39)+IF(L$36=".", 0, 'Summary, PPI''s'!L39)+IF(M$36=".", 0, 'Summary, PPI''s'!M39)+IF(B$36=".", 0, 'Summary, PPI''s'!B39)+IF(C$36=".", 0, 'Summary, PPI''s'!C39)+IF(D$36=".", 0, 'Summary, PPI''s'!D39)+IF(N$36=".", 0, 'Summary, PPI''s'!N39)+IF(O$36=".", 0, 'Summary, PPI''s'!O39)+IF(P$36=".", 0, 'Summary, PPI''s'!P39)</f>
        <v>90107558.786300212</v>
      </c>
      <c r="T39" s="1">
        <f>IF(E$46=".", 0, 'Summary, PPI''s'!E39)+IF(F$46=".", 0, 'Summary, PPI''s'!F39)+IF(G$46=".", 0, 'Summary, PPI''s'!G39)+IF(H$46=".", 0, 'Summary, PPI''s'!H39)+IF(I$46=".", 0, 'Summary, PPI''s'!I39)+IF(J$46=".", 0, 'Summary, PPI''s'!J39)+IF(K$46=".", 0, 'Summary, PPI''s'!K39)+IF(L$46=".", 0, 'Summary, PPI''s'!L39)+IF(M$46=".", 0, 'Summary, PPI''s'!M39)+IF(B$46=".", 0, 'Summary, PPI''s'!B39)+IF(C$46=".", 0, 'Summary, PPI''s'!C39)+IF(D$46=".", 0, 'Summary, PPI''s'!D39)+IF(N$46=".", 0, 'Summary, PPI''s'!N39)+IF(O$46=".", 0, 'Summary, PPI''s'!O39)+IF(P$46=".", 0, 'Summary, PPI''s'!P39)</f>
        <v>64871037.025108591</v>
      </c>
      <c r="U39" s="1">
        <f>IF(E$60=".", 0, 'Summary, PPI''s'!E39)+IF(F$60=".", 0, 'Summary, PPI''s'!F39)+IF(G$60=".", 0, 'Summary, PPI''s'!G39)+IF(H$60=".", 0, 'Summary, PPI''s'!H39)+IF(I$60=".", 0, 'Summary, PPI''s'!I39)+IF(J$60=".", 0, 'Summary, PPI''s'!J39)+IF(K$60=".", 0, 'Summary, PPI''s'!K39)+IF(L$60=".", 0, 'Summary, PPI''s'!L39)+IF(M$60=".", 0, 'Summary, PPI''s'!M39)+IF(B$60=".", 0, 'Summary, PPI''s'!B39)+IF(C$60=".", 0, 'Summary, PPI''s'!C39)+IF(D$60=".", 0, 'Summary, PPI''s'!D39)+IF(N$60=".", 0, 'Summary, PPI''s'!N39)+IF(O$60=".", 0, 'Summary, PPI''s'!O39)+IF(P$60=".", 0, 'Summary, PPI''s'!P39)</f>
        <v>58391896.364386991</v>
      </c>
      <c r="V39" s="1">
        <f>IF(E$73=".", 0, 'Summary, PPI''s'!E39)+IF(F$73=".", 0, 'Summary, PPI''s'!F39)+IF(G$73=".", 0, 'Summary, PPI''s'!G39)+IF(H$73=".", 0, 'Summary, PPI''s'!H39)+IF(I$73=".", 0, 'Summary, PPI''s'!I39)+IF(J$73=".", 0, 'Summary, PPI''s'!J39)+IF(K$73=".", 0, 'Summary, PPI''s'!K39)+IF(L$73=".", 0, 'Summary, PPI''s'!L39)+IF(M$73=".", 0, 'Summary, PPI''s'!M39)+IF(B$73=".", 0, 'Summary, PPI''s'!B39)+IF(C$73=".", 0, 'Summary, PPI''s'!C39)+IF(D$73=".", 0, 'Summary, PPI''s'!D39)+IF(N$73=".", 0, 'Summary, PPI''s'!N39)+IF(O$73=".", 0, 'Summary, PPI''s'!O39)+IF(P$73=".", 0, 'Summary, PPI''s'!P39)</f>
        <v>47764360.94366236</v>
      </c>
      <c r="W39" s="1">
        <f>IF(E$94=".",0,'Summary, PPI''s'!E39)+IF(F$94=".",0,'Summary, PPI''s'!F39)+IF(G$94=".",0,'Summary, PPI''s'!G39)+IF(H$94=".",0,'Summary, PPI''s'!H39)+IF(I$94=".",0,'Summary, PPI''s'!I39)+IF(J$94=".",0,'Summary, PPI''s'!J39)+IF(K$94=".",0,'Summary, PPI''s'!K39)+IF(L$94=".",0,'Summary, PPI''s'!L39)+IF(M$94=".",0,'Summary, PPI''s'!M39)+IF(B$94=".",0,'Summary, PPI''s'!B39)+IF(C$94=".",0,'Summary, PPI''s'!C39)+IF(D$94=".",0,'Summary, PPI''s'!D39)+IF(N$94=".",0,'Summary, PPI''s'!N39)+IF(O$94=".",0,'Summary, PPI''s'!O39)+IF(P$94=".",0,'Summary, PPI''s'!P39)</f>
        <v>34048988.704864316</v>
      </c>
      <c r="X39" s="1">
        <f>IF(E$123=".", 0, 'Summary, PPI''s'!E39)+IF(F$123=".", 0, 'Summary, PPI''s'!F39)+IF(G$123=".", 0, 'Summary, PPI''s'!G39)+IF(H$123=".", 0, 'Summary, PPI''s'!H39)+IF(I$123=".", 0, 'Summary, PPI''s'!I39)+IF(J$123=".", 0, 'Summary, PPI''s'!J39)+IF(K$123=".", 0, 'Summary, PPI''s'!K39)+IF(L$123=".", 0, 'Summary, PPI''s'!L39)+IF(M$123=".", 0, 'Summary, PPI''s'!M39)+IF(B$123=".", 0, 'Summary, PPI''s'!B39)+IF(C$123=".", 0, 'Summary, PPI''s'!C39)+IF(D$123=".", 0, 'Summary, PPI''s'!D39)+IF(N$123=".", 0, 'Summary, PPI''s'!N39)+IF(O$123=".", 0, 'Summary, PPI''s'!O39)+IF(P$123=".", 0, 'Summary, PPI''s'!P39)</f>
        <v>29350198.024089247</v>
      </c>
      <c r="Z39" s="4" t="e">
        <f>Z38*IF(E$26=".", 1, (E39/E38)^(('Summary, PPI''s'!$E39+'Summary, PPI''s'!$E38)/('Predicted PPIs'!R39+'Predicted PPIs'!R38)))*IF(F$26=".", 1, (F39/F38)^(('Summary, PPI''s'!$F39+'Summary, PPI''s'!$F38)/('Predicted PPIs'!R39+'Predicted PPIs'!R38)))*IF(G$26=".", 1, (G39/G38)^(('Summary, PPI''s'!$G39+'Summary, PPI''s'!$G38)/('Predicted PPIs'!R39+'Predicted PPIs'!R38)))*IF(H$26=".", 1, (H39/H38)^(('Summary, PPI''s'!$H39+'Summary, PPI''s'!$H38)/('Predicted PPIs'!R39+'Predicted PPIs'!R38)))*IF(I$26=".", 1, (I39/I38)^(('Summary, PPI''s'!$I39+'Summary, PPI''s'!$I38)/('Predicted PPIs'!R39+'Predicted PPIs'!R38)))*IF(J$26=".", 1, (J39/J38)^(('Summary, PPI''s'!$J39+'Summary, PPI''s'!$J38)/('Predicted PPIs'!R39+'Predicted PPIs'!R38)))*IF(K$26=".", 1, (K39/K38)^(('Summary, PPI''s'!$K39+'Summary, PPI''s'!$K38)/('Predicted PPIs'!R39+'Predicted PPIs'!R38)))*IF(L$26=".", 1, (L39/L38)^(('Summary, PPI''s'!$L39+'Summary, PPI''s'!$L38)/('Predicted PPIs'!R39+'Predicted PPIs'!R38)))*IF(M$26=".", 1, (M39/M38)^(('Summary, PPI''s'!$M39+'Summary, PPI''s'!$M38)/('Predicted PPIs'!R39+'Predicted PPIs'!R38)))*IF(B$26=".", 1, (B39/B38)^(('Summary, PPI''s'!$B39+'Summary, PPI''s'!$B38)/('Predicted PPIs'!R39+'Predicted PPIs'!R38)))*IF(C$26=".", 1, (C39/C38)^(('Summary, PPI''s'!$C39+'Summary, PPI''s'!$C38)/('Predicted PPIs'!R39+'Predicted PPIs'!R38)))*IF(D$26=".", 1, (D39/D38)^(('Summary, PPI''s'!$D39+'Summary, PPI''s'!$D38)/('Predicted PPIs'!R39+'Predicted PPIs'!R38)))*IF(N$26=".", 1, (N39/N38)^(('Summary, PPI''s'!$N39+'Summary, PPI''s'!$N38)/('Predicted PPIs'!R39+'Predicted PPIs'!R38)))*IF(O$26=".", 1, (O39/O38)^(('Summary, PPI''s'!$O39+'Summary, PPI''s'!$O38)/('Predicted PPIs'!R39+'Predicted PPIs'!R38)))*IF(P$26=".", 1, (P39/P38)^(('Summary, PPI''s'!$P39+'Summary, PPI''s'!$P38)/('Predicted PPIs'!R39+'Predicted PPIs'!R38)))</f>
        <v>#VALUE!</v>
      </c>
      <c r="AA39" s="4" t="e">
        <f>AA38*IF(E$36=".", 1, (E39/E38)^(('Summary, PPI''s'!$E39+'Summary, PPI''s'!$E38)/('Predicted PPIs'!S39+'Predicted PPIs'!S38)))*IF(F$36=".", 1, (F39/F38)^(('Summary, PPI''s'!$F39+'Summary, PPI''s'!$F38)/('Predicted PPIs'!S39+'Predicted PPIs'!S38)))*IF(G$36=".", 1, (G39/G38)^(('Summary, PPI''s'!$G39+'Summary, PPI''s'!$G38)/('Predicted PPIs'!S39+'Predicted PPIs'!S38)))*IF(H$36=".", 1, (H39/H38)^(('Summary, PPI''s'!$H39+'Summary, PPI''s'!$H38)/('Predicted PPIs'!S39+'Predicted PPIs'!S38)))*IF(I$36=".", 1, (I39/I38)^(('Summary, PPI''s'!$I39+'Summary, PPI''s'!$I38)/('Predicted PPIs'!S39+'Predicted PPIs'!S38)))*IF(J$36=".", 1, (J39/J38)^(('Summary, PPI''s'!$J39+'Summary, PPI''s'!$J38)/('Predicted PPIs'!S39+'Predicted PPIs'!S38)))*IF(K$36=".", 1, (K39/K38)^(('Summary, PPI''s'!$K39+'Summary, PPI''s'!$K38)/('Predicted PPIs'!S39+'Predicted PPIs'!S38)))*IF(L$36=".", 1, (L39/L38)^(('Summary, PPI''s'!$L39+'Summary, PPI''s'!$L38)/('Predicted PPIs'!S39+'Predicted PPIs'!S38)))*IF(M$36=".", 1, (M39/M38)^(('Summary, PPI''s'!$M39+'Summary, PPI''s'!$M38)/('Predicted PPIs'!S39+'Predicted PPIs'!S38)))*IF(B$36=".", 1, (B39/B38)^(('Summary, PPI''s'!$B39+'Summary, PPI''s'!$B38)/('Predicted PPIs'!S39+'Predicted PPIs'!S38)))*IF(C$36=".", 1, (C39/C38)^(('Summary, PPI''s'!$C39+'Summary, PPI''s'!$C38)/('Predicted PPIs'!S39+'Predicted PPIs'!S38)))*IF(D$36=".", 1, (D39/D38)^(('Summary, PPI''s'!$D39+'Summary, PPI''s'!$D38)/('Predicted PPIs'!S39+'Predicted PPIs'!S38)))*IF(N$36=".", 1, (N39/N38)^(('Summary, PPI''s'!$N39+'Summary, PPI''s'!$N38)/('Predicted PPIs'!S39+'Predicted PPIs'!S38)))*IF(O$36=".", 1, (O39/O38)^(('Summary, PPI''s'!$O39+'Summary, PPI''s'!$O38)/('Predicted PPIs'!S39+'Predicted PPIs'!S38)))*IF(P$36=".", 1, (P39/P38)^(('Summary, PPI''s'!$P39+'Summary, PPI''s'!$P38)/('Predicted PPIs'!S39+'Predicted PPIs'!S38)))</f>
        <v>#VALUE!</v>
      </c>
      <c r="AB39" s="4">
        <f>AB38*IF(E$46=".", 1, (E39/E38)^(('Summary, PPI''s'!$E39+'Summary, PPI''s'!$E38)/('Predicted PPIs'!T39+'Predicted PPIs'!T38)))*IF(F$46=".", 1, (F39/F38)^(('Summary, PPI''s'!$F39+'Summary, PPI''s'!$F38)/('Predicted PPIs'!T39+'Predicted PPIs'!T38)))*IF(G$46=".", 1, (G39/G38)^(('Summary, PPI''s'!$G39+'Summary, PPI''s'!$G38)/('Predicted PPIs'!T39+'Predicted PPIs'!T38)))*IF(H$46=".", 1, (H39/H38)^(('Summary, PPI''s'!$H39+'Summary, PPI''s'!$H38)/('Predicted PPIs'!T39+'Predicted PPIs'!T38)))*IF(I$46=".", 1, (I39/I38)^(('Summary, PPI''s'!$I39+'Summary, PPI''s'!$I38)/('Predicted PPIs'!T39+'Predicted PPIs'!T38)))*IF(J$46=".", 1, (J39/J38)^(('Summary, PPI''s'!$J39+'Summary, PPI''s'!$J38)/('Predicted PPIs'!T39+'Predicted PPIs'!T38)))*IF(K$46=".", 1, (K39/K38)^(('Summary, PPI''s'!$K39+'Summary, PPI''s'!$K38)/('Predicted PPIs'!T39+'Predicted PPIs'!T38)))*IF(L$46=".", 1, (L39/L38)^(('Summary, PPI''s'!$L39+'Summary, PPI''s'!$L38)/('Predicted PPIs'!T39+'Predicted PPIs'!T38)))*IF(M$46=".", 1, (M39/M38)^(('Summary, PPI''s'!$M39+'Summary, PPI''s'!$M38)/('Predicted PPIs'!T39+'Predicted PPIs'!T38)))*IF(B$46=".", 1, (B39/B38)^(('Summary, PPI''s'!$B39+'Summary, PPI''s'!$B38)/('Predicted PPIs'!T39+'Predicted PPIs'!T38)))*IF(C$46=".", 1, (C39/C38)^(('Summary, PPI''s'!$C39+'Summary, PPI''s'!$C38)/('Predicted PPIs'!T39+'Predicted PPIs'!T38)))*IF(D$46=".", 1, (D39/D38)^(('Summary, PPI''s'!$D39+'Summary, PPI''s'!$D38)/('Predicted PPIs'!T39+'Predicted PPIs'!T38)))*IF(N$46=".", 1, (N39/N38)^(('Summary, PPI''s'!$N39+'Summary, PPI''s'!$N38)/('Predicted PPIs'!T39+'Predicted PPIs'!T38)))*IF(O$46=".", 1, (O39/O38)^(('Summary, PPI''s'!$O39+'Summary, PPI''s'!$O38)/('Predicted PPIs'!T39+'Predicted PPIs'!T38)))*IF(P$46=".", 1, (P39/P38)^(('Summary, PPI''s'!$P39+'Summary, PPI''s'!$P38)/('Predicted PPIs'!T39+'Predicted PPIs'!T38)))</f>
        <v>38.718779019140328</v>
      </c>
      <c r="AC39" s="4">
        <f>AC38*IF(E$60=".",1,(E39/E38)^(('Summary, PPI''s'!$E39+'Summary, PPI''s'!$E38)/('Predicted PPIs'!U39+'Predicted PPIs'!U38)))*IF(F$60=".",1,(F39/F38)^(('Summary, PPI''s'!$F39+'Summary, PPI''s'!$F38)/('Predicted PPIs'!U39+'Predicted PPIs'!U38)))*IF(G$60=".",1,(G39/G38)^(('Summary, PPI''s'!$G39+'Summary, PPI''s'!$G38)/('Predicted PPIs'!U39+'Predicted PPIs'!U38)))*IF(H$60=".",1,(H39/H38)^(('Summary, PPI''s'!$H39+'Summary, PPI''s'!$H38)/('Predicted PPIs'!U39+'Predicted PPIs'!U38)))*IF(I$60=".",1,(I39/I38)^(('Summary, PPI''s'!$I39+'Summary, PPI''s'!$I38)/('Predicted PPIs'!U39+'Predicted PPIs'!U38)))*IF(J$60=".",1,(J39/J38)^(('Summary, PPI''s'!$J39+'Summary, PPI''s'!$J38)/('Predicted PPIs'!U39+'Predicted PPIs'!U38)))*IF(K$60=".",1,(K39/K38)^(('Summary, PPI''s'!$K39+'Summary, PPI''s'!$K38)/('Predicted PPIs'!U39+'Predicted PPIs'!U38)))*IF(L$60=".",1,(L39/L38)^(('Summary, PPI''s'!$L39+'Summary, PPI''s'!$L38)/('Predicted PPIs'!U39+'Predicted PPIs'!U38)))*IF(M$60=".",1,(M39/M38)^(('Summary, PPI''s'!$M39+'Summary, PPI''s'!$M38)/('Predicted PPIs'!U39+'Predicted PPIs'!U38)))*IF(B$60=".",1,(B39/B38)^(('Summary, PPI''s'!$B39+'Summary, PPI''s'!$B38)/('Predicted PPIs'!U39+'Predicted PPIs'!U38)))*IF(C$60=".",1,(C39/C38)^(('Summary, PPI''s'!$C39+'Summary, PPI''s'!$C38)/('Predicted PPIs'!U39+'Predicted PPIs'!U38)))*IF(D$60=".",1,(D39/D38)^(('Summary, PPI''s'!$D39+'Summary, PPI''s'!$D38)/('Predicted PPIs'!U39+'Predicted PPIs'!U38)))*IF(N$60=".",1,(N39/N38)^(('Summary, PPI''s'!$N39+'Summary, PPI''s'!$N38)/('Predicted PPIs'!U39+'Predicted PPIs'!U38)))*IF(O$60=".",1,(O39/O38)^(('Summary, PPI''s'!$O39+'Summary, PPI''s'!$O38)/('Predicted PPIs'!U39+'Predicted PPIs'!U38)))*IF(P$60=".",1,(P39/P38)^(('Summary, PPI''s'!$P39+'Summary, PPI''s'!$P38)/('Predicted PPIs'!U39+'Predicted PPIs'!U38)))</f>
        <v>41.879254151087629</v>
      </c>
      <c r="AD39" s="4">
        <f>AD38*IF(E$73=".", 1, (E39/E38)^(('Summary, PPI''s'!$E39+'Summary, PPI''s'!$E38)/('Predicted PPIs'!V39+'Predicted PPIs'!V38)))*IF(F$73=".", 1, (F39/F38)^(('Summary, PPI''s'!$F39+'Summary, PPI''s'!$F38)/('Predicted PPIs'!V39+'Predicted PPIs'!V38)))*IF(G$73=".", 1, (G39/G38)^(('Summary, PPI''s'!$G39+'Summary, PPI''s'!$G38)/('Predicted PPIs'!V39+'Predicted PPIs'!V38)))*IF(H$73=".", 1, (H39/H38)^(('Summary, PPI''s'!$H39+'Summary, PPI''s'!$H38)/('Predicted PPIs'!V39+'Predicted PPIs'!V38)))*IF(I$73=".", 1, (I39/I38)^(('Summary, PPI''s'!$I39+'Summary, PPI''s'!$I38)/('Predicted PPIs'!V39+'Predicted PPIs'!V38)))*IF(J$73=".", 1, (J39/J38)^(('Summary, PPI''s'!$J39+'Summary, PPI''s'!$J38)/('Predicted PPIs'!V39+'Predicted PPIs'!V38)))*IF(K$73=".", 1, (K39/K38)^(('Summary, PPI''s'!$K39+'Summary, PPI''s'!$K38)/('Predicted PPIs'!V39+'Predicted PPIs'!V38)))*IF(L$73=".", 1, (L39/L38)^(('Summary, PPI''s'!$L39+'Summary, PPI''s'!$L38)/('Predicted PPIs'!V39+'Predicted PPIs'!V38)))*IF(M$73=".", 1, (M39/M38)^(('Summary, PPI''s'!$M39+'Summary, PPI''s'!$M38)/('Predicted PPIs'!V39+'Predicted PPIs'!V38)))*IF(B$73=".", 1, (B39/B38)^(('Summary, PPI''s'!$B39+'Summary, PPI''s'!$B38)/('Predicted PPIs'!V39+'Predicted PPIs'!V38)))*IF(C$73=".", 1, (C39/C38)^(('Summary, PPI''s'!$C39+'Summary, PPI''s'!$C38)/('Predicted PPIs'!V39+'Predicted PPIs'!V38)))*IF(D$73=".", 1, (D39/D38)^(('Summary, PPI''s'!$D39+'Summary, PPI''s'!$D38)/('Predicted PPIs'!V39+'Predicted PPIs'!V38)))*IF(N$73=".", 1, (N39/N38)^(('Summary, PPI''s'!$N39+'Summary, PPI''s'!$N38)/('Predicted PPIs'!V39+'Predicted PPIs'!V38)))*IF(O$73=".", 1, (O39/O38)^(('Summary, PPI''s'!$O39+'Summary, PPI''s'!$O38)/('Predicted PPIs'!V39+'Predicted PPIs'!V38)))*IF(P$73=".", 1, (P39/P38)^(('Summary, PPI''s'!$P39+'Summary, PPI''s'!$P38)/('Predicted PPIs'!V39+'Predicted PPIs'!V38)))</f>
        <v>40.257067901560696</v>
      </c>
      <c r="AE39" s="4">
        <f>AE38*IF(E$94=".", 1, (E39/E38)^(('Summary, PPI''s'!$E39+'Summary, PPI''s'!$E38)/('Predicted PPIs'!W39+'Predicted PPIs'!W38)))*IF(F$94=".", 1, (F39/F38)^(('Summary, PPI''s'!$F39+'Summary, PPI''s'!$F38)/('Predicted PPIs'!W39+'Predicted PPIs'!W38)))*IF(G$94=".", 1, (G39/G38)^(('Summary, PPI''s'!$G39+'Summary, PPI''s'!$G38)/('Predicted PPIs'!W39+'Predicted PPIs'!W38)))*IF(H$94=".", 1, (H39/H38)^(('Summary, PPI''s'!$H39+'Summary, PPI''s'!$H38)/('Predicted PPIs'!W39+'Predicted PPIs'!W38)))*IF(I$94=".", 1, (I39/I38)^(('Summary, PPI''s'!$I39+'Summary, PPI''s'!$I38)/('Predicted PPIs'!W39+'Predicted PPIs'!W38)))*IF(J$94=".", 1, (J39/J38)^(('Summary, PPI''s'!$J39+'Summary, PPI''s'!$J38)/('Predicted PPIs'!W39+'Predicted PPIs'!W38)))*IF(K$94=".", 1, (K39/K38)^(('Summary, PPI''s'!$K39+'Summary, PPI''s'!$K38)/('Predicted PPIs'!W39+'Predicted PPIs'!W38)))*IF(L$94=".", 1, (L39/L38)^(('Summary, PPI''s'!$L39+'Summary, PPI''s'!$L38)/('Predicted PPIs'!W39+'Predicted PPIs'!W38)))*IF(M$94=".", 1, (M39/M38)^(('Summary, PPI''s'!$M39+'Summary, PPI''s'!$M38)/('Predicted PPIs'!W39+'Predicted PPIs'!W38)))*IF(B$94=".", 1, (B39/B38)^(('Summary, PPI''s'!$B39+'Summary, PPI''s'!$B38)/('Predicted PPIs'!W39+'Predicted PPIs'!W38)))*IF(C$94=".", 1, (C39/C38)^(('Summary, PPI''s'!$C39+'Summary, PPI''s'!$C38)/('Predicted PPIs'!W39+'Predicted PPIs'!W38)))*IF(D$94=".", 1, (D39/D38)^(('Summary, PPI''s'!$D39+'Summary, PPI''s'!$D38)/('Predicted PPIs'!W39+'Predicted PPIs'!W38)))*IF(N$94=".", 1, (N39/N38)^(('Summary, PPI''s'!$N39+'Summary, PPI''s'!$N38)/('Predicted PPIs'!W39+'Predicted PPIs'!W38)))*IF(O$94=".", 1, (O39/O38)^(('Summary, PPI''s'!$O39+'Summary, PPI''s'!$O38)/('Predicted PPIs'!W39+'Predicted PPIs'!W38)))*IF(P$94=".", 1, (P39/P38)^(('Summary, PPI''s'!$P39+'Summary, PPI''s'!$P38)/('Predicted PPIs'!W39+'Predicted PPIs'!W38)))</f>
        <v>35.406081035216346</v>
      </c>
      <c r="AF39" s="4">
        <f>AF38*IF(E$123=".", 1, (E39/E38)^(('Summary, PPI''s'!$E39+'Summary, PPI''s'!$E38)/('Predicted PPIs'!X39+'Predicted PPIs'!X38)))*IF(F$123=".", 1, (F39/F38)^(('Summary, PPI''s'!$F39+'Summary, PPI''s'!$F38)/('Predicted PPIs'!X39+'Predicted PPIs'!X38)))*IF(G$123=".", 1, (G39/G38)^(('Summary, PPI''s'!$G39+'Summary, PPI''s'!$G38)/('Predicted PPIs'!X39+'Predicted PPIs'!X38)))*IF(H$123=".", 1, (H39/H38)^(('Summary, PPI''s'!$H39+'Summary, PPI''s'!$H38)/('Predicted PPIs'!X39+'Predicted PPIs'!X38)))*IF(I$123=".", 1, (I39/I38)^(('Summary, PPI''s'!$I39+'Summary, PPI''s'!$I38)/('Predicted PPIs'!X39+'Predicted PPIs'!X38)))*IF(J$123=".", 1, (J39/J38)^(('Summary, PPI''s'!$J39+'Summary, PPI''s'!$J38)/('Predicted PPIs'!X39+'Predicted PPIs'!X38)))*IF(K$123=".", 1, (K39/K38)^(('Summary, PPI''s'!$K39+'Summary, PPI''s'!$K38)/('Predicted PPIs'!X39+'Predicted PPIs'!X38)))*IF(L$123=".", 1, (L39/L38)^(('Summary, PPI''s'!$L39+'Summary, PPI''s'!$L38)/('Predicted PPIs'!X39+'Predicted PPIs'!X38)))*IF(M$123=".", 1, (M39/M38)^(('Summary, PPI''s'!$M39+'Summary, PPI''s'!$M38)/('Predicted PPIs'!X39+'Predicted PPIs'!X38)))*IF(B$123=".", 1, (B39/B38)^(('Summary, PPI''s'!$B39+'Summary, PPI''s'!$B38)/('Predicted PPIs'!X39+'Predicted PPIs'!X38)))*IF(C$123=".", 1, (C39/C38)^(('Summary, PPI''s'!$C39+'Summary, PPI''s'!$C38)/('Predicted PPIs'!X39+'Predicted PPIs'!X38)))*IF(D$123=".", 1, (D39/D38)^(('Summary, PPI''s'!$D39+'Summary, PPI''s'!$D38)/('Predicted PPIs'!X39+'Predicted PPIs'!X38)))*IF(N$123=".", 1, (N39/N38)^(('Summary, PPI''s'!$N39+'Summary, PPI''s'!$N38)/('Predicted PPIs'!X39+'Predicted PPIs'!X38)))*IF(O$123=".", 1, (O39/O38)^(('Summary, PPI''s'!$O39+'Summary, PPI''s'!$O38)/('Predicted PPIs'!X39+'Predicted PPIs'!X38)))*IF(P$123=".", 1, (P39/P38)^(('Summary, PPI''s'!$P39+'Summary, PPI''s'!$P38)/('Predicted PPIs'!X39+'Predicted PPIs'!X38)))</f>
        <v>32.429528035451654</v>
      </c>
      <c r="AH39" s="13">
        <f t="shared" si="91"/>
        <v>45.841574786126039</v>
      </c>
      <c r="AJ39" s="4">
        <v>2492.3000000000002</v>
      </c>
      <c r="AK39" s="4">
        <v>-1.0169999999999999</v>
      </c>
      <c r="AL39" s="4">
        <v>-257.44</v>
      </c>
      <c r="AM39" s="4">
        <v>-5.2009999999999996</v>
      </c>
      <c r="AN39" s="4">
        <v>3028</v>
      </c>
      <c r="AO39" s="4">
        <v>747.9</v>
      </c>
      <c r="AP39" s="4">
        <f>('[3]1984'!$I$14+'[3]1984'!$I$69+'[3]1984'!$I$71-'[3]1984'!$I$73)*0.001</f>
        <v>-32.381999999999998</v>
      </c>
      <c r="AQ39" s="4">
        <f>('[3]1984'!$AY$56+'[3]1984'!$AY$69+'[3]1984'!$AY$71-'[3]1984'!$AY$73)*0.001</f>
        <v>-132.69300000000001</v>
      </c>
      <c r="AR39" s="4">
        <f>AR$38*20362/23762</f>
        <v>-9.5871583200067345</v>
      </c>
      <c r="AS39" s="4">
        <v>-17.797999999999998</v>
      </c>
      <c r="AT39" s="4">
        <v>51.243000000000002</v>
      </c>
      <c r="AU39" s="4">
        <v>63.828000000000003</v>
      </c>
      <c r="AV39" s="4">
        <v>41.905000000000001</v>
      </c>
      <c r="AW39" s="4">
        <v>29.745000000000001</v>
      </c>
      <c r="AX39" s="4">
        <v>53.473999999999997</v>
      </c>
      <c r="AY39" s="4">
        <v>70.253</v>
      </c>
      <c r="AZ39" s="4">
        <v>34.54</v>
      </c>
      <c r="BA39" s="4">
        <v>53.838000000000001</v>
      </c>
      <c r="BB39" s="4">
        <f>BB$38*187.289/184.05</f>
        <v>104.79229133387665</v>
      </c>
      <c r="BC39" s="4">
        <v>57.231000000000002</v>
      </c>
      <c r="BG39" s="4">
        <f t="shared" si="50"/>
        <v>45.319751001119769</v>
      </c>
      <c r="BI39" s="4">
        <f>BI$13*'[2]Ordinary Experience'!$D$387/'[2]Ordinary Experience'!$D$413</f>
        <v>235366550.41358519</v>
      </c>
      <c r="BJ39" s="4">
        <f>'[2]Ordinary Experience'!$E$387</f>
        <v>22.1534029738208</v>
      </c>
      <c r="BL39" s="4">
        <f t="shared" si="90"/>
        <v>62.407799339264429</v>
      </c>
      <c r="BM39" s="4">
        <f t="shared" si="34"/>
        <v>6.3510532515903995E-2</v>
      </c>
      <c r="BO39" s="4">
        <f>IF(OR('Summary, hourly ad costs'!R39=-9999,'Summary, PPI''s'!R39="."),".",(('Summary, hourly ad costs'!B39/'Summary, hourly ad costs'!R39)*100/('Summary, hourly ad costs'!B$11/'Summary, hourly ad costs'!R$11))/('Summary, PPI''s'!R39))</f>
        <v>0.73765961994575946</v>
      </c>
      <c r="BP39" s="4" t="str">
        <f>IF(OR('Summary, hourly ad costs'!S39=-9999,'Summary, PPI''s'!S39="."),".",(('Summary, hourly ad costs'!C39/'Summary, hourly ad costs'!S39)*100/('Summary, hourly ad costs'!C$11/'Summary, hourly ad costs'!S$11))/('Summary, PPI''s'!S39))</f>
        <v>.</v>
      </c>
      <c r="BQ39" s="4" t="str">
        <f>IF(OR('Summary, hourly ad costs'!T39=-9999,'Summary, PPI''s'!T39="."),".",(('Summary, hourly ad costs'!D39/'Summary, hourly ad costs'!T39)*100/('Summary, hourly ad costs'!D$11/'Summary, hourly ad costs'!T$11))/('Summary, PPI''s'!T39))</f>
        <v>.</v>
      </c>
      <c r="BR39" s="4">
        <f>IF(OR('Summary, hourly ad costs'!U39=-9999,'Summary, PPI''s'!U39="."),".",(('Summary, hourly ad costs'!E39/'Summary, hourly ad costs'!U39)*100/('Summary, hourly ad costs'!E$11/'Summary, hourly ad costs'!U$11))/('Summary, PPI''s'!U39))</f>
        <v>2.2531928655497975</v>
      </c>
      <c r="BS39" s="4">
        <f>IF(OR('Summary, hourly ad costs'!V39=-9999,'Summary, PPI''s'!V39="."),".",(('Summary, hourly ad costs'!F39/'Summary, hourly ad costs'!V39)*100/('Summary, hourly ad costs'!F$11/'Summary, hourly ad costs'!V$11))/('Summary, PPI''s'!V39))</f>
        <v>2.2111636826750223</v>
      </c>
      <c r="BT39" s="4" t="str">
        <f>IF(OR('Summary, hourly ad costs'!W39=-9999,'Summary, PPI''s'!W39="."),".",(('Summary, hourly ad costs'!G39/'Summary, hourly ad costs'!W39)*100/('Summary, hourly ad costs'!G$11/'Summary, hourly ad costs'!W$11))/('Summary, PPI''s'!W39))</f>
        <v>.</v>
      </c>
      <c r="BU39" s="4">
        <f>IF(OR('Summary, hourly ad costs'!X39=-9999,'Summary, PPI''s'!X39="."),".",(('Summary, hourly ad costs'!H39/'Summary, hourly ad costs'!X39)*100/('Summary, hourly ad costs'!H$11/'Summary, hourly ad costs'!X$11))/('Summary, PPI''s'!X39))</f>
        <v>1.1131462695856631</v>
      </c>
      <c r="BV39" s="4">
        <f>IF(OR('Summary, hourly ad costs'!Y39=-9999,'Summary, PPI''s'!Y39="."),".",(('Summary, hourly ad costs'!I39/'Summary, hourly ad costs'!Y39)*100/('Summary, hourly ad costs'!I$11/'Summary, hourly ad costs'!Y$11))/('Summary, PPI''s'!Y39))</f>
        <v>0.6610621892654287</v>
      </c>
      <c r="BW39" s="4">
        <f>IF(OR('Summary, hourly ad costs'!Z39=-9999,'Summary, PPI''s'!Z39="."),".",(('Summary, hourly ad costs'!J39/'Summary, hourly ad costs'!Z39)*100/('Summary, hourly ad costs'!J$11/'Summary, hourly ad costs'!Z$11))/('Summary, PPI''s'!Z39))</f>
        <v>0.70414996012814446</v>
      </c>
      <c r="BX39" s="4" t="str">
        <f>IF(OR('Summary, hourly ad costs'!AA39=-9999,'Summary, PPI''s'!AA39="."),".",(('Summary, hourly ad costs'!K39/'Summary, hourly ad costs'!AA39)*100/('Summary, hourly ad costs'!K$11/'Summary, hourly ad costs'!AA$11))/('Summary, PPI''s'!AA39))</f>
        <v>.</v>
      </c>
      <c r="BY39" s="4" t="str">
        <f>IF(OR('Summary, hourly ad costs'!AB39=-9999,'Summary, PPI''s'!AB39="."),".",(('Summary, hourly ad costs'!L39/'Summary, hourly ad costs'!AB39)*100/('Summary, hourly ad costs'!L$11/'Summary, hourly ad costs'!AB$11))/('Summary, PPI''s'!AB39))</f>
        <v>.</v>
      </c>
      <c r="BZ39" s="4" t="str">
        <f>IF(OR('Summary, hourly ad costs'!AC39=-9999,'Summary, PPI''s'!AC39="."),".",(('Summary, hourly ad costs'!M39/'Summary, hourly ad costs'!AC39)*100/('Summary, hourly ad costs'!M$11/'Summary, hourly ad costs'!AC$11))/('Summary, PPI''s'!AC39))</f>
        <v>.</v>
      </c>
      <c r="CA39" s="4" t="str">
        <f>IF(OR('Summary, hourly ad costs'!AD39=-9999,'Summary, PPI''s'!AD39="."),".",(('Summary, hourly ad costs'!N39/'Summary, hourly ad costs'!AD39)*100/('Summary, hourly ad costs'!N$11/'Summary, hourly ad costs'!AD$11))/('Summary, PPI''s'!AD39))</f>
        <v>.</v>
      </c>
      <c r="CB39" s="4" t="str">
        <f>IF(OR('Summary, hourly ad costs'!AE39=-9999,'Summary, PPI''s'!AE39="."),".",(('Summary, hourly ad costs'!O39/'Summary, hourly ad costs'!AE39)*100/('Summary, hourly ad costs'!O$11/'Summary, hourly ad costs'!AE$11))/('Summary, PPI''s'!AE39))</f>
        <v>.</v>
      </c>
      <c r="CC39" s="4" t="str">
        <f>IF(OR('Summary, hourly ad costs'!AF39=-9999,'Summary, PPI''s'!AF39="."),".",(('Summary, hourly ad costs'!P39/'Summary, hourly ad costs'!AF39)*100/('Summary, hourly ad costs'!P$11/'Summary, hourly ad costs'!AF$11))/('Summary, PPI''s'!AF39))</f>
        <v>.</v>
      </c>
      <c r="CE39" s="4">
        <f t="shared" si="80"/>
        <v>-6.5136127452418036E-2</v>
      </c>
      <c r="CF39" s="4" t="str">
        <f t="shared" si="81"/>
        <v>.</v>
      </c>
      <c r="CG39" s="4" t="str">
        <f t="shared" si="82"/>
        <v>.</v>
      </c>
      <c r="CH39" s="4">
        <f t="shared" si="83"/>
        <v>5.6527332235417393E-2</v>
      </c>
      <c r="CI39" s="4">
        <f t="shared" si="84"/>
        <v>3.8299361071460813E-2</v>
      </c>
      <c r="CJ39" s="4" t="str">
        <f t="shared" si="85"/>
        <v>.</v>
      </c>
      <c r="CK39" s="4">
        <f t="shared" si="86"/>
        <v>2.1123933100275494E-5</v>
      </c>
      <c r="CL39" s="4">
        <f t="shared" si="87"/>
        <v>9.79705573937939E-3</v>
      </c>
      <c r="CM39" s="4">
        <f t="shared" si="88"/>
        <v>-5.1982665727891009E-3</v>
      </c>
      <c r="CN39" s="4">
        <f t="shared" si="89"/>
        <v>3.5256407780434498E-2</v>
      </c>
      <c r="CO39" s="4">
        <f t="shared" si="79"/>
        <v>0.41142256783622416</v>
      </c>
      <c r="CP39" s="4">
        <f t="shared" si="79"/>
        <v>2.2715647787099585E-2</v>
      </c>
      <c r="CQ39" s="4" t="str">
        <f t="shared" si="62"/>
        <v>.</v>
      </c>
      <c r="CR39" s="4" t="str">
        <f t="shared" si="63"/>
        <v>.</v>
      </c>
      <c r="CS39" s="4" t="str">
        <f t="shared" si="64"/>
        <v>.</v>
      </c>
      <c r="CU39" s="5">
        <f>IF(CU38=".", ".", IF('Summary, PPI''s'!R39=".",IF(OR('Summary, hourly ad costs'!R39=-9999,'Summary, hourly ad costs'!R39=0), ".", 'Predicted PPIs'!CU38*('Summary, hourly ad costs'!B39/'Summary, hourly ad costs'!R39)/('Summary, hourly ad costs'!B38/'Summary, hourly ad costs'!R38)/(1-CE38)), 'Summary, PPI''s'!R39))</f>
        <v>69.479861296345689</v>
      </c>
      <c r="CV39" s="5">
        <f>IF(CV38=".", ".", IF('Summary, PPI''s'!S39=".",IF(OR('Summary, hourly ad costs'!S39=-9999,'Summary, hourly ad costs'!S39=0), ".", 'Predicted PPIs'!CV38*('Summary, hourly ad costs'!C39/'Summary, hourly ad costs'!S39)/('Summary, hourly ad costs'!C38/'Summary, hourly ad costs'!S38)/(1-CF38)), 'Summary, PPI''s'!S39))</f>
        <v>69.479861296345689</v>
      </c>
      <c r="CW39" s="5">
        <f>IF(CW38=".", ".", IF('Summary, PPI''s'!T39=".",IF(OR('Summary, hourly ad costs'!T39=-9999,'Summary, hourly ad costs'!T39=0), ".", 'Predicted PPIs'!CW38*('Summary, hourly ad costs'!D39/'Summary, hourly ad costs'!T39)/('Summary, hourly ad costs'!D38/'Summary, hourly ad costs'!T38)/(1-CG38)), 'Summary, PPI''s'!T39))</f>
        <v>59.863320378651331</v>
      </c>
      <c r="CX39" s="5">
        <f>IF(CX38=".", ".", IF('Summary, PPI''s'!U39=".",IF(OR('Summary, hourly ad costs'!U39=-9999,'Summary, hourly ad costs'!U39=0), ".", 'Predicted PPIs'!CX38*('Summary, hourly ad costs'!E39/'Summary, hourly ad costs'!U39)/('Summary, hourly ad costs'!E38/'Summary, hourly ad costs'!U38)/(1-CH38)), 'Summary, PPI''s'!U39))</f>
        <v>30.388797224690098</v>
      </c>
      <c r="CY39" s="5">
        <f>IF(CY38=".", ".", IF('Summary, PPI''s'!V39=".",IF(OR('Summary, hourly ad costs'!V39=-9999,'Summary, hourly ad costs'!V39=0), ".", 'Predicted PPIs'!CY38*('Summary, hourly ad costs'!F39/'Summary, hourly ad costs'!V39)/('Summary, hourly ad costs'!F38/'Summary, hourly ad costs'!V38)/(1-CI38)), 'Summary, PPI''s'!V39))</f>
        <v>28.965361011573791</v>
      </c>
      <c r="CZ39" s="5">
        <f>IF(CZ38=".", ".", IF('Summary, PPI''s'!W39=".",IF(OR('Summary, hourly ad costs'!W39=-9999,'Summary, hourly ad costs'!W39=0), ".", 'Predicted PPIs'!CZ38*('Summary, hourly ad costs'!G39/'Summary, hourly ad costs'!W39)/('Summary, hourly ad costs'!G38/'Summary, hourly ad costs'!W38)/(1-CJ38)), 'Summary, PPI''s'!W39))</f>
        <v>33.299053391625492</v>
      </c>
      <c r="DA39" s="5">
        <f>IF(DA38=".", ".", IF('Summary, PPI''s'!X39=".",IF(OR('Summary, hourly ad costs'!X39=-9999,'Summary, hourly ad costs'!X39=0), ".", 'Predicted PPIs'!DA38*('Summary, hourly ad costs'!H39/'Summary, hourly ad costs'!X39)/('Summary, hourly ad costs'!H38/'Summary, hourly ad costs'!X38)/(1-CK38)), 'Summary, PPI''s'!X39))</f>
        <v>36.747999999999998</v>
      </c>
      <c r="DB39" s="5">
        <f>IF(DB38=".", ".", IF('Summary, PPI''s'!Y39=".",IF(OR('Summary, hourly ad costs'!Y39=-9999,'Summary, hourly ad costs'!Y39=0), ".", 'Predicted PPIs'!DB38*('Summary, hourly ad costs'!I39/'Summary, hourly ad costs'!Y39)/('Summary, hourly ad costs'!I38/'Summary, hourly ad costs'!Y38)/(1-CL38)), 'Summary, PPI''s'!Y39))</f>
        <v>46.259826792666544</v>
      </c>
      <c r="DC39" s="5">
        <f>IF(DC38=".", ".", IF('Summary, PPI''s'!Z39=".",IF(OR('Summary, hourly ad costs'!Z39=-9999,'Summary, hourly ad costs'!Z39=0), ".", 'Predicted PPIs'!DC38*('Summary, hourly ad costs'!J39/'Summary, hourly ad costs'!Z39)/('Summary, hourly ad costs'!J38/'Summary, hourly ad costs'!Z38)/(1-CM38)), 'Summary, PPI''s'!Z39))</f>
        <v>49.593656902845098</v>
      </c>
      <c r="DD39" s="5">
        <f>IF(DD38=".", ".", IF('Summary, PPI''s'!AA39=".",IF(OR('Summary, hourly ad costs'!AA39=-9999,'Summary, hourly ad costs'!AA39=0), ".", 'Predicted PPIs'!DD38*('Summary, hourly ad costs'!K39/'Summary, hourly ad costs'!AA39)/('Summary, hourly ad costs'!K38/'Summary, hourly ad costs'!AA38)/(1-CN38)), 'Summary, PPI''s'!AA39))</f>
        <v>28.38856670224629</v>
      </c>
      <c r="DE39" s="5" t="str">
        <f>IF(DE38=".", ".", IF('Summary, PPI''s'!AB39=".",IF(OR('Summary, hourly ad costs'!AB39=-9999,'Summary, hourly ad costs'!AB39=0), ".", 'Predicted PPIs'!DE38*('Summary, hourly ad costs'!L39/'Summary, hourly ad costs'!AB39)/('Summary, hourly ad costs'!L38/'Summary, hourly ad costs'!AB38)/(1-CO38)), 'Summary, PPI''s'!AB39))</f>
        <v>.</v>
      </c>
      <c r="DF39" s="5" t="str">
        <f>IF(DF38=".", ".", IF('Summary, PPI''s'!AC39=".",IF(OR('Summary, hourly ad costs'!AC39=-9999,'Summary, hourly ad costs'!AC39=0), ".", 'Predicted PPIs'!DF38*('Summary, hourly ad costs'!M39/'Summary, hourly ad costs'!AC39)/('Summary, hourly ad costs'!M38/'Summary, hourly ad costs'!AC38)/(1-CP38)), 'Summary, PPI''s'!AC39))</f>
        <v>.</v>
      </c>
      <c r="DG39" s="5" t="str">
        <f>IF(DG38=".", ".", IF('Summary, PPI''s'!AD39=".",IF(OR('Summary, hourly ad costs'!AD39=-9999,'Summary, hourly ad costs'!AD39=0), ".", 'Predicted PPIs'!DG38*('Summary, hourly ad costs'!N39/'Summary, hourly ad costs'!AD39)/('Summary, hourly ad costs'!N38/'Summary, hourly ad costs'!AD38)/(1-CQ38)), 'Summary, PPI''s'!AD39))</f>
        <v>.</v>
      </c>
      <c r="DH39" s="5">
        <f>IF(DH38=".", ".", IF('Summary, PPI''s'!AE39=".",IF(OR('Summary, hourly ad costs'!AE39=-9999,'Summary, hourly ad costs'!AE39=0), ".", 'Predicted PPIs'!DH38*('Summary, hourly ad costs'!O39/'Summary, hourly ad costs'!AE39)/('Summary, hourly ad costs'!O38/'Summary, hourly ad costs'!AE38)/(1-CR38)), 'Summary, PPI''s'!AE39))</f>
        <v>35.520566269840039</v>
      </c>
      <c r="DI39" s="5" t="str">
        <f>IF(DI38=".", ".", IF('Summary, PPI''s'!AF39=".",IF(OR('Summary, hourly ad costs'!AF39=-9999,'Summary, hourly ad costs'!AF39=0), ".", 'Predicted PPIs'!DI38*('Summary, hourly ad costs'!P39/'Summary, hourly ad costs'!AF39)/('Summary, hourly ad costs'!P38/'Summary, hourly ad costs'!AF38)/(1-CS38)), 'Summary, PPI''s'!AF39))</f>
        <v>.</v>
      </c>
      <c r="DK39" s="4">
        <v>29.591999999999999</v>
      </c>
      <c r="DM39" s="5">
        <f t="shared" si="65"/>
        <v>-1.5980474138343359E-2</v>
      </c>
      <c r="DN39" s="5">
        <f t="shared" si="66"/>
        <v>-1.5980474138343359E-2</v>
      </c>
      <c r="DO39" s="5">
        <f t="shared" si="67"/>
        <v>-3.9728715704441919E-2</v>
      </c>
      <c r="DP39" s="5">
        <f t="shared" si="68"/>
        <v>-1.3249912639392569E-3</v>
      </c>
      <c r="DQ39" s="5">
        <f t="shared" si="69"/>
        <v>2.1603823818805434E-3</v>
      </c>
      <c r="DR39" s="5">
        <f t="shared" si="70"/>
        <v>0.1274096888518943</v>
      </c>
      <c r="DS39" s="5">
        <f t="shared" si="71"/>
        <v>-1.9301000582427896E-2</v>
      </c>
      <c r="DT39" s="5">
        <f t="shared" si="72"/>
        <v>2.434004880342866E-2</v>
      </c>
      <c r="DU39" s="5">
        <f t="shared" si="73"/>
        <v>2.434004880342866E-2</v>
      </c>
      <c r="DV39" s="5">
        <f t="shared" si="74"/>
        <v>-1.8344576606476592E-2</v>
      </c>
      <c r="DW39" s="4">
        <f t="shared" si="78"/>
        <v>-0.2022638978290883</v>
      </c>
      <c r="DX39" s="4">
        <f t="shared" si="78"/>
        <v>0.19937500469442898</v>
      </c>
      <c r="DY39" s="4">
        <f t="shared" si="108"/>
        <v>-1.2009080336569916E-2</v>
      </c>
      <c r="DZ39" s="5">
        <f t="shared" si="92"/>
        <v>-1.9605422436584585E-2</v>
      </c>
      <c r="EA39" s="4">
        <f t="shared" si="109"/>
        <v>-6.889804005794282E-3</v>
      </c>
      <c r="EC39" s="1">
        <f t="shared" si="93"/>
        <v>69.479861296345689</v>
      </c>
      <c r="ED39" s="1">
        <f t="shared" si="94"/>
        <v>69.479861296345689</v>
      </c>
      <c r="EE39" s="1">
        <f t="shared" si="95"/>
        <v>59.863320378651331</v>
      </c>
      <c r="EF39" s="1">
        <f t="shared" si="96"/>
        <v>30.388797224690098</v>
      </c>
      <c r="EG39" s="1">
        <f t="shared" si="97"/>
        <v>28.965361011573791</v>
      </c>
      <c r="EH39" s="1">
        <f t="shared" si="98"/>
        <v>33.299053391625492</v>
      </c>
      <c r="EI39" s="1">
        <f t="shared" si="99"/>
        <v>36.747999999999998</v>
      </c>
      <c r="EJ39" s="1">
        <f t="shared" si="100"/>
        <v>46.259826792666544</v>
      </c>
      <c r="EK39" s="1">
        <f t="shared" si="101"/>
        <v>49.593656902845098</v>
      </c>
      <c r="EL39" s="1">
        <f t="shared" si="102"/>
        <v>28.38856670224629</v>
      </c>
      <c r="EM39" s="1">
        <f t="shared" si="103"/>
        <v>56.108725107354125</v>
      </c>
      <c r="EN39" s="1">
        <f t="shared" si="104"/>
        <v>43.900553056678881</v>
      </c>
      <c r="EO39" s="1">
        <f t="shared" si="105"/>
        <v>45.418259799760882</v>
      </c>
      <c r="EP39" s="1">
        <f t="shared" si="106"/>
        <v>35.520566269840039</v>
      </c>
      <c r="EQ39" s="1">
        <f t="shared" si="107"/>
        <v>39.55246932956485</v>
      </c>
      <c r="ES39" s="1">
        <f>IF(EF$26=".", 0, 'Summary, PPI''s'!E39)+IF(EG$26=".", 0, 'Summary, PPI''s'!F39)+IF(EH$26=".", 0, 'Summary, PPI''s'!G39)+IF(EI$26=".", 0, 'Summary, PPI''s'!H39)+IF(EJ$26=".", 0, 'Summary, PPI''s'!I39)+IF(EK$26=".", 0, 'Summary, PPI''s'!J39)+IF(EL$26=".", 0, 'Summary, PPI''s'!K39)+IF(EM$26=".", 0, 'Summary, PPI''s'!L39)+IF(EN$26=".", 0, 'Summary, PPI''s'!M39)+IF(EC$26=".", 0, 'Summary, PPI''s'!B39)+IF(ED$26=".", 0, 'Summary, PPI''s'!C39)+IF(EE$26=".", 0, 'Summary, PPI''s'!D39)+IF(EO$26=".", 0, 'Summary, PPI''s'!N39)+IF(EP$26=".", 0, 'Summary, PPI''s'!O39)+IF(EQ$26=".", 0, 'Summary, PPI''s'!P39)</f>
        <v>90107558.786300212</v>
      </c>
      <c r="ET39" s="1">
        <f>'Summary, hourly ad costs'!E39+'Summary, hourly ad costs'!F39+'Summary, hourly ad costs'!H39+'Summary, hourly ad costs'!I39+'Summary, hourly ad costs'!J39+'Summary, hourly ad costs'!K39+'Summary, hourly ad costs'!L39+'Summary, hourly ad costs'!M39+'Summary, hourly ad costs'!B39</f>
        <v>48559859.678954765</v>
      </c>
      <c r="EV39" s="13">
        <f>EV38*IF(EF$26=".", 1, (EF39/EF38)^(('Summary, PPI''s'!$E39+'Summary, PPI''s'!$E38)/('Predicted PPIs'!ES39+'Predicted PPIs'!ES38)))*IF(EG$26=".", 1, (EG39/EG38)^(('Summary, PPI''s'!$F39+'Summary, PPI''s'!$F38)/('Predicted PPIs'!ES39+'Predicted PPIs'!ES38)))*IF(EH$26=".", 1, (EH39/EH38)^(('Summary, PPI''s'!$G39+'Summary, PPI''s'!$G38)/('Predicted PPIs'!ES39+'Predicted PPIs'!ES38)))*IF(EI$26=".", 1, (EI39/EI38)^(('Summary, PPI''s'!$H39+'Summary, PPI''s'!$H38)/('Predicted PPIs'!ES39+'Predicted PPIs'!ES38)))*IF(EJ$26=".", 1, (EJ39/EJ38)^(('Summary, PPI''s'!$I39+'Summary, PPI''s'!$I38)/('Predicted PPIs'!ES39+'Predicted PPIs'!ES38)))*IF(EK$26=".", 1, (EK39/EK38)^(('Summary, PPI''s'!$J39+'Summary, PPI''s'!$J38)/('Predicted PPIs'!ES39+'Predicted PPIs'!ES38)))*IF(EL$26=".", 1, (EL39/EL38)^(('Summary, PPI''s'!$K39+'Summary, PPI''s'!$K38)/('Predicted PPIs'!ES39+'Predicted PPIs'!ES38)))*IF(EM$26=".", 1, (EM39/EM38)^(('Summary, PPI''s'!$L39+'Summary, PPI''s'!$L38)/('Predicted PPIs'!ES39+'Predicted PPIs'!ES38)))*IF(EN$26=".", 1, (EN39/EN38)^(('Summary, PPI''s'!$M39+'Summary, PPI''s'!$M38)/('Predicted PPIs'!ES39+'Predicted PPIs'!ES38)))*IF(EC$26=".", 1, (EC39/EC38)^(('Summary, PPI''s'!$B39+'Summary, PPI''s'!$B38)/('Predicted PPIs'!ES39+'Predicted PPIs'!ES38)))*IF(ED$26=".", 1, (ED39/ED38)^(('Summary, PPI''s'!$C39+'Summary, PPI''s'!$C38)/('Predicted PPIs'!ES39+'Predicted PPIs'!ES38)))*IF(EE$26=".", 1, (EE39/EE38)^(('Summary, PPI''s'!$D39+'Summary, PPI''s'!$D38)/('Predicted PPIs'!ES39+'Predicted PPIs'!ES38)))*IF(EO$26=".", 1, (EO39/EO38)^(('Summary, PPI''s'!$N39+'Summary, PPI''s'!$N38)/('Predicted PPIs'!ES39+'Predicted PPIs'!ES38)))*IF(EP$26=".", 1, (EP39/EP38)^(('Summary, PPI''s'!$O39+'Summary, PPI''s'!$O38)/('Predicted PPIs'!ES39+'Predicted PPIs'!ES38)))*IF(EQ$26=".", 1, (EQ39/EQ38)^(('Summary, PPI''s'!$P39+'Summary, PPI''s'!$P38)/('Predicted PPIs'!ES39+'Predicted PPIs'!ES38)))</f>
        <v>47.331185449748396</v>
      </c>
      <c r="EW39" s="13">
        <f>EW38*IF(EF$26=".", 1, (EF39/EF38)^(('Summary, PPI''s'!$E39+'Summary, PPI''s'!$E38)/('Predicted PPIs'!ET39+'Predicted PPIs'!ET38)))*IF(EG$26=".", 1, (EG39/EG38)^(('Summary, PPI''s'!$F39+'Summary, PPI''s'!$F38)/('Predicted PPIs'!ET39+'Predicted PPIs'!ET38)))*IF(EH$26=".", 1, (EH39/EH38)^(('Summary, PPI''s'!$G39+'Summary, PPI''s'!$G38)/('Predicted PPIs'!ET39+'Predicted PPIs'!ET38)))*IF(EK$26=".", 1, (EK39/EK38)^(('Summary, PPI''s'!$J39+'Summary, PPI''s'!$J38)/('Predicted PPIs'!ET39+'Predicted PPIs'!ET38)))*IF(EL$26=".", 1, (EL39/EL38)^(('Summary, PPI''s'!$K39+'Summary, PPI''s'!$K38)/('Predicted PPIs'!ET39+'Predicted PPIs'!ET38)))*IF(EM$26=".", 1, (EM39/EM38)^(('Summary, PPI''s'!$L39+'Summary, PPI''s'!$L38)/('Predicted PPIs'!ET39+'Predicted PPIs'!ET38)))*IF(EN$26=".", 1, (EN39/EN38)^(('Summary, PPI''s'!$M39+'Summary, PPI''s'!$M38)/('Predicted PPIs'!ET39+'Predicted PPIs'!ET38)))*IF(EC$26=".", 1, (EC39/EC38)^(('Summary, PPI''s'!$B39+'Summary, PPI''s'!$B38)/('Predicted PPIs'!ET39+'Predicted PPIs'!ET38)))</f>
        <v>47.954418824906249</v>
      </c>
      <c r="EY39" s="2"/>
    </row>
    <row r="40" spans="1:155" x14ac:dyDescent="0.3">
      <c r="A40" s="4">
        <v>1983</v>
      </c>
      <c r="B40" s="10">
        <f>IF(B39=".", ".", IF('Summary, PPI''s'!R40=".",IF(OR('Summary, hourly ad costs'!R40=-9999,'Summary, hourly ad costs'!R40=0), ".", 'Predicted PPIs'!B39*('Summary, hourly ad costs'!B40/'Summary, hourly ad costs'!R40)/('Summary, hourly ad costs'!B39/'Summary, hourly ad costs'!R39)), 'Summary, PPI''s'!R40))</f>
        <v>65.292077887436648</v>
      </c>
      <c r="C40" s="10">
        <f>IF(C39=".", ".", IF('Summary, PPI''s'!S40=".",IF(OR('Summary, hourly ad costs'!S40=-9999,'Summary, hourly ad costs'!S40=0), ".", 'Predicted PPIs'!C39*('Summary, hourly ad costs'!C40/'Summary, hourly ad costs'!S40)/('Summary, hourly ad costs'!C39/'Summary, hourly ad costs'!S39)), 'Summary, PPI''s'!S40))</f>
        <v>65.292077887436648</v>
      </c>
      <c r="D40" s="10">
        <f>IF(D39=".", ".", IF('Summary, PPI''s'!T40=".",IF(OR('Summary, hourly ad costs'!T40=-9999,'Summary, hourly ad costs'!T40=0), ".", 'Predicted PPIs'!D39*('Summary, hourly ad costs'!D40/'Summary, hourly ad costs'!T40)/('Summary, hourly ad costs'!D39/'Summary, hourly ad costs'!T39)), 'Summary, PPI''s'!T40))</f>
        <v>57.646391006467837</v>
      </c>
      <c r="E40" s="10">
        <f>IF(E39=".", ".", IF('Summary, PPI''s'!U40=".",IF(OR('Summary, hourly ad costs'!U40=-9999,'Summary, hourly ad costs'!U40=0), ".", 'Predicted PPIs'!E39*('Summary, hourly ad costs'!E40/'Summary, hourly ad costs'!U40)/('Summary, hourly ad costs'!E39/'Summary, hourly ad costs'!U39)), 'Summary, PPI''s'!U40))</f>
        <v>28.138088589922582</v>
      </c>
      <c r="F40" s="10">
        <f>IF(F39=".", ".", IF('Summary, PPI''s'!V40=".",IF(OR('Summary, hourly ad costs'!V40=-9999,'Summary, hourly ad costs'!V40=0), ".", 'Predicted PPIs'!F39*('Summary, hourly ad costs'!F40/'Summary, hourly ad costs'!V40)/('Summary, hourly ad costs'!F39/'Summary, hourly ad costs'!V39)), 'Summary, PPI''s'!V40))</f>
        <v>26.726800939083152</v>
      </c>
      <c r="G40" s="10">
        <f>IF(G39=".", ".", IF('Summary, PPI''s'!W40=".",IF(OR('Summary, hourly ad costs'!W40=-9999,'Summary, hourly ad costs'!W40=0), ".", 'Predicted PPIs'!G39*('Summary, hourly ad costs'!G40/'Summary, hourly ad costs'!W40)/('Summary, hourly ad costs'!G39/'Summary, hourly ad costs'!W39)), 'Summary, PPI''s'!W40))</f>
        <v>27.312118523783013</v>
      </c>
      <c r="H40" s="10">
        <f>IF(H39=".", ".", IF('Summary, PPI''s'!X40=".",IF(OR('Summary, hourly ad costs'!X40=-9999,'Summary, hourly ad costs'!X40=0), ".", 'Predicted PPIs'!H39*('Summary, hourly ad costs'!H40/'Summary, hourly ad costs'!X40)/('Summary, hourly ad costs'!H39/'Summary, hourly ad costs'!X39)), 'Summary, PPI''s'!X40))</f>
        <v>34.65</v>
      </c>
      <c r="I40" s="10">
        <f>IF(I39=".", ".", IF('Summary, PPI''s'!Y40=".",IF(OR('Summary, hourly ad costs'!Y40=-9999,'Summary, hourly ad costs'!Y40=0), ".", 'Predicted PPIs'!I39*('Summary, hourly ad costs'!I40/'Summary, hourly ad costs'!Y40)/('Summary, hourly ad costs'!I39/'Summary, hourly ad costs'!Y39)), 'Summary, PPI''s'!Y40))</f>
        <v>41.760444536551923</v>
      </c>
      <c r="J40" s="10">
        <f>IF(J39=".", ".", IF('Summary, PPI''s'!Z40=".",IF(OR('Summary, hourly ad costs'!Z40=-9999,'Summary, hourly ad costs'!Z40=0), ".", 'Predicted PPIs'!J39*('Summary, hourly ad costs'!J40/'Summary, hourly ad costs'!Z40)/('Summary, hourly ad costs'!J39/'Summary, hourly ad costs'!Z39)), 'Summary, PPI''s'!Z40))</f>
        <v>44.770015411825256</v>
      </c>
      <c r="K40" s="10">
        <f>IF(K39=".", ".", IF('Summary, PPI''s'!AA40=".",IF(OR('Summary, hourly ad costs'!AA40=-9999,'Summary, hourly ad costs'!AA40=0), ".", 'Predicted PPIs'!K39*('Summary, hourly ad costs'!K40/'Summary, hourly ad costs'!AA40)/('Summary, hourly ad costs'!K39/'Summary, hourly ad costs'!AA39)), 'Summary, PPI''s'!AA40))</f>
        <v>28.421126880882763</v>
      </c>
      <c r="L40" s="10" t="str">
        <f>IF(L39=".", ".", IF('Summary, PPI''s'!AB40=".",IF(OR('Summary, hourly ad costs'!AB40=-9999,'Summary, hourly ad costs'!AB40=0), ".", 'Predicted PPIs'!L39*('Summary, hourly ad costs'!L40/'Summary, hourly ad costs'!AB40)/('Summary, hourly ad costs'!L39/'Summary, hourly ad costs'!AB39)), 'Summary, PPI''s'!AB40))</f>
        <v>.</v>
      </c>
      <c r="M40" s="10" t="str">
        <f>IF(M39=".", ".", IF('Summary, PPI''s'!AC40=".",IF(OR('Summary, hourly ad costs'!AC40=-9999,'Summary, hourly ad costs'!AC40=0), ".", 'Predicted PPIs'!M39*('Summary, hourly ad costs'!M40/'Summary, hourly ad costs'!AC40)/('Summary, hourly ad costs'!M39/'Summary, hourly ad costs'!AC39)), 'Summary, PPI''s'!AC40))</f>
        <v>.</v>
      </c>
      <c r="N40" s="10" t="str">
        <f>IF(N39=".", ".", IF('Summary, PPI''s'!AD40=".",IF(OR('Summary, hourly ad costs'!AD40=-9999,'Summary, hourly ad costs'!AD40=0), ".", 'Predicted PPIs'!N39*('Summary, hourly ad costs'!N40/'Summary, hourly ad costs'!AD40)/('Summary, hourly ad costs'!N39/'Summary, hourly ad costs'!AD39)), 'Summary, PPI''s'!AD40))</f>
        <v>.</v>
      </c>
      <c r="O40" s="10">
        <f>IF(O39=".", ".", IF('Summary, PPI''s'!AE40=".",IF(OR('Summary, hourly ad costs'!AE40=-9999,'Summary, hourly ad costs'!AE40=0), ".", 'Predicted PPIs'!O39*('Summary, hourly ad costs'!O40/'Summary, hourly ad costs'!AE40)/('Summary, hourly ad costs'!O39/'Summary, hourly ad costs'!AE39)), 'Summary, PPI''s'!AE40))</f>
        <v>33.503042139138486</v>
      </c>
      <c r="P40" s="10" t="str">
        <f>IF(P39=".", ".", IF('Summary, PPI''s'!AF40=".",IF(OR('Summary, hourly ad costs'!AF40=-9999,'Summary, hourly ad costs'!AF40=0), ".", 'Predicted PPIs'!P39*('Summary, hourly ad costs'!P40/'Summary, hourly ad costs'!AF40)/('Summary, hourly ad costs'!P39/'Summary, hourly ad costs'!AF39)), 'Summary, PPI''s'!AF40))</f>
        <v>.</v>
      </c>
      <c r="R40" s="1">
        <f>IF(E$26=".", 0, 'Summary, PPI''s'!E40)+IF(F$26=".", 0, 'Summary, PPI''s'!F40)+IF(G$26=".", 0, 'Summary, PPI''s'!G40)+IF(H$26=".", 0, 'Summary, PPI''s'!H40)+IF(I$26=".", 0, 'Summary, PPI''s'!I40)+IF(J$26=".", 0, 'Summary, PPI''s'!J40)+IF(K$26=".", 0, 'Summary, PPI''s'!K40)+IF(L$26=".", 0, 'Summary, PPI''s'!L40)+IF(M$26=".", 0, 'Summary, PPI''s'!M40)+IF(B$26=".", 0, 'Summary, PPI''s'!B40)+IF(C$26=".", 0, 'Summary, PPI''s'!C40)+IF(D$26=".", 0, 'Summary, PPI''s'!D40)+IF(N$26=".", 0, 'Summary, PPI''s'!N40)+IF(O$26=".", 0, 'Summary, PPI''s'!O40)+IF(P$26=".", 0, 'Summary, PPI''s'!P40)</f>
        <v>78132495.662461489</v>
      </c>
      <c r="S40" s="1">
        <f>IF(E$36=".", 0, 'Summary, PPI''s'!E40)+IF(F$36=".", 0, 'Summary, PPI''s'!F40)+IF(G$36=".", 0, 'Summary, PPI''s'!G40)+IF(H$36=".", 0, 'Summary, PPI''s'!H40)+IF(I$36=".", 0, 'Summary, PPI''s'!I40)+IF(J$36=".", 0, 'Summary, PPI''s'!J40)+IF(K$36=".", 0, 'Summary, PPI''s'!K40)+IF(L$36=".", 0, 'Summary, PPI''s'!L40)+IF(M$36=".", 0, 'Summary, PPI''s'!M40)+IF(B$36=".", 0, 'Summary, PPI''s'!B40)+IF(C$36=".", 0, 'Summary, PPI''s'!C40)+IF(D$36=".", 0, 'Summary, PPI''s'!D40)+IF(N$36=".", 0, 'Summary, PPI''s'!N40)+IF(O$36=".", 0, 'Summary, PPI''s'!O40)+IF(P$36=".", 0, 'Summary, PPI''s'!P40)</f>
        <v>78132495.662461489</v>
      </c>
      <c r="T40" s="1">
        <f>IF(E$46=".", 0, 'Summary, PPI''s'!E40)+IF(F$46=".", 0, 'Summary, PPI''s'!F40)+IF(G$46=".", 0, 'Summary, PPI''s'!G40)+IF(H$46=".", 0, 'Summary, PPI''s'!H40)+IF(I$46=".", 0, 'Summary, PPI''s'!I40)+IF(J$46=".", 0, 'Summary, PPI''s'!J40)+IF(K$46=".", 0, 'Summary, PPI''s'!K40)+IF(L$46=".", 0, 'Summary, PPI''s'!L40)+IF(M$46=".", 0, 'Summary, PPI''s'!M40)+IF(B$46=".", 0, 'Summary, PPI''s'!B40)+IF(C$46=".", 0, 'Summary, PPI''s'!C40)+IF(D$46=".", 0, 'Summary, PPI''s'!D40)+IF(N$46=".", 0, 'Summary, PPI''s'!N40)+IF(O$46=".", 0, 'Summary, PPI''s'!O40)+IF(P$46=".", 0, 'Summary, PPI''s'!P40)</f>
        <v>56331012.522812381</v>
      </c>
      <c r="U40" s="1">
        <f>IF(E$60=".", 0, 'Summary, PPI''s'!E40)+IF(F$60=".", 0, 'Summary, PPI''s'!F40)+IF(G$60=".", 0, 'Summary, PPI''s'!G40)+IF(H$60=".", 0, 'Summary, PPI''s'!H40)+IF(I$60=".", 0, 'Summary, PPI''s'!I40)+IF(J$60=".", 0, 'Summary, PPI''s'!J40)+IF(K$60=".", 0, 'Summary, PPI''s'!K40)+IF(L$60=".", 0, 'Summary, PPI''s'!L40)+IF(M$60=".", 0, 'Summary, PPI''s'!M40)+IF(B$60=".", 0, 'Summary, PPI''s'!B40)+IF(C$60=".", 0, 'Summary, PPI''s'!C40)+IF(D$60=".", 0, 'Summary, PPI''s'!D40)+IF(N$60=".", 0, 'Summary, PPI''s'!N40)+IF(O$60=".", 0, 'Summary, PPI''s'!O40)+IF(P$60=".", 0, 'Summary, PPI''s'!P40)</f>
        <v>50667175.731650852</v>
      </c>
      <c r="V40" s="1">
        <f>IF(E$73=".", 0, 'Summary, PPI''s'!E40)+IF(F$73=".", 0, 'Summary, PPI''s'!F40)+IF(G$73=".", 0, 'Summary, PPI''s'!G40)+IF(H$73=".", 0, 'Summary, PPI''s'!H40)+IF(I$73=".", 0, 'Summary, PPI''s'!I40)+IF(J$73=".", 0, 'Summary, PPI''s'!J40)+IF(K$73=".", 0, 'Summary, PPI''s'!K40)+IF(L$73=".", 0, 'Summary, PPI''s'!L40)+IF(M$73=".", 0, 'Summary, PPI''s'!M40)+IF(B$73=".", 0, 'Summary, PPI''s'!B40)+IF(C$73=".", 0, 'Summary, PPI''s'!C40)+IF(D$73=".", 0, 'Summary, PPI''s'!D40)+IF(N$73=".", 0, 'Summary, PPI''s'!N40)+IF(O$73=".", 0, 'Summary, PPI''s'!O40)+IF(P$73=".", 0, 'Summary, PPI''s'!P40)</f>
        <v>41478551.268969879</v>
      </c>
      <c r="W40" s="1">
        <f>IF(E$94=".",0,'Summary, PPI''s'!E40)+IF(F$94=".",0,'Summary, PPI''s'!F40)+IF(G$94=".",0,'Summary, PPI''s'!G40)+IF(H$94=".",0,'Summary, PPI''s'!H40)+IF(I$94=".",0,'Summary, PPI''s'!I40)+IF(J$94=".",0,'Summary, PPI''s'!J40)+IF(K$94=".",0,'Summary, PPI''s'!K40)+IF(L$94=".",0,'Summary, PPI''s'!L40)+IF(M$94=".",0,'Summary, PPI''s'!M40)+IF(B$94=".",0,'Summary, PPI''s'!B40)+IF(C$94=".",0,'Summary, PPI''s'!C40)+IF(D$94=".",0,'Summary, PPI''s'!D40)+IF(N$94=".",0,'Summary, PPI''s'!N40)+IF(O$94=".",0,'Summary, PPI''s'!O40)+IF(P$94=".",0,'Summary, PPI''s'!P40)</f>
        <v>29707868.017518222</v>
      </c>
      <c r="X40" s="1">
        <f>IF(E$123=".", 0, 'Summary, PPI''s'!E40)+IF(F$123=".", 0, 'Summary, PPI''s'!F40)+IF(G$123=".", 0, 'Summary, PPI''s'!G40)+IF(H$123=".", 0, 'Summary, PPI''s'!H40)+IF(I$123=".", 0, 'Summary, PPI''s'!I40)+IF(J$123=".", 0, 'Summary, PPI''s'!J40)+IF(K$123=".", 0, 'Summary, PPI''s'!K40)+IF(L$123=".", 0, 'Summary, PPI''s'!L40)+IF(M$123=".", 0, 'Summary, PPI''s'!M40)+IF(B$123=".", 0, 'Summary, PPI''s'!B40)+IF(C$123=".", 0, 'Summary, PPI''s'!C40)+IF(D$123=".", 0, 'Summary, PPI''s'!D40)+IF(N$123=".", 0, 'Summary, PPI''s'!N40)+IF(O$123=".", 0, 'Summary, PPI''s'!O40)+IF(P$123=".", 0, 'Summary, PPI''s'!P40)</f>
        <v>25497255.045433007</v>
      </c>
      <c r="Z40" s="4" t="e">
        <f>Z39*IF(E$26=".", 1, (E40/E39)^(('Summary, PPI''s'!$E40+'Summary, PPI''s'!$E39)/('Predicted PPIs'!R40+'Predicted PPIs'!R39)))*IF(F$26=".", 1, (F40/F39)^(('Summary, PPI''s'!$F40+'Summary, PPI''s'!$F39)/('Predicted PPIs'!R40+'Predicted PPIs'!R39)))*IF(G$26=".", 1, (G40/G39)^(('Summary, PPI''s'!$G40+'Summary, PPI''s'!$G39)/('Predicted PPIs'!R40+'Predicted PPIs'!R39)))*IF(H$26=".", 1, (H40/H39)^(('Summary, PPI''s'!$H40+'Summary, PPI''s'!$H39)/('Predicted PPIs'!R40+'Predicted PPIs'!R39)))*IF(I$26=".", 1, (I40/I39)^(('Summary, PPI''s'!$I40+'Summary, PPI''s'!$I39)/('Predicted PPIs'!R40+'Predicted PPIs'!R39)))*IF(J$26=".", 1, (J40/J39)^(('Summary, PPI''s'!$J40+'Summary, PPI''s'!$J39)/('Predicted PPIs'!R40+'Predicted PPIs'!R39)))*IF(K$26=".", 1, (K40/K39)^(('Summary, PPI''s'!$K40+'Summary, PPI''s'!$K39)/('Predicted PPIs'!R40+'Predicted PPIs'!R39)))*IF(L$26=".", 1, (L40/L39)^(('Summary, PPI''s'!$L40+'Summary, PPI''s'!$L39)/('Predicted PPIs'!R40+'Predicted PPIs'!R39)))*IF(M$26=".", 1, (M40/M39)^(('Summary, PPI''s'!$M40+'Summary, PPI''s'!$M39)/('Predicted PPIs'!R40+'Predicted PPIs'!R39)))*IF(B$26=".", 1, (B40/B39)^(('Summary, PPI''s'!$B40+'Summary, PPI''s'!$B39)/('Predicted PPIs'!R40+'Predicted PPIs'!R39)))*IF(C$26=".", 1, (C40/C39)^(('Summary, PPI''s'!$C40+'Summary, PPI''s'!$C39)/('Predicted PPIs'!R40+'Predicted PPIs'!R39)))*IF(D$26=".", 1, (D40/D39)^(('Summary, PPI''s'!$D40+'Summary, PPI''s'!$D39)/('Predicted PPIs'!R40+'Predicted PPIs'!R39)))*IF(N$26=".", 1, (N40/N39)^(('Summary, PPI''s'!$N40+'Summary, PPI''s'!$N39)/('Predicted PPIs'!R40+'Predicted PPIs'!R39)))*IF(O$26=".", 1, (O40/O39)^(('Summary, PPI''s'!$O40+'Summary, PPI''s'!$O39)/('Predicted PPIs'!R40+'Predicted PPIs'!R39)))*IF(P$26=".", 1, (P40/P39)^(('Summary, PPI''s'!$P40+'Summary, PPI''s'!$P39)/('Predicted PPIs'!R40+'Predicted PPIs'!R39)))</f>
        <v>#VALUE!</v>
      </c>
      <c r="AA40" s="4" t="e">
        <f>AA39*IF(E$36=".", 1, (E40/E39)^(('Summary, PPI''s'!$E40+'Summary, PPI''s'!$E39)/('Predicted PPIs'!S40+'Predicted PPIs'!S39)))*IF(F$36=".", 1, (F40/F39)^(('Summary, PPI''s'!$F40+'Summary, PPI''s'!$F39)/('Predicted PPIs'!S40+'Predicted PPIs'!S39)))*IF(G$36=".", 1, (G40/G39)^(('Summary, PPI''s'!$G40+'Summary, PPI''s'!$G39)/('Predicted PPIs'!S40+'Predicted PPIs'!S39)))*IF(H$36=".", 1, (H40/H39)^(('Summary, PPI''s'!$H40+'Summary, PPI''s'!$H39)/('Predicted PPIs'!S40+'Predicted PPIs'!S39)))*IF(I$36=".", 1, (I40/I39)^(('Summary, PPI''s'!$I40+'Summary, PPI''s'!$I39)/('Predicted PPIs'!S40+'Predicted PPIs'!S39)))*IF(J$36=".", 1, (J40/J39)^(('Summary, PPI''s'!$J40+'Summary, PPI''s'!$J39)/('Predicted PPIs'!S40+'Predicted PPIs'!S39)))*IF(K$36=".", 1, (K40/K39)^(('Summary, PPI''s'!$K40+'Summary, PPI''s'!$K39)/('Predicted PPIs'!S40+'Predicted PPIs'!S39)))*IF(L$36=".", 1, (L40/L39)^(('Summary, PPI''s'!$L40+'Summary, PPI''s'!$L39)/('Predicted PPIs'!S40+'Predicted PPIs'!S39)))*IF(M$36=".", 1, (M40/M39)^(('Summary, PPI''s'!$M40+'Summary, PPI''s'!$M39)/('Predicted PPIs'!S40+'Predicted PPIs'!S39)))*IF(B$36=".", 1, (B40/B39)^(('Summary, PPI''s'!$B40+'Summary, PPI''s'!$B39)/('Predicted PPIs'!S40+'Predicted PPIs'!S39)))*IF(C$36=".", 1, (C40/C39)^(('Summary, PPI''s'!$C40+'Summary, PPI''s'!$C39)/('Predicted PPIs'!S40+'Predicted PPIs'!S39)))*IF(D$36=".", 1, (D40/D39)^(('Summary, PPI''s'!$D40+'Summary, PPI''s'!$D39)/('Predicted PPIs'!S40+'Predicted PPIs'!S39)))*IF(N$36=".", 1, (N40/N39)^(('Summary, PPI''s'!$N40+'Summary, PPI''s'!$N39)/('Predicted PPIs'!S40+'Predicted PPIs'!S39)))*IF(O$36=".", 1, (O40/O39)^(('Summary, PPI''s'!$O40+'Summary, PPI''s'!$O39)/('Predicted PPIs'!S40+'Predicted PPIs'!S39)))*IF(P$36=".", 1, (P40/P39)^(('Summary, PPI''s'!$P40+'Summary, PPI''s'!$P39)/('Predicted PPIs'!S40+'Predicted PPIs'!S39)))</f>
        <v>#VALUE!</v>
      </c>
      <c r="AB40" s="4">
        <f>AB39*IF(E$46=".", 1, (E40/E39)^(('Summary, PPI''s'!$E40+'Summary, PPI''s'!$E39)/('Predicted PPIs'!T40+'Predicted PPIs'!T39)))*IF(F$46=".", 1, (F40/F39)^(('Summary, PPI''s'!$F40+'Summary, PPI''s'!$F39)/('Predicted PPIs'!T40+'Predicted PPIs'!T39)))*IF(G$46=".", 1, (G40/G39)^(('Summary, PPI''s'!$G40+'Summary, PPI''s'!$G39)/('Predicted PPIs'!T40+'Predicted PPIs'!T39)))*IF(H$46=".", 1, (H40/H39)^(('Summary, PPI''s'!$H40+'Summary, PPI''s'!$H39)/('Predicted PPIs'!T40+'Predicted PPIs'!T39)))*IF(I$46=".", 1, (I40/I39)^(('Summary, PPI''s'!$I40+'Summary, PPI''s'!$I39)/('Predicted PPIs'!T40+'Predicted PPIs'!T39)))*IF(J$46=".", 1, (J40/J39)^(('Summary, PPI''s'!$J40+'Summary, PPI''s'!$J39)/('Predicted PPIs'!T40+'Predicted PPIs'!T39)))*IF(K$46=".", 1, (K40/K39)^(('Summary, PPI''s'!$K40+'Summary, PPI''s'!$K39)/('Predicted PPIs'!T40+'Predicted PPIs'!T39)))*IF(L$46=".", 1, (L40/L39)^(('Summary, PPI''s'!$L40+'Summary, PPI''s'!$L39)/('Predicted PPIs'!T40+'Predicted PPIs'!T39)))*IF(M$46=".", 1, (M40/M39)^(('Summary, PPI''s'!$M40+'Summary, PPI''s'!$M39)/('Predicted PPIs'!T40+'Predicted PPIs'!T39)))*IF(B$46=".", 1, (B40/B39)^(('Summary, PPI''s'!$B40+'Summary, PPI''s'!$B39)/('Predicted PPIs'!T40+'Predicted PPIs'!T39)))*IF(C$46=".", 1, (C40/C39)^(('Summary, PPI''s'!$C40+'Summary, PPI''s'!$C39)/('Predicted PPIs'!T40+'Predicted PPIs'!T39)))*IF(D$46=".", 1, (D40/D39)^(('Summary, PPI''s'!$D40+'Summary, PPI''s'!$D39)/('Predicted PPIs'!T40+'Predicted PPIs'!T39)))*IF(N$46=".", 1, (N40/N39)^(('Summary, PPI''s'!$N40+'Summary, PPI''s'!$N39)/('Predicted PPIs'!T40+'Predicted PPIs'!T39)))*IF(O$46=".", 1, (O40/O39)^(('Summary, PPI''s'!$O40+'Summary, PPI''s'!$O39)/('Predicted PPIs'!T40+'Predicted PPIs'!T39)))*IF(P$46=".", 1, (P40/P39)^(('Summary, PPI''s'!$P40+'Summary, PPI''s'!$P39)/('Predicted PPIs'!T40+'Predicted PPIs'!T39)))</f>
        <v>35.382084031239991</v>
      </c>
      <c r="AC40" s="4">
        <f>AC39*IF(E$60=".",1,(E40/E39)^(('Summary, PPI''s'!$E40+'Summary, PPI''s'!$E39)/('Predicted PPIs'!U40+'Predicted PPIs'!U39)))*IF(F$60=".",1,(F40/F39)^(('Summary, PPI''s'!$F40+'Summary, PPI''s'!$F39)/('Predicted PPIs'!U40+'Predicted PPIs'!U39)))*IF(G$60=".",1,(G40/G39)^(('Summary, PPI''s'!$G40+'Summary, PPI''s'!$G39)/('Predicted PPIs'!U40+'Predicted PPIs'!U39)))*IF(H$60=".",1,(H40/H39)^(('Summary, PPI''s'!$H40+'Summary, PPI''s'!$H39)/('Predicted PPIs'!U40+'Predicted PPIs'!U39)))*IF(I$60=".",1,(I40/I39)^(('Summary, PPI''s'!$I40+'Summary, PPI''s'!$I39)/('Predicted PPIs'!U40+'Predicted PPIs'!U39)))*IF(J$60=".",1,(J40/J39)^(('Summary, PPI''s'!$J40+'Summary, PPI''s'!$J39)/('Predicted PPIs'!U40+'Predicted PPIs'!U39)))*IF(K$60=".",1,(K40/K39)^(('Summary, PPI''s'!$K40+'Summary, PPI''s'!$K39)/('Predicted PPIs'!U40+'Predicted PPIs'!U39)))*IF(L$60=".",1,(L40/L39)^(('Summary, PPI''s'!$L40+'Summary, PPI''s'!$L39)/('Predicted PPIs'!U40+'Predicted PPIs'!U39)))*IF(M$60=".",1,(M40/M39)^(('Summary, PPI''s'!$M40+'Summary, PPI''s'!$M39)/('Predicted PPIs'!U40+'Predicted PPIs'!U39)))*IF(B$60=".",1,(B40/B39)^(('Summary, PPI''s'!$B40+'Summary, PPI''s'!$B39)/('Predicted PPIs'!U40+'Predicted PPIs'!U39)))*IF(C$60=".",1,(C40/C39)^(('Summary, PPI''s'!$C40+'Summary, PPI''s'!$C39)/('Predicted PPIs'!U40+'Predicted PPIs'!U39)))*IF(D$60=".",1,(D40/D39)^(('Summary, PPI''s'!$D40+'Summary, PPI''s'!$D39)/('Predicted PPIs'!U40+'Predicted PPIs'!U39)))*IF(N$60=".",1,(N40/N39)^(('Summary, PPI''s'!$N40+'Summary, PPI''s'!$N39)/('Predicted PPIs'!U40+'Predicted PPIs'!U39)))*IF(O$60=".",1,(O40/O39)^(('Summary, PPI''s'!$O40+'Summary, PPI''s'!$O39)/('Predicted PPIs'!U40+'Predicted PPIs'!U39)))*IF(P$60=".",1,(P40/P39)^(('Summary, PPI''s'!$P40+'Summary, PPI''s'!$P39)/('Predicted PPIs'!U40+'Predicted PPIs'!U39)))</f>
        <v>38.109002849968363</v>
      </c>
      <c r="AD40" s="4">
        <f>AD39*IF(E$73=".", 1, (E40/E39)^(('Summary, PPI''s'!$E40+'Summary, PPI''s'!$E39)/('Predicted PPIs'!V40+'Predicted PPIs'!V39)))*IF(F$73=".", 1, (F40/F39)^(('Summary, PPI''s'!$F40+'Summary, PPI''s'!$F39)/('Predicted PPIs'!V40+'Predicted PPIs'!V39)))*IF(G$73=".", 1, (G40/G39)^(('Summary, PPI''s'!$G40+'Summary, PPI''s'!$G39)/('Predicted PPIs'!V40+'Predicted PPIs'!V39)))*IF(H$73=".", 1, (H40/H39)^(('Summary, PPI''s'!$H40+'Summary, PPI''s'!$H39)/('Predicted PPIs'!V40+'Predicted PPIs'!V39)))*IF(I$73=".", 1, (I40/I39)^(('Summary, PPI''s'!$I40+'Summary, PPI''s'!$I39)/('Predicted PPIs'!V40+'Predicted PPIs'!V39)))*IF(J$73=".", 1, (J40/J39)^(('Summary, PPI''s'!$J40+'Summary, PPI''s'!$J39)/('Predicted PPIs'!V40+'Predicted PPIs'!V39)))*IF(K$73=".", 1, (K40/K39)^(('Summary, PPI''s'!$K40+'Summary, PPI''s'!$K39)/('Predicted PPIs'!V40+'Predicted PPIs'!V39)))*IF(L$73=".", 1, (L40/L39)^(('Summary, PPI''s'!$L40+'Summary, PPI''s'!$L39)/('Predicted PPIs'!V40+'Predicted PPIs'!V39)))*IF(M$73=".", 1, (M40/M39)^(('Summary, PPI''s'!$M40+'Summary, PPI''s'!$M39)/('Predicted PPIs'!V40+'Predicted PPIs'!V39)))*IF(B$73=".", 1, (B40/B39)^(('Summary, PPI''s'!$B40+'Summary, PPI''s'!$B39)/('Predicted PPIs'!V40+'Predicted PPIs'!V39)))*IF(C$73=".", 1, (C40/C39)^(('Summary, PPI''s'!$C40+'Summary, PPI''s'!$C39)/('Predicted PPIs'!V40+'Predicted PPIs'!V39)))*IF(D$73=".", 1, (D40/D39)^(('Summary, PPI''s'!$D40+'Summary, PPI''s'!$D39)/('Predicted PPIs'!V40+'Predicted PPIs'!V39)))*IF(N$73=".", 1, (N40/N39)^(('Summary, PPI''s'!$N40+'Summary, PPI''s'!$N39)/('Predicted PPIs'!V40+'Predicted PPIs'!V39)))*IF(O$73=".", 1, (O40/O39)^(('Summary, PPI''s'!$O40+'Summary, PPI''s'!$O39)/('Predicted PPIs'!V40+'Predicted PPIs'!V39)))*IF(P$73=".", 1, (P40/P39)^(('Summary, PPI''s'!$P40+'Summary, PPI''s'!$P39)/('Predicted PPIs'!V40+'Predicted PPIs'!V39)))</f>
        <v>36.917304687955387</v>
      </c>
      <c r="AE40" s="4">
        <f>AE39*IF(E$94=".", 1, (E40/E39)^(('Summary, PPI''s'!$E40+'Summary, PPI''s'!$E39)/('Predicted PPIs'!W40+'Predicted PPIs'!W39)))*IF(F$94=".", 1, (F40/F39)^(('Summary, PPI''s'!$F40+'Summary, PPI''s'!$F39)/('Predicted PPIs'!W40+'Predicted PPIs'!W39)))*IF(G$94=".", 1, (G40/G39)^(('Summary, PPI''s'!$G40+'Summary, PPI''s'!$G39)/('Predicted PPIs'!W40+'Predicted PPIs'!W39)))*IF(H$94=".", 1, (H40/H39)^(('Summary, PPI''s'!$H40+'Summary, PPI''s'!$H39)/('Predicted PPIs'!W40+'Predicted PPIs'!W39)))*IF(I$94=".", 1, (I40/I39)^(('Summary, PPI''s'!$I40+'Summary, PPI''s'!$I39)/('Predicted PPIs'!W40+'Predicted PPIs'!W39)))*IF(J$94=".", 1, (J40/J39)^(('Summary, PPI''s'!$J40+'Summary, PPI''s'!$J39)/('Predicted PPIs'!W40+'Predicted PPIs'!W39)))*IF(K$94=".", 1, (K40/K39)^(('Summary, PPI''s'!$K40+'Summary, PPI''s'!$K39)/('Predicted PPIs'!W40+'Predicted PPIs'!W39)))*IF(L$94=".", 1, (L40/L39)^(('Summary, PPI''s'!$L40+'Summary, PPI''s'!$L39)/('Predicted PPIs'!W40+'Predicted PPIs'!W39)))*IF(M$94=".", 1, (M40/M39)^(('Summary, PPI''s'!$M40+'Summary, PPI''s'!$M39)/('Predicted PPIs'!W40+'Predicted PPIs'!W39)))*IF(B$94=".", 1, (B40/B39)^(('Summary, PPI''s'!$B40+'Summary, PPI''s'!$B39)/('Predicted PPIs'!W40+'Predicted PPIs'!W39)))*IF(C$94=".", 1, (C40/C39)^(('Summary, PPI''s'!$C40+'Summary, PPI''s'!$C39)/('Predicted PPIs'!W40+'Predicted PPIs'!W39)))*IF(D$94=".", 1, (D40/D39)^(('Summary, PPI''s'!$D40+'Summary, PPI''s'!$D39)/('Predicted PPIs'!W40+'Predicted PPIs'!W39)))*IF(N$94=".", 1, (N40/N39)^(('Summary, PPI''s'!$N40+'Summary, PPI''s'!$N39)/('Predicted PPIs'!W40+'Predicted PPIs'!W39)))*IF(O$94=".", 1, (O40/O39)^(('Summary, PPI''s'!$O40+'Summary, PPI''s'!$O39)/('Predicted PPIs'!W40+'Predicted PPIs'!W39)))*IF(P$94=".", 1, (P40/P39)^(('Summary, PPI''s'!$P40+'Summary, PPI''s'!$P39)/('Predicted PPIs'!W40+'Predicted PPIs'!W39)))</f>
        <v>32.673421249334375</v>
      </c>
      <c r="AF40" s="4">
        <f>AF39*IF(E$123=".", 1, (E40/E39)^(('Summary, PPI''s'!$E40+'Summary, PPI''s'!$E39)/('Predicted PPIs'!X40+'Predicted PPIs'!X39)))*IF(F$123=".", 1, (F40/F39)^(('Summary, PPI''s'!$F40+'Summary, PPI''s'!$F39)/('Predicted PPIs'!X40+'Predicted PPIs'!X39)))*IF(G$123=".", 1, (G40/G39)^(('Summary, PPI''s'!$G40+'Summary, PPI''s'!$G39)/('Predicted PPIs'!X40+'Predicted PPIs'!X39)))*IF(H$123=".", 1, (H40/H39)^(('Summary, PPI''s'!$H40+'Summary, PPI''s'!$H39)/('Predicted PPIs'!X40+'Predicted PPIs'!X39)))*IF(I$123=".", 1, (I40/I39)^(('Summary, PPI''s'!$I40+'Summary, PPI''s'!$I39)/('Predicted PPIs'!X40+'Predicted PPIs'!X39)))*IF(J$123=".", 1, (J40/J39)^(('Summary, PPI''s'!$J40+'Summary, PPI''s'!$J39)/('Predicted PPIs'!X40+'Predicted PPIs'!X39)))*IF(K$123=".", 1, (K40/K39)^(('Summary, PPI''s'!$K40+'Summary, PPI''s'!$K39)/('Predicted PPIs'!X40+'Predicted PPIs'!X39)))*IF(L$123=".", 1, (L40/L39)^(('Summary, PPI''s'!$L40+'Summary, PPI''s'!$L39)/('Predicted PPIs'!X40+'Predicted PPIs'!X39)))*IF(M$123=".", 1, (M40/M39)^(('Summary, PPI''s'!$M40+'Summary, PPI''s'!$M39)/('Predicted PPIs'!X40+'Predicted PPIs'!X39)))*IF(B$123=".", 1, (B40/B39)^(('Summary, PPI''s'!$B40+'Summary, PPI''s'!$B39)/('Predicted PPIs'!X40+'Predicted PPIs'!X39)))*IF(C$123=".", 1, (C40/C39)^(('Summary, PPI''s'!$C40+'Summary, PPI''s'!$C39)/('Predicted PPIs'!X40+'Predicted PPIs'!X39)))*IF(D$123=".", 1, (D40/D39)^(('Summary, PPI''s'!$D40+'Summary, PPI''s'!$D39)/('Predicted PPIs'!X40+'Predicted PPIs'!X39)))*IF(N$123=".", 1, (N40/N39)^(('Summary, PPI''s'!$N40+'Summary, PPI''s'!$N39)/('Predicted PPIs'!X40+'Predicted PPIs'!X39)))*IF(O$123=".", 1, (O40/O39)^(('Summary, PPI''s'!$O40+'Summary, PPI''s'!$O39)/('Predicted PPIs'!X40+'Predicted PPIs'!X39)))*IF(P$123=".", 1, (P40/P39)^(('Summary, PPI''s'!$P40+'Summary, PPI''s'!$P39)/('Predicted PPIs'!X40+'Predicted PPIs'!X39)))</f>
        <v>30.03375245314902</v>
      </c>
      <c r="AH40" s="13">
        <f t="shared" si="91"/>
        <v>41.891053703043568</v>
      </c>
      <c r="AJ40" s="4">
        <v>2281.6</v>
      </c>
      <c r="AK40" s="4">
        <v>-1.0489999999999999</v>
      </c>
      <c r="AL40" s="4">
        <v>-235.90100000000001</v>
      </c>
      <c r="AM40" s="4">
        <v>-5.1710000000000003</v>
      </c>
      <c r="AN40" s="4">
        <v>2760.7</v>
      </c>
      <c r="AO40" s="4">
        <v>635.4</v>
      </c>
      <c r="AP40" s="4">
        <f>('[3]1983'!$I$14+'[3]1983'!$I$69+'[3]1983'!$I$71-'[3]1983'!$I$73)*0.001</f>
        <v>-29.728999999999999</v>
      </c>
      <c r="AQ40" s="4">
        <f>('[3]1983'!$AY$56+'[3]1983'!$AY$69+'[3]1983'!$AY$71-'[3]1983'!$AY$73)*0.001</f>
        <v>-117.708</v>
      </c>
      <c r="AR40" s="4">
        <f>AR$38*16384/23762</f>
        <v>-7.7141735544146117</v>
      </c>
      <c r="AS40" s="4">
        <v>-15.345000000000001</v>
      </c>
      <c r="AT40" s="4">
        <v>49.378</v>
      </c>
      <c r="AU40" s="4">
        <v>61.314999999999998</v>
      </c>
      <c r="AV40" s="4">
        <v>39.86</v>
      </c>
      <c r="AW40" s="4">
        <v>29.459</v>
      </c>
      <c r="AX40" s="4">
        <v>52.198999999999998</v>
      </c>
      <c r="AY40" s="4">
        <v>69.575000000000003</v>
      </c>
      <c r="AZ40" s="4">
        <v>34.241</v>
      </c>
      <c r="BA40" s="4">
        <v>51.758000000000003</v>
      </c>
      <c r="BB40" s="4">
        <f>BB$38*190.527/184.05</f>
        <v>106.60402314588427</v>
      </c>
      <c r="BC40" s="4">
        <v>55.006</v>
      </c>
      <c r="BG40" s="4">
        <f t="shared" si="50"/>
        <v>42.157355386320177</v>
      </c>
      <c r="BI40" s="4">
        <f>BI$13*'[2]Ordinary Experience'!$D$386/'[2]Ordinary Experience'!$D$413</f>
        <v>233179862.65377882</v>
      </c>
      <c r="BJ40" s="4">
        <f>'[2]Ordinary Experience'!$E$386</f>
        <v>22.264217981462672</v>
      </c>
      <c r="BL40" s="4">
        <f t="shared" si="90"/>
        <v>58.680941496299823</v>
      </c>
      <c r="BM40" s="4">
        <f t="shared" si="34"/>
        <v>3.1474243638565547E-2</v>
      </c>
      <c r="BO40" s="4">
        <f>IF(OR('Summary, hourly ad costs'!R40=-9999,'Summary, PPI''s'!R40="."),".",(('Summary, hourly ad costs'!B40/'Summary, hourly ad costs'!R40)*100/('Summary, hourly ad costs'!B$11/'Summary, hourly ad costs'!R$11))/('Summary, PPI''s'!R40))</f>
        <v>0.78905564928461247</v>
      </c>
      <c r="BP40" s="4" t="str">
        <f>IF(OR('Summary, hourly ad costs'!S40=-9999,'Summary, PPI''s'!S40="."),".",(('Summary, hourly ad costs'!C40/'Summary, hourly ad costs'!S40)*100/('Summary, hourly ad costs'!C$11/'Summary, hourly ad costs'!S$11))/('Summary, PPI''s'!S40))</f>
        <v>.</v>
      </c>
      <c r="BQ40" s="4" t="str">
        <f>IF(OR('Summary, hourly ad costs'!T40=-9999,'Summary, PPI''s'!T40="."),".",(('Summary, hourly ad costs'!D40/'Summary, hourly ad costs'!T40)*100/('Summary, hourly ad costs'!D$11/'Summary, hourly ad costs'!T$11))/('Summary, PPI''s'!T40))</f>
        <v>.</v>
      </c>
      <c r="BR40" s="4">
        <f>IF(OR('Summary, hourly ad costs'!U40=-9999,'Summary, PPI''s'!U40="."),".",(('Summary, hourly ad costs'!E40/'Summary, hourly ad costs'!U40)*100/('Summary, hourly ad costs'!E$11/'Summary, hourly ad costs'!U$11))/('Summary, PPI''s'!U40))</f>
        <v>2.1326403934884071</v>
      </c>
      <c r="BS40" s="4">
        <f>IF(OR('Summary, hourly ad costs'!V40=-9999,'Summary, PPI''s'!V40="."),".",(('Summary, hourly ad costs'!F40/'Summary, hourly ad costs'!V40)*100/('Summary, hourly ad costs'!F$11/'Summary, hourly ad costs'!V$11))/('Summary, PPI''s'!V40))</f>
        <v>2.1296013130483273</v>
      </c>
      <c r="BT40" s="4" t="str">
        <f>IF(OR('Summary, hourly ad costs'!W40=-9999,'Summary, PPI''s'!W40="."),".",(('Summary, hourly ad costs'!G40/'Summary, hourly ad costs'!W40)*100/('Summary, hourly ad costs'!G$11/'Summary, hourly ad costs'!W$11))/('Summary, PPI''s'!W40))</f>
        <v>.</v>
      </c>
      <c r="BU40" s="4">
        <f>IF(OR('Summary, hourly ad costs'!X40=-9999,'Summary, PPI''s'!X40="."),".",(('Summary, hourly ad costs'!H40/'Summary, hourly ad costs'!X40)*100/('Summary, hourly ad costs'!H$11/'Summary, hourly ad costs'!X$11))/('Summary, PPI''s'!X40))</f>
        <v>1.1131227560550319</v>
      </c>
      <c r="BV40" s="4">
        <f>IF(OR('Summary, hourly ad costs'!Y40=-9999,'Summary, PPI''s'!Y40="."),".",(('Summary, hourly ad costs'!I40/'Summary, hourly ad costs'!Y40)*100/('Summary, hourly ad costs'!I$11/'Summary, hourly ad costs'!Y$11))/('Summary, PPI''s'!Y40))</f>
        <v>0.65464856082531853</v>
      </c>
      <c r="BW40" s="4">
        <f>IF(OR('Summary, hourly ad costs'!Z40=-9999,'Summary, PPI''s'!Z40="."),".",(('Summary, hourly ad costs'!J40/'Summary, hourly ad costs'!Z40)*100/('Summary, hourly ad costs'!J$11/'Summary, hourly ad costs'!Z$11))/('Summary, PPI''s'!Z40))</f>
        <v>0.70782944627796707</v>
      </c>
      <c r="BX40" s="4" t="str">
        <f>IF(OR('Summary, hourly ad costs'!AA40=-9999,'Summary, PPI''s'!AA40="."),".",(('Summary, hourly ad costs'!K40/'Summary, hourly ad costs'!AA40)*100/('Summary, hourly ad costs'!K$11/'Summary, hourly ad costs'!AA$11))/('Summary, PPI''s'!AA40))</f>
        <v>.</v>
      </c>
      <c r="BY40" s="4" t="str">
        <f>IF(OR('Summary, hourly ad costs'!AB40=-9999,'Summary, PPI''s'!AB40="."),".",(('Summary, hourly ad costs'!L40/'Summary, hourly ad costs'!AB40)*100/('Summary, hourly ad costs'!L$11/'Summary, hourly ad costs'!AB$11))/('Summary, PPI''s'!AB40))</f>
        <v>.</v>
      </c>
      <c r="BZ40" s="4" t="str">
        <f>IF(OR('Summary, hourly ad costs'!AC40=-9999,'Summary, PPI''s'!AC40="."),".",(('Summary, hourly ad costs'!M40/'Summary, hourly ad costs'!AC40)*100/('Summary, hourly ad costs'!M$11/'Summary, hourly ad costs'!AC$11))/('Summary, PPI''s'!AC40))</f>
        <v>.</v>
      </c>
      <c r="CA40" s="4" t="str">
        <f>IF(OR('Summary, hourly ad costs'!AD40=-9999,'Summary, PPI''s'!AD40="."),".",(('Summary, hourly ad costs'!N40/'Summary, hourly ad costs'!AD40)*100/('Summary, hourly ad costs'!N$11/'Summary, hourly ad costs'!AD$11))/('Summary, PPI''s'!AD40))</f>
        <v>.</v>
      </c>
      <c r="CB40" s="4" t="str">
        <f>IF(OR('Summary, hourly ad costs'!AE40=-9999,'Summary, PPI''s'!AE40="."),".",(('Summary, hourly ad costs'!O40/'Summary, hourly ad costs'!AE40)*100/('Summary, hourly ad costs'!O$11/'Summary, hourly ad costs'!AE$11))/('Summary, PPI''s'!AE40))</f>
        <v>.</v>
      </c>
      <c r="CC40" s="4" t="str">
        <f>IF(OR('Summary, hourly ad costs'!AF40=-9999,'Summary, PPI''s'!AF40="."),".",(('Summary, hourly ad costs'!P40/'Summary, hourly ad costs'!AF40)*100/('Summary, hourly ad costs'!P$11/'Summary, hourly ad costs'!AF$11))/('Summary, PPI''s'!AF40))</f>
        <v>.</v>
      </c>
      <c r="CE40" s="4">
        <f t="shared" si="80"/>
        <v>6.2189153000650643E-2</v>
      </c>
      <c r="CF40" s="4" t="str">
        <f t="shared" si="81"/>
        <v>.</v>
      </c>
      <c r="CG40" s="4" t="str">
        <f t="shared" si="82"/>
        <v>.</v>
      </c>
      <c r="CH40" s="4">
        <f t="shared" si="83"/>
        <v>4.7505852359226663E-2</v>
      </c>
      <c r="CI40" s="4">
        <f t="shared" si="84"/>
        <v>2.4614425127325035E-3</v>
      </c>
      <c r="CJ40" s="4" t="str">
        <f t="shared" si="85"/>
        <v>.</v>
      </c>
      <c r="CK40" s="4">
        <f t="shared" si="86"/>
        <v>-1.3258072520172526E-5</v>
      </c>
      <c r="CL40" s="4">
        <f t="shared" si="87"/>
        <v>8.008451761426949E-3</v>
      </c>
      <c r="CM40" s="4">
        <f t="shared" si="88"/>
        <v>0.12380227605104754</v>
      </c>
      <c r="CN40" s="4">
        <f t="shared" si="89"/>
        <v>2.1029205873301926E-3</v>
      </c>
      <c r="CO40" s="4">
        <f t="shared" si="79"/>
        <v>0.20093902754543061</v>
      </c>
      <c r="CP40" s="4">
        <f t="shared" si="79"/>
        <v>0.10754722591616782</v>
      </c>
      <c r="CQ40" s="4" t="str">
        <f t="shared" si="62"/>
        <v>.</v>
      </c>
      <c r="CR40" s="4" t="str">
        <f t="shared" si="63"/>
        <v>.</v>
      </c>
      <c r="CS40" s="4" t="str">
        <f t="shared" si="64"/>
        <v>.</v>
      </c>
      <c r="CU40" s="5">
        <f>IF(CU39=".", ".", IF('Summary, PPI''s'!R40=".",IF(OR('Summary, hourly ad costs'!R40=-9999,'Summary, hourly ad costs'!R40=0), ".", 'Predicted PPIs'!CU39*('Summary, hourly ad costs'!B40/'Summary, hourly ad costs'!R40)/('Summary, hourly ad costs'!B39/'Summary, hourly ad costs'!R39)/(1-CE39)), 'Summary, PPI''s'!R40))</f>
        <v>65.292077887436648</v>
      </c>
      <c r="CV40" s="5">
        <f>IF(CV39=".", ".", IF('Summary, PPI''s'!S40=".",IF(OR('Summary, hourly ad costs'!S40=-9999,'Summary, hourly ad costs'!S40=0), ".", 'Predicted PPIs'!CV39*('Summary, hourly ad costs'!C40/'Summary, hourly ad costs'!S40)/('Summary, hourly ad costs'!C39/'Summary, hourly ad costs'!S39)/(1-CF39)), 'Summary, PPI''s'!S40))</f>
        <v>65.292077887436648</v>
      </c>
      <c r="CW40" s="5">
        <f>IF(CW39=".", ".", IF('Summary, PPI''s'!T40=".",IF(OR('Summary, hourly ad costs'!T40=-9999,'Summary, hourly ad costs'!T40=0), ".", 'Predicted PPIs'!CW39*('Summary, hourly ad costs'!D40/'Summary, hourly ad costs'!T40)/('Summary, hourly ad costs'!D39/'Summary, hourly ad costs'!T39)/(1-CG39)), 'Summary, PPI''s'!T40))</f>
        <v>57.646391006467837</v>
      </c>
      <c r="CX40" s="5">
        <f>IF(CX39=".", ".", IF('Summary, PPI''s'!U40=".",IF(OR('Summary, hourly ad costs'!U40=-9999,'Summary, hourly ad costs'!U40=0), ".", 'Predicted PPIs'!CX39*('Summary, hourly ad costs'!E40/'Summary, hourly ad costs'!U40)/('Summary, hourly ad costs'!E39/'Summary, hourly ad costs'!U39)/(1-CH39)), 'Summary, PPI''s'!U40))</f>
        <v>28.138088589922582</v>
      </c>
      <c r="CY40" s="5">
        <f>IF(CY39=".", ".", IF('Summary, PPI''s'!V40=".",IF(OR('Summary, hourly ad costs'!V40=-9999,'Summary, hourly ad costs'!V40=0), ".", 'Predicted PPIs'!CY39*('Summary, hourly ad costs'!F40/'Summary, hourly ad costs'!V40)/('Summary, hourly ad costs'!F39/'Summary, hourly ad costs'!V39)/(1-CI39)), 'Summary, PPI''s'!V40))</f>
        <v>26.726800939083152</v>
      </c>
      <c r="CZ40" s="5">
        <f>IF(CZ39=".", ".", IF('Summary, PPI''s'!W40=".",IF(OR('Summary, hourly ad costs'!W40=-9999,'Summary, hourly ad costs'!W40=0), ".", 'Predicted PPIs'!CZ39*('Summary, hourly ad costs'!G40/'Summary, hourly ad costs'!W40)/('Summary, hourly ad costs'!G39/'Summary, hourly ad costs'!W39)/(1-CJ39)), 'Summary, PPI''s'!W40))</f>
        <v>27.312118523783013</v>
      </c>
      <c r="DA40" s="5">
        <f>IF(DA39=".", ".", IF('Summary, PPI''s'!X40=".",IF(OR('Summary, hourly ad costs'!X40=-9999,'Summary, hourly ad costs'!X40=0), ".", 'Predicted PPIs'!DA39*('Summary, hourly ad costs'!H40/'Summary, hourly ad costs'!X40)/('Summary, hourly ad costs'!H39/'Summary, hourly ad costs'!X39)/(1-CK39)), 'Summary, PPI''s'!X40))</f>
        <v>34.65</v>
      </c>
      <c r="DB40" s="5">
        <f>IF(DB39=".", ".", IF('Summary, PPI''s'!Y40=".",IF(OR('Summary, hourly ad costs'!Y40=-9999,'Summary, hourly ad costs'!Y40=0), ".", 'Predicted PPIs'!DB39*('Summary, hourly ad costs'!I40/'Summary, hourly ad costs'!Y40)/('Summary, hourly ad costs'!I39/'Summary, hourly ad costs'!Y39)/(1-CL39)), 'Summary, PPI''s'!Y40))</f>
        <v>41.760444536551923</v>
      </c>
      <c r="DC40" s="5">
        <f>IF(DC39=".", ".", IF('Summary, PPI''s'!Z40=".",IF(OR('Summary, hourly ad costs'!Z40=-9999,'Summary, hourly ad costs'!Z40=0), ".", 'Predicted PPIs'!DC39*('Summary, hourly ad costs'!J40/'Summary, hourly ad costs'!Z40)/('Summary, hourly ad costs'!J39/'Summary, hourly ad costs'!Z39)/(1-CM39)), 'Summary, PPI''s'!Z40))</f>
        <v>44.770015411825256</v>
      </c>
      <c r="DD40" s="5">
        <f>IF(DD39=".", ".", IF('Summary, PPI''s'!AA40=".",IF(OR('Summary, hourly ad costs'!AA40=-9999,'Summary, hourly ad costs'!AA40=0), ".", 'Predicted PPIs'!DD39*('Summary, hourly ad costs'!K40/'Summary, hourly ad costs'!AA40)/('Summary, hourly ad costs'!K39/'Summary, hourly ad costs'!AA39)/(1-CN39)), 'Summary, PPI''s'!AA40))</f>
        <v>26.741739835261583</v>
      </c>
      <c r="DE40" s="5" t="str">
        <f>IF(DE39=".", ".", IF('Summary, PPI''s'!AB40=".",IF(OR('Summary, hourly ad costs'!AB40=-9999,'Summary, hourly ad costs'!AB40=0), ".", 'Predicted PPIs'!DE39*('Summary, hourly ad costs'!L40/'Summary, hourly ad costs'!AB40)/('Summary, hourly ad costs'!L39/'Summary, hourly ad costs'!AB39)/(1-CO39)), 'Summary, PPI''s'!AB40))</f>
        <v>.</v>
      </c>
      <c r="DF40" s="5" t="str">
        <f>IF(DF39=".", ".", IF('Summary, PPI''s'!AC40=".",IF(OR('Summary, hourly ad costs'!AC40=-9999,'Summary, hourly ad costs'!AC40=0), ".", 'Predicted PPIs'!DF39*('Summary, hourly ad costs'!M40/'Summary, hourly ad costs'!AC40)/('Summary, hourly ad costs'!M39/'Summary, hourly ad costs'!AC39)/(1-CP39)), 'Summary, PPI''s'!AC40))</f>
        <v>.</v>
      </c>
      <c r="DG40" s="5" t="str">
        <f>IF(DG39=".", ".", IF('Summary, PPI''s'!AD40=".",IF(OR('Summary, hourly ad costs'!AD40=-9999,'Summary, hourly ad costs'!AD40=0), ".", 'Predicted PPIs'!DG39*('Summary, hourly ad costs'!N40/'Summary, hourly ad costs'!AD40)/('Summary, hourly ad costs'!N39/'Summary, hourly ad costs'!AD39)/(1-CQ39)), 'Summary, PPI''s'!AD40))</f>
        <v>.</v>
      </c>
      <c r="DH40" s="5">
        <f>IF(DH39=".", ".", IF('Summary, PPI''s'!AE40=".",IF(OR('Summary, hourly ad costs'!AE40=-9999,'Summary, hourly ad costs'!AE40=0), ".", 'Predicted PPIs'!DH39*('Summary, hourly ad costs'!O40/'Summary, hourly ad costs'!AE40)/('Summary, hourly ad costs'!O39/'Summary, hourly ad costs'!AE39)/(1-CR39)), 'Summary, PPI''s'!AE40))</f>
        <v>33.503042139138486</v>
      </c>
      <c r="DI40" s="5" t="str">
        <f>IF(DI39=".", ".", IF('Summary, PPI''s'!AF40=".",IF(OR('Summary, hourly ad costs'!AF40=-9999,'Summary, hourly ad costs'!AF40=0), ".", 'Predicted PPIs'!DI39*('Summary, hourly ad costs'!P40/'Summary, hourly ad costs'!AF40)/('Summary, hourly ad costs'!P39/'Summary, hourly ad costs'!AF39)/(1-CS39)), 'Summary, PPI''s'!AF40))</f>
        <v>.</v>
      </c>
      <c r="DK40" s="4">
        <v>27.364000000000001</v>
      </c>
      <c r="DM40" s="5">
        <f t="shared" si="65"/>
        <v>-8.8006316448795641E-2</v>
      </c>
      <c r="DN40" s="5">
        <f t="shared" si="66"/>
        <v>-8.8006316448795641E-2</v>
      </c>
      <c r="DO40" s="5">
        <f t="shared" si="67"/>
        <v>-7.6509046538046688E-2</v>
      </c>
      <c r="DP40" s="5">
        <f t="shared" si="68"/>
        <v>-9.016288803192718E-3</v>
      </c>
      <c r="DQ40" s="5">
        <f t="shared" si="69"/>
        <v>-3.339558765250894E-2</v>
      </c>
      <c r="DR40" s="5">
        <f t="shared" si="70"/>
        <v>-7.9316993439694339E-2</v>
      </c>
      <c r="DS40" s="5">
        <f t="shared" si="71"/>
        <v>-4.978860906149507E-2</v>
      </c>
      <c r="DT40" s="5">
        <f t="shared" si="72"/>
        <v>-3.6244478065323271E-2</v>
      </c>
      <c r="DU40" s="5">
        <f t="shared" si="73"/>
        <v>-3.6244478065323049E-2</v>
      </c>
      <c r="DV40" s="5">
        <f t="shared" si="74"/>
        <v>7.5078866115628529E-2</v>
      </c>
      <c r="DW40" s="4">
        <f t="shared" si="78"/>
        <v>-0.10932518806221725</v>
      </c>
      <c r="DX40" s="4">
        <f t="shared" si="78"/>
        <v>2.6947897763947931E-2</v>
      </c>
      <c r="DY40" s="4">
        <f t="shared" si="108"/>
        <v>-1.6128927311022691E-2</v>
      </c>
      <c r="DZ40" s="5">
        <f t="shared" si="92"/>
        <v>-5.005385032512788E-2</v>
      </c>
      <c r="EA40" s="4">
        <f t="shared" si="109"/>
        <v>-9.4638127756561784E-3</v>
      </c>
      <c r="EC40" s="1">
        <f t="shared" si="93"/>
        <v>65.292077887436648</v>
      </c>
      <c r="ED40" s="1">
        <f t="shared" si="94"/>
        <v>65.292077887436648</v>
      </c>
      <c r="EE40" s="1">
        <f t="shared" si="95"/>
        <v>57.646391006467837</v>
      </c>
      <c r="EF40" s="1">
        <f t="shared" si="96"/>
        <v>28.138088589922582</v>
      </c>
      <c r="EG40" s="1">
        <f t="shared" si="97"/>
        <v>26.726800939083152</v>
      </c>
      <c r="EH40" s="1">
        <f t="shared" si="98"/>
        <v>27.312118523783013</v>
      </c>
      <c r="EI40" s="1">
        <f t="shared" si="99"/>
        <v>34.65</v>
      </c>
      <c r="EJ40" s="1">
        <f t="shared" si="100"/>
        <v>41.760444536551923</v>
      </c>
      <c r="EK40" s="1">
        <f t="shared" si="101"/>
        <v>44.770015411825256</v>
      </c>
      <c r="EL40" s="1">
        <f t="shared" si="102"/>
        <v>26.741739835261583</v>
      </c>
      <c r="EM40" s="1">
        <f t="shared" si="103"/>
        <v>43.155470734477284</v>
      </c>
      <c r="EN40" s="1">
        <f t="shared" si="104"/>
        <v>50.704453991371345</v>
      </c>
      <c r="EO40" s="1">
        <f t="shared" si="105"/>
        <v>41.500310340742658</v>
      </c>
      <c r="EP40" s="1">
        <f t="shared" si="106"/>
        <v>33.503042139138486</v>
      </c>
      <c r="EQ40" s="1">
        <f t="shared" si="107"/>
        <v>36.324272310480104</v>
      </c>
      <c r="ES40" s="1">
        <f>IF(EF$26=".", 0, 'Summary, PPI''s'!E40)+IF(EG$26=".", 0, 'Summary, PPI''s'!F40)+IF(EH$26=".", 0, 'Summary, PPI''s'!G40)+IF(EI$26=".", 0, 'Summary, PPI''s'!H40)+IF(EJ$26=".", 0, 'Summary, PPI''s'!I40)+IF(EK$26=".", 0, 'Summary, PPI''s'!J40)+IF(EL$26=".", 0, 'Summary, PPI''s'!K40)+IF(EM$26=".", 0, 'Summary, PPI''s'!L40)+IF(EN$26=".", 0, 'Summary, PPI''s'!M40)+IF(EC$26=".", 0, 'Summary, PPI''s'!B40)+IF(ED$26=".", 0, 'Summary, PPI''s'!C40)+IF(EE$26=".", 0, 'Summary, PPI''s'!D40)+IF(EO$26=".", 0, 'Summary, PPI''s'!N40)+IF(EP$26=".", 0, 'Summary, PPI''s'!O40)+IF(EQ$26=".", 0, 'Summary, PPI''s'!P40)</f>
        <v>78132495.662461489</v>
      </c>
      <c r="ET40" s="1">
        <f>'Summary, hourly ad costs'!E40+'Summary, hourly ad costs'!F40+'Summary, hourly ad costs'!H40+'Summary, hourly ad costs'!I40+'Summary, hourly ad costs'!J40+'Summary, hourly ad costs'!K40+'Summary, hourly ad costs'!L40+'Summary, hourly ad costs'!M40+'Summary, hourly ad costs'!B40</f>
        <v>42136213.394458376</v>
      </c>
      <c r="EV40" s="13">
        <f>EV39*IF(EF$26=".", 1, (EF40/EF39)^(('Summary, PPI''s'!$E40+'Summary, PPI''s'!$E39)/('Predicted PPIs'!ES40+'Predicted PPIs'!ES39)))*IF(EG$26=".", 1, (EG40/EG39)^(('Summary, PPI''s'!$F40+'Summary, PPI''s'!$F39)/('Predicted PPIs'!ES40+'Predicted PPIs'!ES39)))*IF(EH$26=".", 1, (EH40/EH39)^(('Summary, PPI''s'!$G40+'Summary, PPI''s'!$G39)/('Predicted PPIs'!ES40+'Predicted PPIs'!ES39)))*IF(EI$26=".", 1, (EI40/EI39)^(('Summary, PPI''s'!$H40+'Summary, PPI''s'!$H39)/('Predicted PPIs'!ES40+'Predicted PPIs'!ES39)))*IF(EJ$26=".", 1, (EJ40/EJ39)^(('Summary, PPI''s'!$I40+'Summary, PPI''s'!$I39)/('Predicted PPIs'!ES40+'Predicted PPIs'!ES39)))*IF(EK$26=".", 1, (EK40/EK39)^(('Summary, PPI''s'!$J40+'Summary, PPI''s'!$J39)/('Predicted PPIs'!ES40+'Predicted PPIs'!ES39)))*IF(EL$26=".", 1, (EL40/EL39)^(('Summary, PPI''s'!$K40+'Summary, PPI''s'!$K39)/('Predicted PPIs'!ES40+'Predicted PPIs'!ES39)))*IF(EM$26=".", 1, (EM40/EM39)^(('Summary, PPI''s'!$L40+'Summary, PPI''s'!$L39)/('Predicted PPIs'!ES40+'Predicted PPIs'!ES39)))*IF(EN$26=".", 1, (EN40/EN39)^(('Summary, PPI''s'!$M40+'Summary, PPI''s'!$M39)/('Predicted PPIs'!ES40+'Predicted PPIs'!ES39)))*IF(EC$26=".", 1, (EC40/EC39)^(('Summary, PPI''s'!$B40+'Summary, PPI''s'!$B39)/('Predicted PPIs'!ES40+'Predicted PPIs'!ES39)))*IF(ED$26=".", 1, (ED40/ED39)^(('Summary, PPI''s'!$C40+'Summary, PPI''s'!$C39)/('Predicted PPIs'!ES40+'Predicted PPIs'!ES39)))*IF(EE$26=".", 1, (EE40/EE39)^(('Summary, PPI''s'!$D40+'Summary, PPI''s'!$D39)/('Predicted PPIs'!ES40+'Predicted PPIs'!ES39)))*IF(EO$26=".", 1, (EO40/EO39)^(('Summary, PPI''s'!$N40+'Summary, PPI''s'!$N39)/('Predicted PPIs'!ES40+'Predicted PPIs'!ES39)))*IF(EP$26=".", 1, (EP40/EP39)^(('Summary, PPI''s'!$O40+'Summary, PPI''s'!$O39)/('Predicted PPIs'!ES40+'Predicted PPIs'!ES39)))*IF(EQ$26=".", 1, (EQ40/EQ39)^(('Summary, PPI''s'!$P40+'Summary, PPI''s'!$P39)/('Predicted PPIs'!ES40+'Predicted PPIs'!ES39)))</f>
        <v>43.265424618185769</v>
      </c>
      <c r="EW40" s="13">
        <f>EW39*IF(EF$26=".", 1, (EF40/EF39)^(('Summary, PPI''s'!$E40+'Summary, PPI''s'!$E39)/('Predicted PPIs'!ET40+'Predicted PPIs'!ET39)))*IF(EG$26=".", 1, (EG40/EG39)^(('Summary, PPI''s'!$F40+'Summary, PPI''s'!$F39)/('Predicted PPIs'!ET40+'Predicted PPIs'!ET39)))*IF(EH$26=".", 1, (EH40/EH39)^(('Summary, PPI''s'!$G40+'Summary, PPI''s'!$G39)/('Predicted PPIs'!ET40+'Predicted PPIs'!ET39)))*IF(EK$26=".", 1, (EK40/EK39)^(('Summary, PPI''s'!$J40+'Summary, PPI''s'!$J39)/('Predicted PPIs'!ET40+'Predicted PPIs'!ET39)))*IF(EL$26=".", 1, (EL40/EL39)^(('Summary, PPI''s'!$K40+'Summary, PPI''s'!$K39)/('Predicted PPIs'!ET40+'Predicted PPIs'!ET39)))*IF(EM$26=".", 1, (EM40/EM39)^(('Summary, PPI''s'!$L40+'Summary, PPI''s'!$L39)/('Predicted PPIs'!ET40+'Predicted PPIs'!ET39)))*IF(EN$26=".", 1, (EN40/EN39)^(('Summary, PPI''s'!$M40+'Summary, PPI''s'!$M39)/('Predicted PPIs'!ET40+'Predicted PPIs'!ET39)))*IF(EC$26=".", 1, (EC40/EC39)^(('Summary, PPI''s'!$B40+'Summary, PPI''s'!$B39)/('Predicted PPIs'!ET40+'Predicted PPIs'!ET39)))</f>
        <v>43.504276838179017</v>
      </c>
      <c r="EY40" s="2"/>
    </row>
    <row r="41" spans="1:155" x14ac:dyDescent="0.3">
      <c r="A41" s="4">
        <v>1982</v>
      </c>
      <c r="B41" s="10">
        <f>IF(B40=".", ".", IF('Summary, PPI''s'!R41=".",IF(OR('Summary, hourly ad costs'!R41=-9999,'Summary, hourly ad costs'!R41=0), ".", 'Predicted PPIs'!B40*('Summary, hourly ad costs'!B41/'Summary, hourly ad costs'!R41)/('Summary, hourly ad costs'!B40/'Summary, hourly ad costs'!R40)), 'Summary, PPI''s'!R41))</f>
        <v>63.997540738593308</v>
      </c>
      <c r="C41" s="10">
        <f>IF(C40=".", ".", IF('Summary, PPI''s'!S41=".",IF(OR('Summary, hourly ad costs'!S41=-9999,'Summary, hourly ad costs'!S41=0), ".", 'Predicted PPIs'!C40*('Summary, hourly ad costs'!C41/'Summary, hourly ad costs'!S41)/('Summary, hourly ad costs'!C40/'Summary, hourly ad costs'!S40)), 'Summary, PPI''s'!S41))</f>
        <v>63.997540738593308</v>
      </c>
      <c r="D41" s="10">
        <f>IF(D40=".", ".", IF('Summary, PPI''s'!T41=".",IF(OR('Summary, hourly ad costs'!T41=-9999,'Summary, hourly ad costs'!T41=0), ".", 'Predicted PPIs'!D40*('Summary, hourly ad costs'!D41/'Summary, hourly ad costs'!T41)/('Summary, hourly ad costs'!D40/'Summary, hourly ad costs'!T40)), 'Summary, PPI''s'!T41))</f>
        <v>55.79998775126446</v>
      </c>
      <c r="E41" s="10">
        <f>IF(E40=".", ".", IF('Summary, PPI''s'!U41=".",IF(OR('Summary, hourly ad costs'!U41=-9999,'Summary, hourly ad costs'!U41=0), ".", 'Predicted PPIs'!E40*('Summary, hourly ad costs'!E41/'Summary, hourly ad costs'!U41)/('Summary, hourly ad costs'!E40/'Summary, hourly ad costs'!U40)), 'Summary, PPI''s'!U41))</f>
        <v>25.381816643398061</v>
      </c>
      <c r="F41" s="10">
        <f>IF(F40=".", ".", IF('Summary, PPI''s'!V41=".",IF(OR('Summary, hourly ad costs'!V41=-9999,'Summary, hourly ad costs'!V41=0), ".", 'Predicted PPIs'!F40*('Summary, hourly ad costs'!F41/'Summary, hourly ad costs'!V41)/('Summary, hourly ad costs'!F40/'Summary, hourly ad costs'!V40)), 'Summary, PPI''s'!V41))</f>
        <v>24.716833477490834</v>
      </c>
      <c r="G41" s="10">
        <f>IF(G40=".", ".", IF('Summary, PPI''s'!W41=".",IF(OR('Summary, hourly ad costs'!W41=-9999,'Summary, hourly ad costs'!W41=0), ".", 'Predicted PPIs'!G40*('Summary, hourly ad costs'!G41/'Summary, hourly ad costs'!W41)/('Summary, hourly ad costs'!G40/'Summary, hourly ad costs'!W40)), 'Summary, PPI''s'!W41))</f>
        <v>26.517946314826297</v>
      </c>
      <c r="H41" s="10">
        <f>IF(H40=".", ".", IF('Summary, PPI''s'!X41=".",IF(OR('Summary, hourly ad costs'!X41=-9999,'Summary, hourly ad costs'!X41=0), ".", 'Predicted PPIs'!H40*('Summary, hourly ad costs'!H41/'Summary, hourly ad costs'!X41)/('Summary, hourly ad costs'!H40/'Summary, hourly ad costs'!X40)), 'Summary, PPI''s'!X41))</f>
        <v>32.597000000000001</v>
      </c>
      <c r="I41" s="10">
        <f>IF(I40=".", ".", IF('Summary, PPI''s'!Y41=".",IF(OR('Summary, hourly ad costs'!Y41=-9999,'Summary, hourly ad costs'!Y41=0), ".", 'Predicted PPIs'!I40*('Summary, hourly ad costs'!I41/'Summary, hourly ad costs'!Y41)/('Summary, hourly ad costs'!I40/'Summary, hourly ad costs'!Y40)), 'Summary, PPI''s'!Y41))</f>
        <v>38.734045602752502</v>
      </c>
      <c r="J41" s="10">
        <f>IF(J40=".", ".", IF('Summary, PPI''s'!Z41=".",IF(OR('Summary, hourly ad costs'!Z41=-9999,'Summary, hourly ad costs'!Z41=0), ".", 'Predicted PPIs'!J40*('Summary, hourly ad costs'!J41/'Summary, hourly ad costs'!Z41)/('Summary, hourly ad costs'!J40/'Summary, hourly ad costs'!Z40)), 'Summary, PPI''s'!Z41))</f>
        <v>41.525511470064316</v>
      </c>
      <c r="K41" s="10">
        <f>IF(K40=".", ".", IF('Summary, PPI''s'!AA41=".",IF(OR('Summary, hourly ad costs'!AA41=-9999,'Summary, hourly ad costs'!AA41=0), ".", 'Predicted PPIs'!K40*('Summary, hourly ad costs'!K41/'Summary, hourly ad costs'!AA41)/('Summary, hourly ad costs'!K40/'Summary, hourly ad costs'!AA40)), 'Summary, PPI''s'!AA41))</f>
        <v>23.582038621728849</v>
      </c>
      <c r="L41" s="10" t="str">
        <f>IF(L40=".", ".", IF('Summary, PPI''s'!AB41=".",IF(OR('Summary, hourly ad costs'!AB41=-9999,'Summary, hourly ad costs'!AB41=0), ".", 'Predicted PPIs'!L40*('Summary, hourly ad costs'!L41/'Summary, hourly ad costs'!AB41)/('Summary, hourly ad costs'!L40/'Summary, hourly ad costs'!AB40)), 'Summary, PPI''s'!AB41))</f>
        <v>.</v>
      </c>
      <c r="M41" s="10" t="str">
        <f>IF(M40=".", ".", IF('Summary, PPI''s'!AC41=".",IF(OR('Summary, hourly ad costs'!AC41=-9999,'Summary, hourly ad costs'!AC41=0), ".", 'Predicted PPIs'!M40*('Summary, hourly ad costs'!M41/'Summary, hourly ad costs'!AC41)/('Summary, hourly ad costs'!M40/'Summary, hourly ad costs'!AC40)), 'Summary, PPI''s'!AC41))</f>
        <v>.</v>
      </c>
      <c r="N41" s="10" t="str">
        <f>IF(N40=".", ".", IF('Summary, PPI''s'!AD41=".",IF(OR('Summary, hourly ad costs'!AD41=-9999,'Summary, hourly ad costs'!AD41=0), ".", 'Predicted PPIs'!N40*('Summary, hourly ad costs'!N41/'Summary, hourly ad costs'!AD41)/('Summary, hourly ad costs'!N40/'Summary, hourly ad costs'!AD40)), 'Summary, PPI''s'!AD41))</f>
        <v>.</v>
      </c>
      <c r="O41" s="10">
        <f>IF(O40=".", ".", IF('Summary, PPI''s'!AE41=".",IF(OR('Summary, hourly ad costs'!AE41=-9999,'Summary, hourly ad costs'!AE41=0), ".", 'Predicted PPIs'!O40*('Summary, hourly ad costs'!O41/'Summary, hourly ad costs'!AE41)/('Summary, hourly ad costs'!O40/'Summary, hourly ad costs'!AE40)), 'Summary, PPI''s'!AE41))</f>
        <v>31.526799344712067</v>
      </c>
      <c r="P41" s="10" t="str">
        <f>IF(P40=".", ".", IF('Summary, PPI''s'!AF41=".",IF(OR('Summary, hourly ad costs'!AF41=-9999,'Summary, hourly ad costs'!AF41=0), ".", 'Predicted PPIs'!P40*('Summary, hourly ad costs'!P41/'Summary, hourly ad costs'!AF41)/('Summary, hourly ad costs'!P40/'Summary, hourly ad costs'!AF40)), 'Summary, PPI''s'!AF41))</f>
        <v>.</v>
      </c>
      <c r="R41" s="1">
        <f>IF(E$26=".", 0, 'Summary, PPI''s'!E41)+IF(F$26=".", 0, 'Summary, PPI''s'!F41)+IF(G$26=".", 0, 'Summary, PPI''s'!G41)+IF(H$26=".", 0, 'Summary, PPI''s'!H41)+IF(I$26=".", 0, 'Summary, PPI''s'!I41)+IF(J$26=".", 0, 'Summary, PPI''s'!J41)+IF(K$26=".", 0, 'Summary, PPI''s'!K41)+IF(L$26=".", 0, 'Summary, PPI''s'!L41)+IF(M$26=".", 0, 'Summary, PPI''s'!M41)+IF(B$26=".", 0, 'Summary, PPI''s'!B41)+IF(C$26=".", 0, 'Summary, PPI''s'!C41)+IF(D$26=".", 0, 'Summary, PPI''s'!D41)+IF(N$26=".", 0, 'Summary, PPI''s'!N41)+IF(O$26=".", 0, 'Summary, PPI''s'!O41)+IF(P$26=".", 0, 'Summary, PPI''s'!P41)</f>
        <v>67128728.15060626</v>
      </c>
      <c r="S41" s="1">
        <f>IF(E$36=".", 0, 'Summary, PPI''s'!E41)+IF(F$36=".", 0, 'Summary, PPI''s'!F41)+IF(G$36=".", 0, 'Summary, PPI''s'!G41)+IF(H$36=".", 0, 'Summary, PPI''s'!H41)+IF(I$36=".", 0, 'Summary, PPI''s'!I41)+IF(J$36=".", 0, 'Summary, PPI''s'!J41)+IF(K$36=".", 0, 'Summary, PPI''s'!K41)+IF(L$36=".", 0, 'Summary, PPI''s'!L41)+IF(M$36=".", 0, 'Summary, PPI''s'!M41)+IF(B$36=".", 0, 'Summary, PPI''s'!B41)+IF(C$36=".", 0, 'Summary, PPI''s'!C41)+IF(D$36=".", 0, 'Summary, PPI''s'!D41)+IF(N$36=".", 0, 'Summary, PPI''s'!N41)+IF(O$36=".", 0, 'Summary, PPI''s'!O41)+IF(P$36=".", 0, 'Summary, PPI''s'!P41)</f>
        <v>67128728.15060626</v>
      </c>
      <c r="T41" s="1">
        <f>IF(E$46=".", 0, 'Summary, PPI''s'!E41)+IF(F$46=".", 0, 'Summary, PPI''s'!F41)+IF(G$46=".", 0, 'Summary, PPI''s'!G41)+IF(H$46=".", 0, 'Summary, PPI''s'!H41)+IF(I$46=".", 0, 'Summary, PPI''s'!I41)+IF(J$46=".", 0, 'Summary, PPI''s'!J41)+IF(K$46=".", 0, 'Summary, PPI''s'!K41)+IF(L$46=".", 0, 'Summary, PPI''s'!L41)+IF(M$46=".", 0, 'Summary, PPI''s'!M41)+IF(B$46=".", 0, 'Summary, PPI''s'!B41)+IF(C$46=".", 0, 'Summary, PPI''s'!C41)+IF(D$46=".", 0, 'Summary, PPI''s'!D41)+IF(N$46=".", 0, 'Summary, PPI''s'!N41)+IF(O$46=".", 0, 'Summary, PPI''s'!O41)+IF(P$46=".", 0, 'Summary, PPI''s'!P41)</f>
        <v>48524673.04116676</v>
      </c>
      <c r="U41" s="1">
        <f>IF(E$60=".", 0, 'Summary, PPI''s'!E41)+IF(F$60=".", 0, 'Summary, PPI''s'!F41)+IF(G$60=".", 0, 'Summary, PPI''s'!G41)+IF(H$60=".", 0, 'Summary, PPI''s'!H41)+IF(I$60=".", 0, 'Summary, PPI''s'!I41)+IF(J$60=".", 0, 'Summary, PPI''s'!J41)+IF(K$60=".", 0, 'Summary, PPI''s'!K41)+IF(L$60=".", 0, 'Summary, PPI''s'!L41)+IF(M$60=".", 0, 'Summary, PPI''s'!M41)+IF(B$60=".", 0, 'Summary, PPI''s'!B41)+IF(C$60=".", 0, 'Summary, PPI''s'!C41)+IF(D$60=".", 0, 'Summary, PPI''s'!D41)+IF(N$60=".", 0, 'Summary, PPI''s'!N41)+IF(O$60=".", 0, 'Summary, PPI''s'!O41)+IF(P$60=".", 0, 'Summary, PPI''s'!P41)</f>
        <v>43750988.250932947</v>
      </c>
      <c r="V41" s="1">
        <f>IF(E$73=".", 0, 'Summary, PPI''s'!E41)+IF(F$73=".", 0, 'Summary, PPI''s'!F41)+IF(G$73=".", 0, 'Summary, PPI''s'!G41)+IF(H$73=".", 0, 'Summary, PPI''s'!H41)+IF(I$73=".", 0, 'Summary, PPI''s'!I41)+IF(J$73=".", 0, 'Summary, PPI''s'!J41)+IF(K$73=".", 0, 'Summary, PPI''s'!K41)+IF(L$73=".", 0, 'Summary, PPI''s'!L41)+IF(M$73=".", 0, 'Summary, PPI''s'!M41)+IF(B$73=".", 0, 'Summary, PPI''s'!B41)+IF(C$73=".", 0, 'Summary, PPI''s'!C41)+IF(D$73=".", 0, 'Summary, PPI''s'!D41)+IF(N$73=".", 0, 'Summary, PPI''s'!N41)+IF(O$73=".", 0, 'Summary, PPI''s'!O41)+IF(P$73=".", 0, 'Summary, PPI''s'!P41)</f>
        <v>35864098.330684349</v>
      </c>
      <c r="W41" s="1">
        <f>IF(E$94=".",0,'Summary, PPI''s'!E41)+IF(F$94=".",0,'Summary, PPI''s'!F41)+IF(G$94=".",0,'Summary, PPI''s'!G41)+IF(H$94=".",0,'Summary, PPI''s'!H41)+IF(I$94=".",0,'Summary, PPI''s'!I41)+IF(J$94=".",0,'Summary, PPI''s'!J41)+IF(K$94=".",0,'Summary, PPI''s'!K41)+IF(L$94=".",0,'Summary, PPI''s'!L41)+IF(M$94=".",0,'Summary, PPI''s'!M41)+IF(B$94=".",0,'Summary, PPI''s'!B41)+IF(C$94=".",0,'Summary, PPI''s'!C41)+IF(D$94=".",0,'Summary, PPI''s'!D41)+IF(N$94=".",0,'Summary, PPI''s'!N41)+IF(O$94=".",0,'Summary, PPI''s'!O41)+IF(P$94=".",0,'Summary, PPI''s'!P41)</f>
        <v>25993688.058482703</v>
      </c>
      <c r="X41" s="1">
        <f>IF(E$123=".", 0, 'Summary, PPI''s'!E41)+IF(F$123=".", 0, 'Summary, PPI''s'!F41)+IF(G$123=".", 0, 'Summary, PPI''s'!G41)+IF(H$123=".", 0, 'Summary, PPI''s'!H41)+IF(I$123=".", 0, 'Summary, PPI''s'!I41)+IF(J$123=".", 0, 'Summary, PPI''s'!J41)+IF(K$123=".", 0, 'Summary, PPI''s'!K41)+IF(L$123=".", 0, 'Summary, PPI''s'!L41)+IF(M$123=".", 0, 'Summary, PPI''s'!M41)+IF(B$123=".", 0, 'Summary, PPI''s'!B41)+IF(C$123=".", 0, 'Summary, PPI''s'!C41)+IF(D$123=".", 0, 'Summary, PPI''s'!D41)+IF(N$123=".", 0, 'Summary, PPI''s'!N41)+IF(O$123=".", 0, 'Summary, PPI''s'!O41)+IF(P$123=".", 0, 'Summary, PPI''s'!P41)</f>
        <v>22217574.491754942</v>
      </c>
      <c r="Z41" s="4" t="e">
        <f>Z40*IF(E$26=".", 1, (E41/E40)^(('Summary, PPI''s'!$E41+'Summary, PPI''s'!$E40)/('Predicted PPIs'!R41+'Predicted PPIs'!R40)))*IF(F$26=".", 1, (F41/F40)^(('Summary, PPI''s'!$F41+'Summary, PPI''s'!$F40)/('Predicted PPIs'!R41+'Predicted PPIs'!R40)))*IF(G$26=".", 1, (G41/G40)^(('Summary, PPI''s'!$G41+'Summary, PPI''s'!$G40)/('Predicted PPIs'!R41+'Predicted PPIs'!R40)))*IF(H$26=".", 1, (H41/H40)^(('Summary, PPI''s'!$H41+'Summary, PPI''s'!$H40)/('Predicted PPIs'!R41+'Predicted PPIs'!R40)))*IF(I$26=".", 1, (I41/I40)^(('Summary, PPI''s'!$I41+'Summary, PPI''s'!$I40)/('Predicted PPIs'!R41+'Predicted PPIs'!R40)))*IF(J$26=".", 1, (J41/J40)^(('Summary, PPI''s'!$J41+'Summary, PPI''s'!$J40)/('Predicted PPIs'!R41+'Predicted PPIs'!R40)))*IF(K$26=".", 1, (K41/K40)^(('Summary, PPI''s'!$K41+'Summary, PPI''s'!$K40)/('Predicted PPIs'!R41+'Predicted PPIs'!R40)))*IF(L$26=".", 1, (L41/L40)^(('Summary, PPI''s'!$L41+'Summary, PPI''s'!$L40)/('Predicted PPIs'!R41+'Predicted PPIs'!R40)))*IF(M$26=".", 1, (M41/M40)^(('Summary, PPI''s'!$M41+'Summary, PPI''s'!$M40)/('Predicted PPIs'!R41+'Predicted PPIs'!R40)))*IF(B$26=".", 1, (B41/B40)^(('Summary, PPI''s'!$B41+'Summary, PPI''s'!$B40)/('Predicted PPIs'!R41+'Predicted PPIs'!R40)))*IF(C$26=".", 1, (C41/C40)^(('Summary, PPI''s'!$C41+'Summary, PPI''s'!$C40)/('Predicted PPIs'!R41+'Predicted PPIs'!R40)))*IF(D$26=".", 1, (D41/D40)^(('Summary, PPI''s'!$D41+'Summary, PPI''s'!$D40)/('Predicted PPIs'!R41+'Predicted PPIs'!R40)))*IF(N$26=".", 1, (N41/N40)^(('Summary, PPI''s'!$N41+'Summary, PPI''s'!$N40)/('Predicted PPIs'!R41+'Predicted PPIs'!R40)))*IF(O$26=".", 1, (O41/O40)^(('Summary, PPI''s'!$O41+'Summary, PPI''s'!$O40)/('Predicted PPIs'!R41+'Predicted PPIs'!R40)))*IF(P$26=".", 1, (P41/P40)^(('Summary, PPI''s'!$P41+'Summary, PPI''s'!$P40)/('Predicted PPIs'!R41+'Predicted PPIs'!R40)))</f>
        <v>#VALUE!</v>
      </c>
      <c r="AA41" s="4" t="e">
        <f>AA40*IF(E$36=".", 1, (E41/E40)^(('Summary, PPI''s'!$E41+'Summary, PPI''s'!$E40)/('Predicted PPIs'!S41+'Predicted PPIs'!S40)))*IF(F$36=".", 1, (F41/F40)^(('Summary, PPI''s'!$F41+'Summary, PPI''s'!$F40)/('Predicted PPIs'!S41+'Predicted PPIs'!S40)))*IF(G$36=".", 1, (G41/G40)^(('Summary, PPI''s'!$G41+'Summary, PPI''s'!$G40)/('Predicted PPIs'!S41+'Predicted PPIs'!S40)))*IF(H$36=".", 1, (H41/H40)^(('Summary, PPI''s'!$H41+'Summary, PPI''s'!$H40)/('Predicted PPIs'!S41+'Predicted PPIs'!S40)))*IF(I$36=".", 1, (I41/I40)^(('Summary, PPI''s'!$I41+'Summary, PPI''s'!$I40)/('Predicted PPIs'!S41+'Predicted PPIs'!S40)))*IF(J$36=".", 1, (J41/J40)^(('Summary, PPI''s'!$J41+'Summary, PPI''s'!$J40)/('Predicted PPIs'!S41+'Predicted PPIs'!S40)))*IF(K$36=".", 1, (K41/K40)^(('Summary, PPI''s'!$K41+'Summary, PPI''s'!$K40)/('Predicted PPIs'!S41+'Predicted PPIs'!S40)))*IF(L$36=".", 1, (L41/L40)^(('Summary, PPI''s'!$L41+'Summary, PPI''s'!$L40)/('Predicted PPIs'!S41+'Predicted PPIs'!S40)))*IF(M$36=".", 1, (M41/M40)^(('Summary, PPI''s'!$M41+'Summary, PPI''s'!$M40)/('Predicted PPIs'!S41+'Predicted PPIs'!S40)))*IF(B$36=".", 1, (B41/B40)^(('Summary, PPI''s'!$B41+'Summary, PPI''s'!$B40)/('Predicted PPIs'!S41+'Predicted PPIs'!S40)))*IF(C$36=".", 1, (C41/C40)^(('Summary, PPI''s'!$C41+'Summary, PPI''s'!$C40)/('Predicted PPIs'!S41+'Predicted PPIs'!S40)))*IF(D$36=".", 1, (D41/D40)^(('Summary, PPI''s'!$D41+'Summary, PPI''s'!$D40)/('Predicted PPIs'!S41+'Predicted PPIs'!S40)))*IF(N$36=".", 1, (N41/N40)^(('Summary, PPI''s'!$N41+'Summary, PPI''s'!$N40)/('Predicted PPIs'!S41+'Predicted PPIs'!S40)))*IF(O$36=".", 1, (O41/O40)^(('Summary, PPI''s'!$O41+'Summary, PPI''s'!$O40)/('Predicted PPIs'!S41+'Predicted PPIs'!S40)))*IF(P$36=".", 1, (P41/P40)^(('Summary, PPI''s'!$P41+'Summary, PPI''s'!$P40)/('Predicted PPIs'!S41+'Predicted PPIs'!S40)))</f>
        <v>#VALUE!</v>
      </c>
      <c r="AB41" s="4">
        <f>AB40*IF(E$46=".", 1, (E41/E40)^(('Summary, PPI''s'!$E41+'Summary, PPI''s'!$E40)/('Predicted PPIs'!T41+'Predicted PPIs'!T40)))*IF(F$46=".", 1, (F41/F40)^(('Summary, PPI''s'!$F41+'Summary, PPI''s'!$F40)/('Predicted PPIs'!T41+'Predicted PPIs'!T40)))*IF(G$46=".", 1, (G41/G40)^(('Summary, PPI''s'!$G41+'Summary, PPI''s'!$G40)/('Predicted PPIs'!T41+'Predicted PPIs'!T40)))*IF(H$46=".", 1, (H41/H40)^(('Summary, PPI''s'!$H41+'Summary, PPI''s'!$H40)/('Predicted PPIs'!T41+'Predicted PPIs'!T40)))*IF(I$46=".", 1, (I41/I40)^(('Summary, PPI''s'!$I41+'Summary, PPI''s'!$I40)/('Predicted PPIs'!T41+'Predicted PPIs'!T40)))*IF(J$46=".", 1, (J41/J40)^(('Summary, PPI''s'!$J41+'Summary, PPI''s'!$J40)/('Predicted PPIs'!T41+'Predicted PPIs'!T40)))*IF(K$46=".", 1, (K41/K40)^(('Summary, PPI''s'!$K41+'Summary, PPI''s'!$K40)/('Predicted PPIs'!T41+'Predicted PPIs'!T40)))*IF(L$46=".", 1, (L41/L40)^(('Summary, PPI''s'!$L41+'Summary, PPI''s'!$L40)/('Predicted PPIs'!T41+'Predicted PPIs'!T40)))*IF(M$46=".", 1, (M41/M40)^(('Summary, PPI''s'!$M41+'Summary, PPI''s'!$M40)/('Predicted PPIs'!T41+'Predicted PPIs'!T40)))*IF(B$46=".", 1, (B41/B40)^(('Summary, PPI''s'!$B41+'Summary, PPI''s'!$B40)/('Predicted PPIs'!T41+'Predicted PPIs'!T40)))*IF(C$46=".", 1, (C41/C40)^(('Summary, PPI''s'!$C41+'Summary, PPI''s'!$C40)/('Predicted PPIs'!T41+'Predicted PPIs'!T40)))*IF(D$46=".", 1, (D41/D40)^(('Summary, PPI''s'!$D41+'Summary, PPI''s'!$D40)/('Predicted PPIs'!T41+'Predicted PPIs'!T40)))*IF(N$46=".", 1, (N41/N40)^(('Summary, PPI''s'!$N41+'Summary, PPI''s'!$N40)/('Predicted PPIs'!T41+'Predicted PPIs'!T40)))*IF(O$46=".", 1, (O41/O40)^(('Summary, PPI''s'!$O41+'Summary, PPI''s'!$O40)/('Predicted PPIs'!T41+'Predicted PPIs'!T40)))*IF(P$46=".", 1, (P41/P40)^(('Summary, PPI''s'!$P41+'Summary, PPI''s'!$P40)/('Predicted PPIs'!T41+'Predicted PPIs'!T40)))</f>
        <v>32.94309337909386</v>
      </c>
      <c r="AC41" s="4">
        <f>AC40*IF(E$60=".",1,(E41/E40)^(('Summary, PPI''s'!$E41+'Summary, PPI''s'!$E40)/('Predicted PPIs'!U41+'Predicted PPIs'!U40)))*IF(F$60=".",1,(F41/F40)^(('Summary, PPI''s'!$F41+'Summary, PPI''s'!$F40)/('Predicted PPIs'!U41+'Predicted PPIs'!U40)))*IF(G$60=".",1,(G41/G40)^(('Summary, PPI''s'!$G41+'Summary, PPI''s'!$G40)/('Predicted PPIs'!U41+'Predicted PPIs'!U40)))*IF(H$60=".",1,(H41/H40)^(('Summary, PPI''s'!$H41+'Summary, PPI''s'!$H40)/('Predicted PPIs'!U41+'Predicted PPIs'!U40)))*IF(I$60=".",1,(I41/I40)^(('Summary, PPI''s'!$I41+'Summary, PPI''s'!$I40)/('Predicted PPIs'!U41+'Predicted PPIs'!U40)))*IF(J$60=".",1,(J41/J40)^(('Summary, PPI''s'!$J41+'Summary, PPI''s'!$J40)/('Predicted PPIs'!U41+'Predicted PPIs'!U40)))*IF(K$60=".",1,(K41/K40)^(('Summary, PPI''s'!$K41+'Summary, PPI''s'!$K40)/('Predicted PPIs'!U41+'Predicted PPIs'!U40)))*IF(L$60=".",1,(L41/L40)^(('Summary, PPI''s'!$L41+'Summary, PPI''s'!$L40)/('Predicted PPIs'!U41+'Predicted PPIs'!U40)))*IF(M$60=".",1,(M41/M40)^(('Summary, PPI''s'!$M41+'Summary, PPI''s'!$M40)/('Predicted PPIs'!U41+'Predicted PPIs'!U40)))*IF(B$60=".",1,(B41/B40)^(('Summary, PPI''s'!$B41+'Summary, PPI''s'!$B40)/('Predicted PPIs'!U41+'Predicted PPIs'!U40)))*IF(C$60=".",1,(C41/C40)^(('Summary, PPI''s'!$C41+'Summary, PPI''s'!$C40)/('Predicted PPIs'!U41+'Predicted PPIs'!U40)))*IF(D$60=".",1,(D41/D40)^(('Summary, PPI''s'!$D41+'Summary, PPI''s'!$D40)/('Predicted PPIs'!U41+'Predicted PPIs'!U40)))*IF(N$60=".",1,(N41/N40)^(('Summary, PPI''s'!$N41+'Summary, PPI''s'!$N40)/('Predicted PPIs'!U41+'Predicted PPIs'!U40)))*IF(O$60=".",1,(O41/O40)^(('Summary, PPI''s'!$O41+'Summary, PPI''s'!$O40)/('Predicted PPIs'!U41+'Predicted PPIs'!U40)))*IF(P$60=".",1,(P41/P40)^(('Summary, PPI''s'!$P41+'Summary, PPI''s'!$P40)/('Predicted PPIs'!U41+'Predicted PPIs'!U40)))</f>
        <v>35.432560247392914</v>
      </c>
      <c r="AD41" s="4">
        <f>AD40*IF(E$73=".", 1, (E41/E40)^(('Summary, PPI''s'!$E41+'Summary, PPI''s'!$E40)/('Predicted PPIs'!V41+'Predicted PPIs'!V40)))*IF(F$73=".", 1, (F41/F40)^(('Summary, PPI''s'!$F41+'Summary, PPI''s'!$F40)/('Predicted PPIs'!V41+'Predicted PPIs'!V40)))*IF(G$73=".", 1, (G41/G40)^(('Summary, PPI''s'!$G41+'Summary, PPI''s'!$G40)/('Predicted PPIs'!V41+'Predicted PPIs'!V40)))*IF(H$73=".", 1, (H41/H40)^(('Summary, PPI''s'!$H41+'Summary, PPI''s'!$H40)/('Predicted PPIs'!V41+'Predicted PPIs'!V40)))*IF(I$73=".", 1, (I41/I40)^(('Summary, PPI''s'!$I41+'Summary, PPI''s'!$I40)/('Predicted PPIs'!V41+'Predicted PPIs'!V40)))*IF(J$73=".", 1, (J41/J40)^(('Summary, PPI''s'!$J41+'Summary, PPI''s'!$J40)/('Predicted PPIs'!V41+'Predicted PPIs'!V40)))*IF(K$73=".", 1, (K41/K40)^(('Summary, PPI''s'!$K41+'Summary, PPI''s'!$K40)/('Predicted PPIs'!V41+'Predicted PPIs'!V40)))*IF(L$73=".", 1, (L41/L40)^(('Summary, PPI''s'!$L41+'Summary, PPI''s'!$L40)/('Predicted PPIs'!V41+'Predicted PPIs'!V40)))*IF(M$73=".", 1, (M41/M40)^(('Summary, PPI''s'!$M41+'Summary, PPI''s'!$M40)/('Predicted PPIs'!V41+'Predicted PPIs'!V40)))*IF(B$73=".", 1, (B41/B40)^(('Summary, PPI''s'!$B41+'Summary, PPI''s'!$B40)/('Predicted PPIs'!V41+'Predicted PPIs'!V40)))*IF(C$73=".", 1, (C41/C40)^(('Summary, PPI''s'!$C41+'Summary, PPI''s'!$C40)/('Predicted PPIs'!V41+'Predicted PPIs'!V40)))*IF(D$73=".", 1, (D41/D40)^(('Summary, PPI''s'!$D41+'Summary, PPI''s'!$D40)/('Predicted PPIs'!V41+'Predicted PPIs'!V40)))*IF(N$73=".", 1, (N41/N40)^(('Summary, PPI''s'!$N41+'Summary, PPI''s'!$N40)/('Predicted PPIs'!V41+'Predicted PPIs'!V40)))*IF(O$73=".", 1, (O41/O40)^(('Summary, PPI''s'!$O41+'Summary, PPI''s'!$O40)/('Predicted PPIs'!V41+'Predicted PPIs'!V40)))*IF(P$73=".", 1, (P41/P40)^(('Summary, PPI''s'!$P41+'Summary, PPI''s'!$P40)/('Predicted PPIs'!V41+'Predicted PPIs'!V40)))</f>
        <v>33.962626255275218</v>
      </c>
      <c r="AE41" s="4">
        <f>AE40*IF(E$94=".", 1, (E41/E40)^(('Summary, PPI''s'!$E41+'Summary, PPI''s'!$E40)/('Predicted PPIs'!W41+'Predicted PPIs'!W40)))*IF(F$94=".", 1, (F41/F40)^(('Summary, PPI''s'!$F41+'Summary, PPI''s'!$F40)/('Predicted PPIs'!W41+'Predicted PPIs'!W40)))*IF(G$94=".", 1, (G41/G40)^(('Summary, PPI''s'!$G41+'Summary, PPI''s'!$G40)/('Predicted PPIs'!W41+'Predicted PPIs'!W40)))*IF(H$94=".", 1, (H41/H40)^(('Summary, PPI''s'!$H41+'Summary, PPI''s'!$H40)/('Predicted PPIs'!W41+'Predicted PPIs'!W40)))*IF(I$94=".", 1, (I41/I40)^(('Summary, PPI''s'!$I41+'Summary, PPI''s'!$I40)/('Predicted PPIs'!W41+'Predicted PPIs'!W40)))*IF(J$94=".", 1, (J41/J40)^(('Summary, PPI''s'!$J41+'Summary, PPI''s'!$J40)/('Predicted PPIs'!W41+'Predicted PPIs'!W40)))*IF(K$94=".", 1, (K41/K40)^(('Summary, PPI''s'!$K41+'Summary, PPI''s'!$K40)/('Predicted PPIs'!W41+'Predicted PPIs'!W40)))*IF(L$94=".", 1, (L41/L40)^(('Summary, PPI''s'!$L41+'Summary, PPI''s'!$L40)/('Predicted PPIs'!W41+'Predicted PPIs'!W40)))*IF(M$94=".", 1, (M41/M40)^(('Summary, PPI''s'!$M41+'Summary, PPI''s'!$M40)/('Predicted PPIs'!W41+'Predicted PPIs'!W40)))*IF(B$94=".", 1, (B41/B40)^(('Summary, PPI''s'!$B41+'Summary, PPI''s'!$B40)/('Predicted PPIs'!W41+'Predicted PPIs'!W40)))*IF(C$94=".", 1, (C41/C40)^(('Summary, PPI''s'!$C41+'Summary, PPI''s'!$C40)/('Predicted PPIs'!W41+'Predicted PPIs'!W40)))*IF(D$94=".", 1, (D41/D40)^(('Summary, PPI''s'!$D41+'Summary, PPI''s'!$D40)/('Predicted PPIs'!W41+'Predicted PPIs'!W40)))*IF(N$94=".", 1, (N41/N40)^(('Summary, PPI''s'!$N41+'Summary, PPI''s'!$N40)/('Predicted PPIs'!W41+'Predicted PPIs'!W40)))*IF(O$94=".", 1, (O41/O40)^(('Summary, PPI''s'!$O41+'Summary, PPI''s'!$O40)/('Predicted PPIs'!W41+'Predicted PPIs'!W40)))*IF(P$94=".", 1, (P41/P40)^(('Summary, PPI''s'!$P41+'Summary, PPI''s'!$P40)/('Predicted PPIs'!W41+'Predicted PPIs'!W40)))</f>
        <v>29.962920257829506</v>
      </c>
      <c r="AF41" s="4">
        <f>AF40*IF(E$123=".", 1, (E41/E40)^(('Summary, PPI''s'!$E41+'Summary, PPI''s'!$E40)/('Predicted PPIs'!X41+'Predicted PPIs'!X40)))*IF(F$123=".", 1, (F41/F40)^(('Summary, PPI''s'!$F41+'Summary, PPI''s'!$F40)/('Predicted PPIs'!X41+'Predicted PPIs'!X40)))*IF(G$123=".", 1, (G41/G40)^(('Summary, PPI''s'!$G41+'Summary, PPI''s'!$G40)/('Predicted PPIs'!X41+'Predicted PPIs'!X40)))*IF(H$123=".", 1, (H41/H40)^(('Summary, PPI''s'!$H41+'Summary, PPI''s'!$H40)/('Predicted PPIs'!X41+'Predicted PPIs'!X40)))*IF(I$123=".", 1, (I41/I40)^(('Summary, PPI''s'!$I41+'Summary, PPI''s'!$I40)/('Predicted PPIs'!X41+'Predicted PPIs'!X40)))*IF(J$123=".", 1, (J41/J40)^(('Summary, PPI''s'!$J41+'Summary, PPI''s'!$J40)/('Predicted PPIs'!X41+'Predicted PPIs'!X40)))*IF(K$123=".", 1, (K41/K40)^(('Summary, PPI''s'!$K41+'Summary, PPI''s'!$K40)/('Predicted PPIs'!X41+'Predicted PPIs'!X40)))*IF(L$123=".", 1, (L41/L40)^(('Summary, PPI''s'!$L41+'Summary, PPI''s'!$L40)/('Predicted PPIs'!X41+'Predicted PPIs'!X40)))*IF(M$123=".", 1, (M41/M40)^(('Summary, PPI''s'!$M41+'Summary, PPI''s'!$M40)/('Predicted PPIs'!X41+'Predicted PPIs'!X40)))*IF(B$123=".", 1, (B41/B40)^(('Summary, PPI''s'!$B41+'Summary, PPI''s'!$B40)/('Predicted PPIs'!X41+'Predicted PPIs'!X40)))*IF(C$123=".", 1, (C41/C40)^(('Summary, PPI''s'!$C41+'Summary, PPI''s'!$C40)/('Predicted PPIs'!X41+'Predicted PPIs'!X40)))*IF(D$123=".", 1, (D41/D40)^(('Summary, PPI''s'!$D41+'Summary, PPI''s'!$D40)/('Predicted PPIs'!X41+'Predicted PPIs'!X40)))*IF(N$123=".", 1, (N41/N40)^(('Summary, PPI''s'!$N41+'Summary, PPI''s'!$N40)/('Predicted PPIs'!X41+'Predicted PPIs'!X40)))*IF(O$123=".", 1, (O41/O40)^(('Summary, PPI''s'!$O41+'Summary, PPI''s'!$O40)/('Predicted PPIs'!X41+'Predicted PPIs'!X40)))*IF(P$123=".", 1, (P41/P40)^(('Summary, PPI''s'!$P41+'Summary, PPI''s'!$P40)/('Predicted PPIs'!X41+'Predicted PPIs'!X40)))</f>
        <v>27.489860844694096</v>
      </c>
      <c r="AH41" s="13">
        <f t="shared" si="91"/>
        <v>39.003380712948804</v>
      </c>
      <c r="AJ41" s="4">
        <v>2071.3000000000002</v>
      </c>
      <c r="AK41" s="4">
        <v>-1.129</v>
      </c>
      <c r="AL41" s="4">
        <v>-218.42599999999999</v>
      </c>
      <c r="AM41" s="4">
        <v>-5.1479999999999997</v>
      </c>
      <c r="AN41" s="4">
        <v>2618</v>
      </c>
      <c r="AO41" s="4">
        <v>588</v>
      </c>
      <c r="AP41" s="4">
        <f>('[3]1982'!$I$14+'[3]1982'!$I$69+'[3]1982'!$I$71-'[3]1982'!$I$73)*0.001</f>
        <v>-27.118000000000002</v>
      </c>
      <c r="AQ41" s="4">
        <f>('[3]1982'!$AY$56+'[3]1982'!$AY$69+'[3]1982'!$AY$71-'[3]1982'!$AY$73)*0.001</f>
        <v>-105.297</v>
      </c>
      <c r="AR41" s="4">
        <f>AR$38*14040/23762</f>
        <v>-6.6105344667957251</v>
      </c>
      <c r="AS41" s="4">
        <v>-13.858000000000001</v>
      </c>
      <c r="AT41" s="4">
        <v>47.363</v>
      </c>
      <c r="AU41" s="4">
        <v>64.716999999999999</v>
      </c>
      <c r="AV41" s="4">
        <v>37.582999999999998</v>
      </c>
      <c r="AW41" s="4">
        <v>29.187999999999999</v>
      </c>
      <c r="AX41" s="4">
        <v>50.689</v>
      </c>
      <c r="AY41" s="4">
        <v>69.311000000000007</v>
      </c>
      <c r="AZ41" s="4">
        <v>35.136000000000003</v>
      </c>
      <c r="BA41" s="4">
        <v>49.332999999999998</v>
      </c>
      <c r="BB41" s="4">
        <f>BB$38*192.455/184.05</f>
        <v>107.68278130942679</v>
      </c>
      <c r="BC41" s="4">
        <v>52.383000000000003</v>
      </c>
      <c r="BG41" s="4">
        <f t="shared" si="50"/>
        <v>40.43324769609923</v>
      </c>
      <c r="BI41" s="4">
        <f>BI$13*'[2]Ordinary Experience'!$D$385/'[2]Ordinary Experience'!$D$413</f>
        <v>231013490.45432073</v>
      </c>
      <c r="BJ41" s="4">
        <f>'[2]Ordinary Experience'!$E$385</f>
        <v>22.37558730421059</v>
      </c>
      <c r="BL41" s="4">
        <f t="shared" si="90"/>
        <v>56.890360431396253</v>
      </c>
      <c r="BM41" s="4">
        <f t="shared" si="34"/>
        <v>-3.0224517508703475E-2</v>
      </c>
      <c r="BO41" s="4">
        <f>IF(OR('Summary, hourly ad costs'!R41=-9999,'Summary, PPI''s'!R41="."),".",(('Summary, hourly ad costs'!B41/'Summary, hourly ad costs'!R41)*100/('Summary, hourly ad costs'!B$11/'Summary, hourly ad costs'!R$11))/('Summary, PPI''s'!R41))</f>
        <v>0.74285794300907271</v>
      </c>
      <c r="BP41" s="4" t="str">
        <f>IF(OR('Summary, hourly ad costs'!S41=-9999,'Summary, PPI''s'!S41="."),".",(('Summary, hourly ad costs'!C41/'Summary, hourly ad costs'!S41)*100/('Summary, hourly ad costs'!C$11/'Summary, hourly ad costs'!S$11))/('Summary, PPI''s'!S41))</f>
        <v>.</v>
      </c>
      <c r="BQ41" s="4" t="str">
        <f>IF(OR('Summary, hourly ad costs'!T41=-9999,'Summary, PPI''s'!T41="."),".",(('Summary, hourly ad costs'!D41/'Summary, hourly ad costs'!T41)*100/('Summary, hourly ad costs'!D$11/'Summary, hourly ad costs'!T$11))/('Summary, PPI''s'!T41))</f>
        <v>.</v>
      </c>
      <c r="BR41" s="4">
        <f>IF(OR('Summary, hourly ad costs'!U41=-9999,'Summary, PPI''s'!U41="."),".",(('Summary, hourly ad costs'!E41/'Summary, hourly ad costs'!U41)*100/('Summary, hourly ad costs'!E$11/'Summary, hourly ad costs'!U$11))/('Summary, PPI''s'!U41))</f>
        <v>2.035922175217642</v>
      </c>
      <c r="BS41" s="4">
        <f>IF(OR('Summary, hourly ad costs'!V41=-9999,'Summary, PPI''s'!V41="."),".",(('Summary, hourly ad costs'!F41/'Summary, hourly ad costs'!V41)*100/('Summary, hourly ad costs'!F$11/'Summary, hourly ad costs'!V$11))/('Summary, PPI''s'!V41))</f>
        <v>2.1243722927740225</v>
      </c>
      <c r="BT41" s="4" t="str">
        <f>IF(OR('Summary, hourly ad costs'!W41=-9999,'Summary, PPI''s'!W41="."),".",(('Summary, hourly ad costs'!G41/'Summary, hourly ad costs'!W41)*100/('Summary, hourly ad costs'!G$11/'Summary, hourly ad costs'!W$11))/('Summary, PPI''s'!W41))</f>
        <v>.</v>
      </c>
      <c r="BU41" s="4">
        <f>IF(OR('Summary, hourly ad costs'!X41=-9999,'Summary, PPI''s'!X41="."),".",(('Summary, hourly ad costs'!H41/'Summary, hourly ad costs'!X41)*100/('Summary, hourly ad costs'!H$11/'Summary, hourly ad costs'!X$11))/('Summary, PPI''s'!X41))</f>
        <v>1.1131375141129189</v>
      </c>
      <c r="BV41" s="4">
        <f>IF(OR('Summary, hourly ad costs'!Y41=-9999,'Summary, PPI''s'!Y41="."),".",(('Summary, hourly ad costs'!I41/'Summary, hourly ad costs'!Y41)*100/('Summary, hourly ad costs'!I$11/'Summary, hourly ad costs'!Y$11))/('Summary, PPI''s'!Y41))</f>
        <v>0.64944749191473961</v>
      </c>
      <c r="BW41" s="4">
        <f>IF(OR('Summary, hourly ad costs'!Z41=-9999,'Summary, PPI''s'!Z41="."),".",(('Summary, hourly ad costs'!J41/'Summary, hourly ad costs'!Z41)*100/('Summary, hourly ad costs'!J$11/'Summary, hourly ad costs'!Z$11))/('Summary, PPI''s'!Z41))</f>
        <v>0.6298522981864958</v>
      </c>
      <c r="BX41" s="4" t="str">
        <f>IF(OR('Summary, hourly ad costs'!AA41=-9999,'Summary, PPI''s'!AA41="."),".",(('Summary, hourly ad costs'!K41/'Summary, hourly ad costs'!AA41)*100/('Summary, hourly ad costs'!K$11/'Summary, hourly ad costs'!AA$11))/('Summary, PPI''s'!AA41))</f>
        <v>.</v>
      </c>
      <c r="BY41" s="4" t="str">
        <f>IF(OR('Summary, hourly ad costs'!AB41=-9999,'Summary, PPI''s'!AB41="."),".",(('Summary, hourly ad costs'!L41/'Summary, hourly ad costs'!AB41)*100/('Summary, hourly ad costs'!L$11/'Summary, hourly ad costs'!AB$11))/('Summary, PPI''s'!AB41))</f>
        <v>.</v>
      </c>
      <c r="BZ41" s="4" t="str">
        <f>IF(OR('Summary, hourly ad costs'!AC41=-9999,'Summary, PPI''s'!AC41="."),".",(('Summary, hourly ad costs'!M41/'Summary, hourly ad costs'!AC41)*100/('Summary, hourly ad costs'!M$11/'Summary, hourly ad costs'!AC$11))/('Summary, PPI''s'!AC41))</f>
        <v>.</v>
      </c>
      <c r="CA41" s="4" t="str">
        <f>IF(OR('Summary, hourly ad costs'!AD41=-9999,'Summary, PPI''s'!AD41="."),".",(('Summary, hourly ad costs'!N41/'Summary, hourly ad costs'!AD41)*100/('Summary, hourly ad costs'!N$11/'Summary, hourly ad costs'!AD$11))/('Summary, PPI''s'!AD41))</f>
        <v>.</v>
      </c>
      <c r="CB41" s="4" t="str">
        <f>IF(OR('Summary, hourly ad costs'!AE41=-9999,'Summary, PPI''s'!AE41="."),".",(('Summary, hourly ad costs'!O41/'Summary, hourly ad costs'!AE41)*100/('Summary, hourly ad costs'!O$11/'Summary, hourly ad costs'!AE$11))/('Summary, PPI''s'!AE41))</f>
        <v>.</v>
      </c>
      <c r="CC41" s="4" t="str">
        <f>IF(OR('Summary, hourly ad costs'!AF41=-9999,'Summary, PPI''s'!AF41="."),".",(('Summary, hourly ad costs'!P41/'Summary, hourly ad costs'!AF41)*100/('Summary, hourly ad costs'!P$11/'Summary, hourly ad costs'!AF$11))/('Summary, PPI''s'!AF41))</f>
        <v>.</v>
      </c>
      <c r="CE41" s="4">
        <f t="shared" si="80"/>
        <v>-0.11429444618297857</v>
      </c>
      <c r="CF41" s="4" t="str">
        <f t="shared" si="81"/>
        <v>.</v>
      </c>
      <c r="CG41" s="4" t="str">
        <f t="shared" si="82"/>
        <v>.</v>
      </c>
      <c r="CH41" s="4">
        <f t="shared" si="83"/>
        <v>-2.7178337388345297E-2</v>
      </c>
      <c r="CI41" s="4">
        <f t="shared" si="84"/>
        <v>-9.6267019367246132E-2</v>
      </c>
      <c r="CJ41" s="4" t="str">
        <f t="shared" si="85"/>
        <v>.</v>
      </c>
      <c r="CK41" s="4">
        <f t="shared" si="86"/>
        <v>1.0005234259535811E-5</v>
      </c>
      <c r="CL41" s="4">
        <f t="shared" si="87"/>
        <v>-6.8052621957014003E-2</v>
      </c>
      <c r="CM41" s="4">
        <f t="shared" si="88"/>
        <v>-5.1423056077855023E-3</v>
      </c>
      <c r="CN41" s="4">
        <f t="shared" si="89"/>
        <v>-6.1747455321014603E-2</v>
      </c>
      <c r="CO41" s="4">
        <f t="shared" si="79"/>
        <v>-0.20443169836969177</v>
      </c>
      <c r="CP41" s="4">
        <f t="shared" si="79"/>
        <v>0.27092455394474779</v>
      </c>
      <c r="CQ41" s="4" t="str">
        <f t="shared" si="62"/>
        <v>.</v>
      </c>
      <c r="CR41" s="4" t="str">
        <f t="shared" si="63"/>
        <v>.</v>
      </c>
      <c r="CS41" s="4" t="str">
        <f t="shared" si="64"/>
        <v>.</v>
      </c>
      <c r="CU41" s="5">
        <f>IF(CU40=".", ".", IF('Summary, PPI''s'!R41=".",IF(OR('Summary, hourly ad costs'!R41=-9999,'Summary, hourly ad costs'!R41=0), ".", 'Predicted PPIs'!CU40*('Summary, hourly ad costs'!B41/'Summary, hourly ad costs'!R41)/('Summary, hourly ad costs'!B40/'Summary, hourly ad costs'!R40)/(1-CE40)), 'Summary, PPI''s'!R41))</f>
        <v>63.997540738593308</v>
      </c>
      <c r="CV41" s="5">
        <f>IF(CV40=".", ".", IF('Summary, PPI''s'!S41=".",IF(OR('Summary, hourly ad costs'!S41=-9999,'Summary, hourly ad costs'!S41=0), ".", 'Predicted PPIs'!CV40*('Summary, hourly ad costs'!C41/'Summary, hourly ad costs'!S41)/('Summary, hourly ad costs'!C40/'Summary, hourly ad costs'!S40)/(1-CF40)), 'Summary, PPI''s'!S41))</f>
        <v>63.997540738593308</v>
      </c>
      <c r="CW41" s="5">
        <f>IF(CW40=".", ".", IF('Summary, PPI''s'!T41=".",IF(OR('Summary, hourly ad costs'!T41=-9999,'Summary, hourly ad costs'!T41=0), ".", 'Predicted PPIs'!CW40*('Summary, hourly ad costs'!D41/'Summary, hourly ad costs'!T41)/('Summary, hourly ad costs'!D40/'Summary, hourly ad costs'!T40)/(1-CG40)), 'Summary, PPI''s'!T41))</f>
        <v>55.79998775126446</v>
      </c>
      <c r="CX41" s="5">
        <f>IF(CX40=".", ".", IF('Summary, PPI''s'!U41=".",IF(OR('Summary, hourly ad costs'!U41=-9999,'Summary, hourly ad costs'!U41=0), ".", 'Predicted PPIs'!CX40*('Summary, hourly ad costs'!E41/'Summary, hourly ad costs'!U41)/('Summary, hourly ad costs'!E40/'Summary, hourly ad costs'!U40)/(1-CH40)), 'Summary, PPI''s'!U41))</f>
        <v>25.381816643398061</v>
      </c>
      <c r="CY41" s="5">
        <f>IF(CY40=".", ".", IF('Summary, PPI''s'!V41=".",IF(OR('Summary, hourly ad costs'!V41=-9999,'Summary, hourly ad costs'!V41=0), ".", 'Predicted PPIs'!CY40*('Summary, hourly ad costs'!F41/'Summary, hourly ad costs'!V41)/('Summary, hourly ad costs'!F40/'Summary, hourly ad costs'!V40)/(1-CI40)), 'Summary, PPI''s'!V41))</f>
        <v>24.716833477490834</v>
      </c>
      <c r="CZ41" s="5">
        <f>IF(CZ40=".", ".", IF('Summary, PPI''s'!W41=".",IF(OR('Summary, hourly ad costs'!W41=-9999,'Summary, hourly ad costs'!W41=0), ".", 'Predicted PPIs'!CZ40*('Summary, hourly ad costs'!G41/'Summary, hourly ad costs'!W41)/('Summary, hourly ad costs'!G40/'Summary, hourly ad costs'!W40)/(1-CJ40)), 'Summary, PPI''s'!W41))</f>
        <v>26.517946314826297</v>
      </c>
      <c r="DA41" s="5">
        <f>IF(DA40=".", ".", IF('Summary, PPI''s'!X41=".",IF(OR('Summary, hourly ad costs'!X41=-9999,'Summary, hourly ad costs'!X41=0), ".", 'Predicted PPIs'!DA40*('Summary, hourly ad costs'!H41/'Summary, hourly ad costs'!X41)/('Summary, hourly ad costs'!H40/'Summary, hourly ad costs'!X40)/(1-CK40)), 'Summary, PPI''s'!X41))</f>
        <v>32.597000000000001</v>
      </c>
      <c r="DB41" s="5">
        <f>IF(DB40=".", ".", IF('Summary, PPI''s'!Y41=".",IF(OR('Summary, hourly ad costs'!Y41=-9999,'Summary, hourly ad costs'!Y41=0), ".", 'Predicted PPIs'!DB40*('Summary, hourly ad costs'!I41/'Summary, hourly ad costs'!Y41)/('Summary, hourly ad costs'!I40/'Summary, hourly ad costs'!Y40)/(1-CL40)), 'Summary, PPI''s'!Y41))</f>
        <v>38.734045602752502</v>
      </c>
      <c r="DC41" s="5">
        <f>IF(DC40=".", ".", IF('Summary, PPI''s'!Z41=".",IF(OR('Summary, hourly ad costs'!Z41=-9999,'Summary, hourly ad costs'!Z41=0), ".", 'Predicted PPIs'!DC40*('Summary, hourly ad costs'!J41/'Summary, hourly ad costs'!Z41)/('Summary, hourly ad costs'!J40/'Summary, hourly ad costs'!Z40)/(1-CM40)), 'Summary, PPI''s'!Z41))</f>
        <v>41.525511470064316</v>
      </c>
      <c r="DD41" s="5">
        <f>IF(DD40=".", ".", IF('Summary, PPI''s'!AA41=".",IF(OR('Summary, hourly ad costs'!AA41=-9999,'Summary, hourly ad costs'!AA41=0), ".", 'Predicted PPIs'!DD40*('Summary, hourly ad costs'!K41/'Summary, hourly ad costs'!AA41)/('Summary, hourly ad costs'!K40/'Summary, hourly ad costs'!AA40)/(1-CN40)), 'Summary, PPI''s'!AA41))</f>
        <v>22.235349522944158</v>
      </c>
      <c r="DE41" s="5" t="str">
        <f>IF(DE40=".", ".", IF('Summary, PPI''s'!AB41=".",IF(OR('Summary, hourly ad costs'!AB41=-9999,'Summary, hourly ad costs'!AB41=0), ".", 'Predicted PPIs'!DE40*('Summary, hourly ad costs'!L41/'Summary, hourly ad costs'!AB41)/('Summary, hourly ad costs'!L40/'Summary, hourly ad costs'!AB40)/(1-CO40)), 'Summary, PPI''s'!AB41))</f>
        <v>.</v>
      </c>
      <c r="DF41" s="5" t="str">
        <f>IF(DF40=".", ".", IF('Summary, PPI''s'!AC41=".",IF(OR('Summary, hourly ad costs'!AC41=-9999,'Summary, hourly ad costs'!AC41=0), ".", 'Predicted PPIs'!DF40*('Summary, hourly ad costs'!M41/'Summary, hourly ad costs'!AC41)/('Summary, hourly ad costs'!M40/'Summary, hourly ad costs'!AC40)/(1-CP40)), 'Summary, PPI''s'!AC41))</f>
        <v>.</v>
      </c>
      <c r="DG41" s="5" t="str">
        <f>IF(DG40=".", ".", IF('Summary, PPI''s'!AD41=".",IF(OR('Summary, hourly ad costs'!AD41=-9999,'Summary, hourly ad costs'!AD41=0), ".", 'Predicted PPIs'!DG40*('Summary, hourly ad costs'!N41/'Summary, hourly ad costs'!AD41)/('Summary, hourly ad costs'!N40/'Summary, hourly ad costs'!AD40)/(1-CQ40)), 'Summary, PPI''s'!AD41))</f>
        <v>.</v>
      </c>
      <c r="DH41" s="5">
        <f>IF(DH40=".", ".", IF('Summary, PPI''s'!AE41=".",IF(OR('Summary, hourly ad costs'!AE41=-9999,'Summary, hourly ad costs'!AE41=0), ".", 'Predicted PPIs'!DH40*('Summary, hourly ad costs'!O41/'Summary, hourly ad costs'!AE41)/('Summary, hourly ad costs'!O40/'Summary, hourly ad costs'!AE40)/(1-CR40)), 'Summary, PPI''s'!AE41))</f>
        <v>31.526799344712067</v>
      </c>
      <c r="DI41" s="5" t="str">
        <f>IF(DI40=".", ".", IF('Summary, PPI''s'!AF41=".",IF(OR('Summary, hourly ad costs'!AF41=-9999,'Summary, hourly ad costs'!AF41=0), ".", 'Predicted PPIs'!DI40*('Summary, hourly ad costs'!P41/'Summary, hourly ad costs'!AF41)/('Summary, hourly ad costs'!P40/'Summary, hourly ad costs'!AF40)/(1-CS40)), 'Summary, PPI''s'!AF41))</f>
        <v>.</v>
      </c>
      <c r="DK41" s="4">
        <v>24.460999999999999</v>
      </c>
      <c r="DM41" s="5">
        <f t="shared" si="65"/>
        <v>-1.641275095340855E-2</v>
      </c>
      <c r="DN41" s="5">
        <f t="shared" si="66"/>
        <v>-1.641275095340855E-2</v>
      </c>
      <c r="DO41" s="5">
        <f t="shared" si="67"/>
        <v>-7.1463427737700203E-2</v>
      </c>
      <c r="DP41" s="5">
        <f t="shared" si="68"/>
        <v>-1.6412750953408439E-2</v>
      </c>
      <c r="DQ41" s="5">
        <f t="shared" si="69"/>
        <v>2.5606055547051643E-3</v>
      </c>
      <c r="DR41" s="5">
        <f t="shared" si="70"/>
        <v>-2.5634409340060005E-2</v>
      </c>
      <c r="DS41" s="5">
        <f t="shared" si="71"/>
        <v>-5.6011459160559385E-2</v>
      </c>
      <c r="DT41" s="5">
        <f t="shared" si="72"/>
        <v>-1.4685414601164681E-2</v>
      </c>
      <c r="DU41" s="5">
        <f t="shared" si="73"/>
        <v>-1.4685414601164903E-2</v>
      </c>
      <c r="DV41" s="5">
        <f t="shared" si="74"/>
        <v>3.5756864318892134E-2</v>
      </c>
      <c r="DW41" s="4">
        <f t="shared" si="78"/>
        <v>6.9665683108811161E-2</v>
      </c>
      <c r="DX41" s="4">
        <f t="shared" si="78"/>
        <v>-0.30512985713929752</v>
      </c>
      <c r="DY41" s="4">
        <f t="shared" si="108"/>
        <v>-2.4063349909511218E-2</v>
      </c>
      <c r="DZ41" s="5">
        <f t="shared" si="92"/>
        <v>-5.5401584097940493E-2</v>
      </c>
      <c r="EA41" s="4">
        <f t="shared" si="109"/>
        <v>-1.4421102082502978E-2</v>
      </c>
      <c r="EC41" s="1">
        <f t="shared" si="93"/>
        <v>63.997540738593308</v>
      </c>
      <c r="ED41" s="1">
        <f t="shared" si="94"/>
        <v>63.997540738593308</v>
      </c>
      <c r="EE41" s="1">
        <f t="shared" si="95"/>
        <v>55.79998775126446</v>
      </c>
      <c r="EF41" s="1">
        <f t="shared" si="96"/>
        <v>25.381816643398061</v>
      </c>
      <c r="EG41" s="1">
        <f t="shared" si="97"/>
        <v>24.716833477490834</v>
      </c>
      <c r="EH41" s="1">
        <f t="shared" si="98"/>
        <v>26.517946314826297</v>
      </c>
      <c r="EI41" s="1">
        <f t="shared" si="99"/>
        <v>32.597000000000001</v>
      </c>
      <c r="EJ41" s="1">
        <f t="shared" si="100"/>
        <v>38.734045602752502</v>
      </c>
      <c r="EK41" s="1">
        <f t="shared" si="101"/>
        <v>41.525511470064316</v>
      </c>
      <c r="EL41" s="1">
        <f t="shared" si="102"/>
        <v>22.235349522944158</v>
      </c>
      <c r="EM41" s="1">
        <f t="shared" si="103"/>
        <v>34.775358032154529</v>
      </c>
      <c r="EN41" s="1">
        <f t="shared" si="104"/>
        <v>46.580553094512048</v>
      </c>
      <c r="EO41" s="1">
        <f t="shared" si="105"/>
        <v>36.508766098408991</v>
      </c>
      <c r="EP41" s="1">
        <f t="shared" si="106"/>
        <v>31.526799344712067</v>
      </c>
      <c r="EQ41" s="1">
        <f t="shared" si="107"/>
        <v>32.166276712012099</v>
      </c>
      <c r="ES41" s="1">
        <f>IF(EF$26=".", 0, 'Summary, PPI''s'!E41)+IF(EG$26=".", 0, 'Summary, PPI''s'!F41)+IF(EH$26=".", 0, 'Summary, PPI''s'!G41)+IF(EI$26=".", 0, 'Summary, PPI''s'!H41)+IF(EJ$26=".", 0, 'Summary, PPI''s'!I41)+IF(EK$26=".", 0, 'Summary, PPI''s'!J41)+IF(EL$26=".", 0, 'Summary, PPI''s'!K41)+IF(EM$26=".", 0, 'Summary, PPI''s'!L41)+IF(EN$26=".", 0, 'Summary, PPI''s'!M41)+IF(EC$26=".", 0, 'Summary, PPI''s'!B41)+IF(ED$26=".", 0, 'Summary, PPI''s'!C41)+IF(EE$26=".", 0, 'Summary, PPI''s'!D41)+IF(EO$26=".", 0, 'Summary, PPI''s'!N41)+IF(EP$26=".", 0, 'Summary, PPI''s'!O41)+IF(EQ$26=".", 0, 'Summary, PPI''s'!P41)</f>
        <v>67128728.15060626</v>
      </c>
      <c r="ET41" s="1">
        <f>'Summary, hourly ad costs'!E41+'Summary, hourly ad costs'!F41+'Summary, hourly ad costs'!H41+'Summary, hourly ad costs'!I41+'Summary, hourly ad costs'!J41+'Summary, hourly ad costs'!K41+'Summary, hourly ad costs'!L41+'Summary, hourly ad costs'!M41+'Summary, hourly ad costs'!B41</f>
        <v>36282218.236755185</v>
      </c>
      <c r="EV41" s="13">
        <f>EV40*IF(EF$26=".", 1, (EF41/EF40)^(('Summary, PPI''s'!$E41+'Summary, PPI''s'!$E40)/('Predicted PPIs'!ES41+'Predicted PPIs'!ES40)))*IF(EG$26=".", 1, (EG41/EG40)^(('Summary, PPI''s'!$F41+'Summary, PPI''s'!$F40)/('Predicted PPIs'!ES41+'Predicted PPIs'!ES40)))*IF(EH$26=".", 1, (EH41/EH40)^(('Summary, PPI''s'!$G41+'Summary, PPI''s'!$G40)/('Predicted PPIs'!ES41+'Predicted PPIs'!ES40)))*IF(EI$26=".", 1, (EI41/EI40)^(('Summary, PPI''s'!$H41+'Summary, PPI''s'!$H40)/('Predicted PPIs'!ES41+'Predicted PPIs'!ES40)))*IF(EJ$26=".", 1, (EJ41/EJ40)^(('Summary, PPI''s'!$I41+'Summary, PPI''s'!$I40)/('Predicted PPIs'!ES41+'Predicted PPIs'!ES40)))*IF(EK$26=".", 1, (EK41/EK40)^(('Summary, PPI''s'!$J41+'Summary, PPI''s'!$J40)/('Predicted PPIs'!ES41+'Predicted PPIs'!ES40)))*IF(EL$26=".", 1, (EL41/EL40)^(('Summary, PPI''s'!$K41+'Summary, PPI''s'!$K40)/('Predicted PPIs'!ES41+'Predicted PPIs'!ES40)))*IF(EM$26=".", 1, (EM41/EM40)^(('Summary, PPI''s'!$L41+'Summary, PPI''s'!$L40)/('Predicted PPIs'!ES41+'Predicted PPIs'!ES40)))*IF(EN$26=".", 1, (EN41/EN40)^(('Summary, PPI''s'!$M41+'Summary, PPI''s'!$M40)/('Predicted PPIs'!ES41+'Predicted PPIs'!ES40)))*IF(EC$26=".", 1, (EC41/EC40)^(('Summary, PPI''s'!$B41+'Summary, PPI''s'!$B40)/('Predicted PPIs'!ES41+'Predicted PPIs'!ES40)))*IF(ED$26=".", 1, (ED41/ED40)^(('Summary, PPI''s'!$C41+'Summary, PPI''s'!$C40)/('Predicted PPIs'!ES41+'Predicted PPIs'!ES40)))*IF(EE$26=".", 1, (EE41/EE40)^(('Summary, PPI''s'!$D41+'Summary, PPI''s'!$D40)/('Predicted PPIs'!ES41+'Predicted PPIs'!ES40)))*IF(EO$26=".", 1, (EO41/EO40)^(('Summary, PPI''s'!$N41+'Summary, PPI''s'!$N40)/('Predicted PPIs'!ES41+'Predicted PPIs'!ES40)))*IF(EP$26=".", 1, (EP41/EP40)^(('Summary, PPI''s'!$O41+'Summary, PPI''s'!$O40)/('Predicted PPIs'!ES41+'Predicted PPIs'!ES40)))*IF(EQ$26=".", 1, (EQ41/EQ40)^(('Summary, PPI''s'!$P41+'Summary, PPI''s'!$P40)/('Predicted PPIs'!ES41+'Predicted PPIs'!ES40)))</f>
        <v>39.654044865592454</v>
      </c>
      <c r="EW41" s="13">
        <f>EW40*IF(EF$26=".", 1, (EF41/EF40)^(('Summary, PPI''s'!$E41+'Summary, PPI''s'!$E40)/('Predicted PPIs'!ET41+'Predicted PPIs'!ET40)))*IF(EG$26=".", 1, (EG41/EG40)^(('Summary, PPI''s'!$F41+'Summary, PPI''s'!$F40)/('Predicted PPIs'!ET41+'Predicted PPIs'!ET40)))*IF(EH$26=".", 1, (EH41/EH40)^(('Summary, PPI''s'!$G41+'Summary, PPI''s'!$G40)/('Predicted PPIs'!ET41+'Predicted PPIs'!ET40)))*IF(EK$26=".", 1, (EK41/EK40)^(('Summary, PPI''s'!$J41+'Summary, PPI''s'!$J40)/('Predicted PPIs'!ET41+'Predicted PPIs'!ET40)))*IF(EL$26=".", 1, (EL41/EL40)^(('Summary, PPI''s'!$K41+'Summary, PPI''s'!$K40)/('Predicted PPIs'!ET41+'Predicted PPIs'!ET40)))*IF(EM$26=".", 1, (EM41/EM40)^(('Summary, PPI''s'!$L41+'Summary, PPI''s'!$L40)/('Predicted PPIs'!ET41+'Predicted PPIs'!ET40)))*IF(EN$26=".", 1, (EN41/EN40)^(('Summary, PPI''s'!$M41+'Summary, PPI''s'!$M40)/('Predicted PPIs'!ET41+'Predicted PPIs'!ET40)))*IF(EC$26=".", 1, (EC41/EC40)^(('Summary, PPI''s'!$B41+'Summary, PPI''s'!$B40)/('Predicted PPIs'!ET41+'Predicted PPIs'!ET40)))</f>
        <v>40.147011172928053</v>
      </c>
      <c r="EY41" s="2"/>
    </row>
    <row r="42" spans="1:155" x14ac:dyDescent="0.3">
      <c r="A42" s="4">
        <v>1981</v>
      </c>
      <c r="B42" s="10">
        <f>IF(B41=".", ".", IF('Summary, PPI''s'!R42=".",IF(OR('Summary, hourly ad costs'!R42=-9999,'Summary, hourly ad costs'!R42=0), ".", 'Predicted PPIs'!B41*('Summary, hourly ad costs'!B42/'Summary, hourly ad costs'!R42)/('Summary, hourly ad costs'!B41/'Summary, hourly ad costs'!R41)), 'Summary, PPI''s'!R42))</f>
        <v>58.247949196281141</v>
      </c>
      <c r="C42" s="10">
        <f>IF(C41=".", ".", IF('Summary, PPI''s'!S42=".",IF(OR('Summary, hourly ad costs'!S42=-9999,'Summary, hourly ad costs'!S42=0), ".", 'Predicted PPIs'!C41*('Summary, hourly ad costs'!C42/'Summary, hourly ad costs'!S42)/('Summary, hourly ad costs'!C41/'Summary, hourly ad costs'!S41)), 'Summary, PPI''s'!S42))</f>
        <v>58.247949196281141</v>
      </c>
      <c r="D42" s="10">
        <f>IF(D41=".", ".", IF('Summary, PPI''s'!T42=".",IF(OR('Summary, hourly ad costs'!T42=-9999,'Summary, hourly ad costs'!T42=0), ".", 'Predicted PPIs'!D41*('Summary, hourly ad costs'!D42/'Summary, hourly ad costs'!T42)/('Summary, hourly ad costs'!D41/'Summary, hourly ad costs'!T41)), 'Summary, PPI''s'!T42))</f>
        <v>53.79790125363246</v>
      </c>
      <c r="E42" s="10">
        <f>IF(E41=".", ".", IF('Summary, PPI''s'!U42=".",IF(OR('Summary, hourly ad costs'!U42=-9999,'Summary, hourly ad costs'!U42=0), ".", 'Predicted PPIs'!E41*('Summary, hourly ad costs'!E42/'Summary, hourly ad costs'!U42)/('Summary, hourly ad costs'!E41/'Summary, hourly ad costs'!U41)), 'Summary, PPI''s'!U42))</f>
        <v>23.101493421330957</v>
      </c>
      <c r="F42" s="10">
        <f>IF(F41=".", ".", IF('Summary, PPI''s'!V42=".",IF(OR('Summary, hourly ad costs'!V42=-9999,'Summary, hourly ad costs'!V42=0), ".", 'Predicted PPIs'!F41*('Summary, hourly ad costs'!F42/'Summary, hourly ad costs'!V42)/('Summary, hourly ad costs'!F41/'Summary, hourly ad costs'!V41)), 'Summary, PPI''s'!V42))</f>
        <v>22.070513612587007</v>
      </c>
      <c r="G42" s="10">
        <f>IF(G41=".", ".", IF('Summary, PPI''s'!W42=".",IF(OR('Summary, hourly ad costs'!W42=-9999,'Summary, hourly ad costs'!W42=0), ".", 'Predicted PPIs'!G41*('Summary, hourly ad costs'!G42/'Summary, hourly ad costs'!W42)/('Summary, hourly ad costs'!G41/'Summary, hourly ad costs'!W41)), 'Summary, PPI''s'!W42))</f>
        <v>24.363977638765249</v>
      </c>
      <c r="H42" s="10">
        <f>IF(H41=".", ".", IF('Summary, PPI''s'!X42=".",IF(OR('Summary, hourly ad costs'!X42=-9999,'Summary, hourly ad costs'!X42=0), ".", 'Predicted PPIs'!H41*('Summary, hourly ad costs'!H42/'Summary, hourly ad costs'!X42)/('Summary, hourly ad costs'!H41/'Summary, hourly ad costs'!X41)), 'Summary, PPI''s'!X42))</f>
        <v>30.913</v>
      </c>
      <c r="I42" s="10">
        <f>IF(I41=".", ".", IF('Summary, PPI''s'!Y42=".",IF(OR('Summary, hourly ad costs'!Y42=-9999,'Summary, hourly ad costs'!Y42=0), ".", 'Predicted PPIs'!I41*('Summary, hourly ad costs'!I42/'Summary, hourly ad costs'!Y42)/('Summary, hourly ad costs'!I41/'Summary, hourly ad costs'!Y41)), 'Summary, PPI''s'!Y42))</f>
        <v>35.19234380301026</v>
      </c>
      <c r="J42" s="10">
        <f>IF(J41=".", ".", IF('Summary, PPI''s'!Z42=".",IF(OR('Summary, hourly ad costs'!Z42=-9999,'Summary, hourly ad costs'!Z42=0), ".", 'Predicted PPIs'!J41*('Summary, hourly ad costs'!J42/'Summary, hourly ad costs'!Z42)/('Summary, hourly ad costs'!J41/'Summary, hourly ad costs'!Z41)), 'Summary, PPI''s'!Z42))</f>
        <v>37.728568072592488</v>
      </c>
      <c r="K42" s="10">
        <f>IF(K41=".", ".", IF('Summary, PPI''s'!AA42=".",IF(OR('Summary, hourly ad costs'!AA42=-9999,'Summary, hourly ad costs'!AA42=0), ".", 'Predicted PPIs'!K41*('Summary, hourly ad costs'!K42/'Summary, hourly ad costs'!AA42)/('Summary, hourly ad costs'!K41/'Summary, hourly ad costs'!AA41)), 'Summary, PPI''s'!AA42))</f>
        <v>21.640884078556322</v>
      </c>
      <c r="L42" s="10" t="str">
        <f>IF(L41=".", ".", IF('Summary, PPI''s'!AB42=".",IF(OR('Summary, hourly ad costs'!AB42=-9999,'Summary, hourly ad costs'!AB42=0), ".", 'Predicted PPIs'!L41*('Summary, hourly ad costs'!L42/'Summary, hourly ad costs'!AB42)/('Summary, hourly ad costs'!L41/'Summary, hourly ad costs'!AB41)), 'Summary, PPI''s'!AB42))</f>
        <v>.</v>
      </c>
      <c r="M42" s="10" t="str">
        <f>IF(M41=".", ".", IF('Summary, PPI''s'!AC42=".",IF(OR('Summary, hourly ad costs'!AC42=-9999,'Summary, hourly ad costs'!AC42=0), ".", 'Predicted PPIs'!M41*('Summary, hourly ad costs'!M42/'Summary, hourly ad costs'!AC42)/('Summary, hourly ad costs'!M41/'Summary, hourly ad costs'!AC41)), 'Summary, PPI''s'!AC42))</f>
        <v>.</v>
      </c>
      <c r="N42" s="10" t="str">
        <f>IF(N41=".", ".", IF('Summary, PPI''s'!AD42=".",IF(OR('Summary, hourly ad costs'!AD42=-9999,'Summary, hourly ad costs'!AD42=0), ".", 'Predicted PPIs'!N41*('Summary, hourly ad costs'!N42/'Summary, hourly ad costs'!AD42)/('Summary, hourly ad costs'!N41/'Summary, hourly ad costs'!AD41)), 'Summary, PPI''s'!AD42))</f>
        <v>.</v>
      </c>
      <c r="O42" s="10">
        <f>IF(O41=".", ".", IF('Summary, PPI''s'!AE42=".",IF(OR('Summary, hourly ad costs'!AE42=-9999,'Summary, hourly ad costs'!AE42=0), ".", 'Predicted PPIs'!O41*('Summary, hourly ad costs'!O42/'Summary, hourly ad costs'!AE42)/('Summary, hourly ad costs'!O41/'Summary, hourly ad costs'!AE41)), 'Summary, PPI''s'!AE42))</f>
        <v>29.878783645571296</v>
      </c>
      <c r="P42" s="10" t="str">
        <f>IF(P41=".", ".", IF('Summary, PPI''s'!AF42=".",IF(OR('Summary, hourly ad costs'!AF42=-9999,'Summary, hourly ad costs'!AF42=0), ".", 'Predicted PPIs'!P41*('Summary, hourly ad costs'!P42/'Summary, hourly ad costs'!AF42)/('Summary, hourly ad costs'!P41/'Summary, hourly ad costs'!AF41)), 'Summary, PPI''s'!AF42))</f>
        <v>.</v>
      </c>
      <c r="R42" s="1">
        <f>IF(E$26=".", 0, 'Summary, PPI''s'!E42)+IF(F$26=".", 0, 'Summary, PPI''s'!F42)+IF(G$26=".", 0, 'Summary, PPI''s'!G42)+IF(H$26=".", 0, 'Summary, PPI''s'!H42)+IF(I$26=".", 0, 'Summary, PPI''s'!I42)+IF(J$26=".", 0, 'Summary, PPI''s'!J42)+IF(K$26=".", 0, 'Summary, PPI''s'!K42)+IF(L$26=".", 0, 'Summary, PPI''s'!L42)+IF(M$26=".", 0, 'Summary, PPI''s'!M42)+IF(B$26=".", 0, 'Summary, PPI''s'!B42)+IF(C$26=".", 0, 'Summary, PPI''s'!C42)+IF(D$26=".", 0, 'Summary, PPI''s'!D42)+IF(N$26=".", 0, 'Summary, PPI''s'!N42)+IF(O$26=".", 0, 'Summary, PPI''s'!O42)+IF(P$26=".", 0, 'Summary, PPI''s'!P42)</f>
        <v>61772742.042385772</v>
      </c>
      <c r="S42" s="1">
        <f>IF(E$36=".", 0, 'Summary, PPI''s'!E42)+IF(F$36=".", 0, 'Summary, PPI''s'!F42)+IF(G$36=".", 0, 'Summary, PPI''s'!G42)+IF(H$36=".", 0, 'Summary, PPI''s'!H42)+IF(I$36=".", 0, 'Summary, PPI''s'!I42)+IF(J$36=".", 0, 'Summary, PPI''s'!J42)+IF(K$36=".", 0, 'Summary, PPI''s'!K42)+IF(L$36=".", 0, 'Summary, PPI''s'!L42)+IF(M$36=".", 0, 'Summary, PPI''s'!M42)+IF(B$36=".", 0, 'Summary, PPI''s'!B42)+IF(C$36=".", 0, 'Summary, PPI''s'!C42)+IF(D$36=".", 0, 'Summary, PPI''s'!D42)+IF(N$36=".", 0, 'Summary, PPI''s'!N42)+IF(O$36=".", 0, 'Summary, PPI''s'!O42)+IF(P$36=".", 0, 'Summary, PPI''s'!P42)</f>
        <v>61772742.042385772</v>
      </c>
      <c r="T42" s="1">
        <f>IF(E$46=".", 0, 'Summary, PPI''s'!E42)+IF(F$46=".", 0, 'Summary, PPI''s'!F42)+IF(G$46=".", 0, 'Summary, PPI''s'!G42)+IF(H$46=".", 0, 'Summary, PPI''s'!H42)+IF(I$46=".", 0, 'Summary, PPI''s'!I42)+IF(J$46=".", 0, 'Summary, PPI''s'!J42)+IF(K$46=".", 0, 'Summary, PPI''s'!K42)+IF(L$46=".", 0, 'Summary, PPI''s'!L42)+IF(M$46=".", 0, 'Summary, PPI''s'!M42)+IF(B$46=".", 0, 'Summary, PPI''s'!B42)+IF(C$46=".", 0, 'Summary, PPI''s'!C42)+IF(D$46=".", 0, 'Summary, PPI''s'!D42)+IF(N$46=".", 0, 'Summary, PPI''s'!N42)+IF(O$46=".", 0, 'Summary, PPI''s'!O42)+IF(P$46=".", 0, 'Summary, PPI''s'!P42)</f>
        <v>44771683.310098588</v>
      </c>
      <c r="U42" s="1">
        <f>IF(E$60=".", 0, 'Summary, PPI''s'!E42)+IF(F$60=".", 0, 'Summary, PPI''s'!F42)+IF(G$60=".", 0, 'Summary, PPI''s'!G42)+IF(H$60=".", 0, 'Summary, PPI''s'!H42)+IF(I$60=".", 0, 'Summary, PPI''s'!I42)+IF(J$60=".", 0, 'Summary, PPI''s'!J42)+IF(K$60=".", 0, 'Summary, PPI''s'!K42)+IF(L$60=".", 0, 'Summary, PPI''s'!L42)+IF(M$60=".", 0, 'Summary, PPI''s'!M42)+IF(B$60=".", 0, 'Summary, PPI''s'!B42)+IF(C$60=".", 0, 'Summary, PPI''s'!C42)+IF(D$60=".", 0, 'Summary, PPI''s'!D42)+IF(N$60=".", 0, 'Summary, PPI''s'!N42)+IF(O$60=".", 0, 'Summary, PPI''s'!O42)+IF(P$60=".", 0, 'Summary, PPI''s'!P42)</f>
        <v>40424210.192021459</v>
      </c>
      <c r="V42" s="1">
        <f>IF(E$73=".", 0, 'Summary, PPI''s'!E42)+IF(F$73=".", 0, 'Summary, PPI''s'!F42)+IF(G$73=".", 0, 'Summary, PPI''s'!G42)+IF(H$73=".", 0, 'Summary, PPI''s'!H42)+IF(I$73=".", 0, 'Summary, PPI''s'!I42)+IF(J$73=".", 0, 'Summary, PPI''s'!J42)+IF(K$73=".", 0, 'Summary, PPI''s'!K42)+IF(L$73=".", 0, 'Summary, PPI''s'!L42)+IF(M$73=".", 0, 'Summary, PPI''s'!M42)+IF(B$73=".", 0, 'Summary, PPI''s'!B42)+IF(C$73=".", 0, 'Summary, PPI''s'!C42)+IF(D$73=".", 0, 'Summary, PPI''s'!D42)+IF(N$73=".", 0, 'Summary, PPI''s'!N42)+IF(O$73=".", 0, 'Summary, PPI''s'!O42)+IF(P$73=".", 0, 'Summary, PPI''s'!P42)</f>
        <v>33541528.542779803</v>
      </c>
      <c r="W42" s="1">
        <f>IF(E$94=".",0,'Summary, PPI''s'!E42)+IF(F$94=".",0,'Summary, PPI''s'!F42)+IF(G$94=".",0,'Summary, PPI''s'!G42)+IF(H$94=".",0,'Summary, PPI''s'!H42)+IF(I$94=".",0,'Summary, PPI''s'!I42)+IF(J$94=".",0,'Summary, PPI''s'!J42)+IF(K$94=".",0,'Summary, PPI''s'!K42)+IF(L$94=".",0,'Summary, PPI''s'!L42)+IF(M$94=".",0,'Summary, PPI''s'!M42)+IF(B$94=".",0,'Summary, PPI''s'!B42)+IF(C$94=".",0,'Summary, PPI''s'!C42)+IF(D$94=".",0,'Summary, PPI''s'!D42)+IF(N$94=".",0,'Summary, PPI''s'!N42)+IF(O$94=".",0,'Summary, PPI''s'!O42)+IF(P$94=".",0,'Summary, PPI''s'!P42)</f>
        <v>24323683.303853683</v>
      </c>
      <c r="X42" s="1">
        <f>IF(E$123=".", 0, 'Summary, PPI''s'!E42)+IF(F$123=".", 0, 'Summary, PPI''s'!F42)+IF(G$123=".", 0, 'Summary, PPI''s'!G42)+IF(H$123=".", 0, 'Summary, PPI''s'!H42)+IF(I$123=".", 0, 'Summary, PPI''s'!I42)+IF(J$123=".", 0, 'Summary, PPI''s'!J42)+IF(K$123=".", 0, 'Summary, PPI''s'!K42)+IF(L$123=".", 0, 'Summary, PPI''s'!L42)+IF(M$123=".", 0, 'Summary, PPI''s'!M42)+IF(B$123=".", 0, 'Summary, PPI''s'!B42)+IF(C$123=".", 0, 'Summary, PPI''s'!C42)+IF(D$123=".", 0, 'Summary, PPI''s'!D42)+IF(N$123=".", 0, 'Summary, PPI''s'!N42)+IF(O$123=".", 0, 'Summary, PPI''s'!O42)+IF(P$123=".", 0, 'Summary, PPI''s'!P42)</f>
        <v>20901611.641781617</v>
      </c>
      <c r="Z42" s="4" t="e">
        <f>Z41*IF(E$26=".", 1, (E42/E41)^(('Summary, PPI''s'!$E42+'Summary, PPI''s'!$E41)/('Predicted PPIs'!R42+'Predicted PPIs'!R41)))*IF(F$26=".", 1, (F42/F41)^(('Summary, PPI''s'!$F42+'Summary, PPI''s'!$F41)/('Predicted PPIs'!R42+'Predicted PPIs'!R41)))*IF(G$26=".", 1, (G42/G41)^(('Summary, PPI''s'!$G42+'Summary, PPI''s'!$G41)/('Predicted PPIs'!R42+'Predicted PPIs'!R41)))*IF(H$26=".", 1, (H42/H41)^(('Summary, PPI''s'!$H42+'Summary, PPI''s'!$H41)/('Predicted PPIs'!R42+'Predicted PPIs'!R41)))*IF(I$26=".", 1, (I42/I41)^(('Summary, PPI''s'!$I42+'Summary, PPI''s'!$I41)/('Predicted PPIs'!R42+'Predicted PPIs'!R41)))*IF(J$26=".", 1, (J42/J41)^(('Summary, PPI''s'!$J42+'Summary, PPI''s'!$J41)/('Predicted PPIs'!R42+'Predicted PPIs'!R41)))*IF(K$26=".", 1, (K42/K41)^(('Summary, PPI''s'!$K42+'Summary, PPI''s'!$K41)/('Predicted PPIs'!R42+'Predicted PPIs'!R41)))*IF(L$26=".", 1, (L42/L41)^(('Summary, PPI''s'!$L42+'Summary, PPI''s'!$L41)/('Predicted PPIs'!R42+'Predicted PPIs'!R41)))*IF(M$26=".", 1, (M42/M41)^(('Summary, PPI''s'!$M42+'Summary, PPI''s'!$M41)/('Predicted PPIs'!R42+'Predicted PPIs'!R41)))*IF(B$26=".", 1, (B42/B41)^(('Summary, PPI''s'!$B42+'Summary, PPI''s'!$B41)/('Predicted PPIs'!R42+'Predicted PPIs'!R41)))*IF(C$26=".", 1, (C42/C41)^(('Summary, PPI''s'!$C42+'Summary, PPI''s'!$C41)/('Predicted PPIs'!R42+'Predicted PPIs'!R41)))*IF(D$26=".", 1, (D42/D41)^(('Summary, PPI''s'!$D42+'Summary, PPI''s'!$D41)/('Predicted PPIs'!R42+'Predicted PPIs'!R41)))*IF(N$26=".", 1, (N42/N41)^(('Summary, PPI''s'!$N42+'Summary, PPI''s'!$N41)/('Predicted PPIs'!R42+'Predicted PPIs'!R41)))*IF(O$26=".", 1, (O42/O41)^(('Summary, PPI''s'!$O42+'Summary, PPI''s'!$O41)/('Predicted PPIs'!R42+'Predicted PPIs'!R41)))*IF(P$26=".", 1, (P42/P41)^(('Summary, PPI''s'!$P42+'Summary, PPI''s'!$P41)/('Predicted PPIs'!R42+'Predicted PPIs'!R41)))</f>
        <v>#VALUE!</v>
      </c>
      <c r="AA42" s="4" t="e">
        <f>AA41*IF(E$36=".", 1, (E42/E41)^(('Summary, PPI''s'!$E42+'Summary, PPI''s'!$E41)/('Predicted PPIs'!S42+'Predicted PPIs'!S41)))*IF(F$36=".", 1, (F42/F41)^(('Summary, PPI''s'!$F42+'Summary, PPI''s'!$F41)/('Predicted PPIs'!S42+'Predicted PPIs'!S41)))*IF(G$36=".", 1, (G42/G41)^(('Summary, PPI''s'!$G42+'Summary, PPI''s'!$G41)/('Predicted PPIs'!S42+'Predicted PPIs'!S41)))*IF(H$36=".", 1, (H42/H41)^(('Summary, PPI''s'!$H42+'Summary, PPI''s'!$H41)/('Predicted PPIs'!S42+'Predicted PPIs'!S41)))*IF(I$36=".", 1, (I42/I41)^(('Summary, PPI''s'!$I42+'Summary, PPI''s'!$I41)/('Predicted PPIs'!S42+'Predicted PPIs'!S41)))*IF(J$36=".", 1, (J42/J41)^(('Summary, PPI''s'!$J42+'Summary, PPI''s'!$J41)/('Predicted PPIs'!S42+'Predicted PPIs'!S41)))*IF(K$36=".", 1, (K42/K41)^(('Summary, PPI''s'!$K42+'Summary, PPI''s'!$K41)/('Predicted PPIs'!S42+'Predicted PPIs'!S41)))*IF(L$36=".", 1, (L42/L41)^(('Summary, PPI''s'!$L42+'Summary, PPI''s'!$L41)/('Predicted PPIs'!S42+'Predicted PPIs'!S41)))*IF(M$36=".", 1, (M42/M41)^(('Summary, PPI''s'!$M42+'Summary, PPI''s'!$M41)/('Predicted PPIs'!S42+'Predicted PPIs'!S41)))*IF(B$36=".", 1, (B42/B41)^(('Summary, PPI''s'!$B42+'Summary, PPI''s'!$B41)/('Predicted PPIs'!S42+'Predicted PPIs'!S41)))*IF(C$36=".", 1, (C42/C41)^(('Summary, PPI''s'!$C42+'Summary, PPI''s'!$C41)/('Predicted PPIs'!S42+'Predicted PPIs'!S41)))*IF(D$36=".", 1, (D42/D41)^(('Summary, PPI''s'!$D42+'Summary, PPI''s'!$D41)/('Predicted PPIs'!S42+'Predicted PPIs'!S41)))*IF(N$36=".", 1, (N42/N41)^(('Summary, PPI''s'!$N42+'Summary, PPI''s'!$N41)/('Predicted PPIs'!S42+'Predicted PPIs'!S41)))*IF(O$36=".", 1, (O42/O41)^(('Summary, PPI''s'!$O42+'Summary, PPI''s'!$O41)/('Predicted PPIs'!S42+'Predicted PPIs'!S41)))*IF(P$36=".", 1, (P42/P41)^(('Summary, PPI''s'!$P42+'Summary, PPI''s'!$P41)/('Predicted PPIs'!S42+'Predicted PPIs'!S41)))</f>
        <v>#VALUE!</v>
      </c>
      <c r="AB42" s="4">
        <f>AB41*IF(E$46=".", 1, (E42/E41)^(('Summary, PPI''s'!$E42+'Summary, PPI''s'!$E41)/('Predicted PPIs'!T42+'Predicted PPIs'!T41)))*IF(F$46=".", 1, (F42/F41)^(('Summary, PPI''s'!$F42+'Summary, PPI''s'!$F41)/('Predicted PPIs'!T42+'Predicted PPIs'!T41)))*IF(G$46=".", 1, (G42/G41)^(('Summary, PPI''s'!$G42+'Summary, PPI''s'!$G41)/('Predicted PPIs'!T42+'Predicted PPIs'!T41)))*IF(H$46=".", 1, (H42/H41)^(('Summary, PPI''s'!$H42+'Summary, PPI''s'!$H41)/('Predicted PPIs'!T42+'Predicted PPIs'!T41)))*IF(I$46=".", 1, (I42/I41)^(('Summary, PPI''s'!$I42+'Summary, PPI''s'!$I41)/('Predicted PPIs'!T42+'Predicted PPIs'!T41)))*IF(J$46=".", 1, (J42/J41)^(('Summary, PPI''s'!$J42+'Summary, PPI''s'!$J41)/('Predicted PPIs'!T42+'Predicted PPIs'!T41)))*IF(K$46=".", 1, (K42/K41)^(('Summary, PPI''s'!$K42+'Summary, PPI''s'!$K41)/('Predicted PPIs'!T42+'Predicted PPIs'!T41)))*IF(L$46=".", 1, (L42/L41)^(('Summary, PPI''s'!$L42+'Summary, PPI''s'!$L41)/('Predicted PPIs'!T42+'Predicted PPIs'!T41)))*IF(M$46=".", 1, (M42/M41)^(('Summary, PPI''s'!$M42+'Summary, PPI''s'!$M41)/('Predicted PPIs'!T42+'Predicted PPIs'!T41)))*IF(B$46=".", 1, (B42/B41)^(('Summary, PPI''s'!$B42+'Summary, PPI''s'!$B41)/('Predicted PPIs'!T42+'Predicted PPIs'!T41)))*IF(C$46=".", 1, (C42/C41)^(('Summary, PPI''s'!$C42+'Summary, PPI''s'!$C41)/('Predicted PPIs'!T42+'Predicted PPIs'!T41)))*IF(D$46=".", 1, (D42/D41)^(('Summary, PPI''s'!$D42+'Summary, PPI''s'!$D41)/('Predicted PPIs'!T42+'Predicted PPIs'!T41)))*IF(N$46=".", 1, (N42/N41)^(('Summary, PPI''s'!$N42+'Summary, PPI''s'!$N41)/('Predicted PPIs'!T42+'Predicted PPIs'!T41)))*IF(O$46=".", 1, (O42/O41)^(('Summary, PPI''s'!$O42+'Summary, PPI''s'!$O41)/('Predicted PPIs'!T42+'Predicted PPIs'!T41)))*IF(P$46=".", 1, (P42/P41)^(('Summary, PPI''s'!$P42+'Summary, PPI''s'!$P41)/('Predicted PPIs'!T42+'Predicted PPIs'!T41)))</f>
        <v>30.047162628095002</v>
      </c>
      <c r="AC42" s="4">
        <f>AC41*IF(E$60=".",1,(E42/E41)^(('Summary, PPI''s'!$E42+'Summary, PPI''s'!$E41)/('Predicted PPIs'!U42+'Predicted PPIs'!U41)))*IF(F$60=".",1,(F42/F41)^(('Summary, PPI''s'!$F42+'Summary, PPI''s'!$F41)/('Predicted PPIs'!U42+'Predicted PPIs'!U41)))*IF(G$60=".",1,(G42/G41)^(('Summary, PPI''s'!$G42+'Summary, PPI''s'!$G41)/('Predicted PPIs'!U42+'Predicted PPIs'!U41)))*IF(H$60=".",1,(H42/H41)^(('Summary, PPI''s'!$H42+'Summary, PPI''s'!$H41)/('Predicted PPIs'!U42+'Predicted PPIs'!U41)))*IF(I$60=".",1,(I42/I41)^(('Summary, PPI''s'!$I42+'Summary, PPI''s'!$I41)/('Predicted PPIs'!U42+'Predicted PPIs'!U41)))*IF(J$60=".",1,(J42/J41)^(('Summary, PPI''s'!$J42+'Summary, PPI''s'!$J41)/('Predicted PPIs'!U42+'Predicted PPIs'!U41)))*IF(K$60=".",1,(K42/K41)^(('Summary, PPI''s'!$K42+'Summary, PPI''s'!$K41)/('Predicted PPIs'!U42+'Predicted PPIs'!U41)))*IF(L$60=".",1,(L42/L41)^(('Summary, PPI''s'!$L42+'Summary, PPI''s'!$L41)/('Predicted PPIs'!U42+'Predicted PPIs'!U41)))*IF(M$60=".",1,(M42/M41)^(('Summary, PPI''s'!$M42+'Summary, PPI''s'!$M41)/('Predicted PPIs'!U42+'Predicted PPIs'!U41)))*IF(B$60=".",1,(B42/B41)^(('Summary, PPI''s'!$B42+'Summary, PPI''s'!$B41)/('Predicted PPIs'!U42+'Predicted PPIs'!U41)))*IF(C$60=".",1,(C42/C41)^(('Summary, PPI''s'!$C42+'Summary, PPI''s'!$C41)/('Predicted PPIs'!U42+'Predicted PPIs'!U41)))*IF(D$60=".",1,(D42/D41)^(('Summary, PPI''s'!$D42+'Summary, PPI''s'!$D41)/('Predicted PPIs'!U42+'Predicted PPIs'!U41)))*IF(N$60=".",1,(N42/N41)^(('Summary, PPI''s'!$N42+'Summary, PPI''s'!$N41)/('Predicted PPIs'!U42+'Predicted PPIs'!U41)))*IF(O$60=".",1,(O42/O41)^(('Summary, PPI''s'!$O42+'Summary, PPI''s'!$O41)/('Predicted PPIs'!U42+'Predicted PPIs'!U41)))*IF(P$60=".",1,(P42/P41)^(('Summary, PPI''s'!$P42+'Summary, PPI''s'!$P41)/('Predicted PPIs'!U42+'Predicted PPIs'!U41)))</f>
        <v>32.159315225598974</v>
      </c>
      <c r="AD42" s="4">
        <f>AD41*IF(E$73=".", 1, (E42/E41)^(('Summary, PPI''s'!$E42+'Summary, PPI''s'!$E41)/('Predicted PPIs'!V42+'Predicted PPIs'!V41)))*IF(F$73=".", 1, (F42/F41)^(('Summary, PPI''s'!$F42+'Summary, PPI''s'!$F41)/('Predicted PPIs'!V42+'Predicted PPIs'!V41)))*IF(G$73=".", 1, (G42/G41)^(('Summary, PPI''s'!$G42+'Summary, PPI''s'!$G41)/('Predicted PPIs'!V42+'Predicted PPIs'!V41)))*IF(H$73=".", 1, (H42/H41)^(('Summary, PPI''s'!$H42+'Summary, PPI''s'!$H41)/('Predicted PPIs'!V42+'Predicted PPIs'!V41)))*IF(I$73=".", 1, (I42/I41)^(('Summary, PPI''s'!$I42+'Summary, PPI''s'!$I41)/('Predicted PPIs'!V42+'Predicted PPIs'!V41)))*IF(J$73=".", 1, (J42/J41)^(('Summary, PPI''s'!$J42+'Summary, PPI''s'!$J41)/('Predicted PPIs'!V42+'Predicted PPIs'!V41)))*IF(K$73=".", 1, (K42/K41)^(('Summary, PPI''s'!$K42+'Summary, PPI''s'!$K41)/('Predicted PPIs'!V42+'Predicted PPIs'!V41)))*IF(L$73=".", 1, (L42/L41)^(('Summary, PPI''s'!$L42+'Summary, PPI''s'!$L41)/('Predicted PPIs'!V42+'Predicted PPIs'!V41)))*IF(M$73=".", 1, (M42/M41)^(('Summary, PPI''s'!$M42+'Summary, PPI''s'!$M41)/('Predicted PPIs'!V42+'Predicted PPIs'!V41)))*IF(B$73=".", 1, (B42/B41)^(('Summary, PPI''s'!$B42+'Summary, PPI''s'!$B41)/('Predicted PPIs'!V42+'Predicted PPIs'!V41)))*IF(C$73=".", 1, (C42/C41)^(('Summary, PPI''s'!$C42+'Summary, PPI''s'!$C41)/('Predicted PPIs'!V42+'Predicted PPIs'!V41)))*IF(D$73=".", 1, (D42/D41)^(('Summary, PPI''s'!$D42+'Summary, PPI''s'!$D41)/('Predicted PPIs'!V42+'Predicted PPIs'!V41)))*IF(N$73=".", 1, (N42/N41)^(('Summary, PPI''s'!$N42+'Summary, PPI''s'!$N41)/('Predicted PPIs'!V42+'Predicted PPIs'!V41)))*IF(O$73=".", 1, (O42/O41)^(('Summary, PPI''s'!$O42+'Summary, PPI''s'!$O41)/('Predicted PPIs'!V42+'Predicted PPIs'!V41)))*IF(P$73=".", 1, (P42/P41)^(('Summary, PPI''s'!$P42+'Summary, PPI''s'!$P41)/('Predicted PPIs'!V42+'Predicted PPIs'!V41)))</f>
        <v>30.77571342253901</v>
      </c>
      <c r="AE42" s="4">
        <f>AE41*IF(E$94=".", 1, (E42/E41)^(('Summary, PPI''s'!$E42+'Summary, PPI''s'!$E41)/('Predicted PPIs'!W42+'Predicted PPIs'!W41)))*IF(F$94=".", 1, (F42/F41)^(('Summary, PPI''s'!$F42+'Summary, PPI''s'!$F41)/('Predicted PPIs'!W42+'Predicted PPIs'!W41)))*IF(G$94=".", 1, (G42/G41)^(('Summary, PPI''s'!$G42+'Summary, PPI''s'!$G41)/('Predicted PPIs'!W42+'Predicted PPIs'!W41)))*IF(H$94=".", 1, (H42/H41)^(('Summary, PPI''s'!$H42+'Summary, PPI''s'!$H41)/('Predicted PPIs'!W42+'Predicted PPIs'!W41)))*IF(I$94=".", 1, (I42/I41)^(('Summary, PPI''s'!$I42+'Summary, PPI''s'!$I41)/('Predicted PPIs'!W42+'Predicted PPIs'!W41)))*IF(J$94=".", 1, (J42/J41)^(('Summary, PPI''s'!$J42+'Summary, PPI''s'!$J41)/('Predicted PPIs'!W42+'Predicted PPIs'!W41)))*IF(K$94=".", 1, (K42/K41)^(('Summary, PPI''s'!$K42+'Summary, PPI''s'!$K41)/('Predicted PPIs'!W42+'Predicted PPIs'!W41)))*IF(L$94=".", 1, (L42/L41)^(('Summary, PPI''s'!$L42+'Summary, PPI''s'!$L41)/('Predicted PPIs'!W42+'Predicted PPIs'!W41)))*IF(M$94=".", 1, (M42/M41)^(('Summary, PPI''s'!$M42+'Summary, PPI''s'!$M41)/('Predicted PPIs'!W42+'Predicted PPIs'!W41)))*IF(B$94=".", 1, (B42/B41)^(('Summary, PPI''s'!$B42+'Summary, PPI''s'!$B41)/('Predicted PPIs'!W42+'Predicted PPIs'!W41)))*IF(C$94=".", 1, (C42/C41)^(('Summary, PPI''s'!$C42+'Summary, PPI''s'!$C41)/('Predicted PPIs'!W42+'Predicted PPIs'!W41)))*IF(D$94=".", 1, (D42/D41)^(('Summary, PPI''s'!$D42+'Summary, PPI''s'!$D41)/('Predicted PPIs'!W42+'Predicted PPIs'!W41)))*IF(N$94=".", 1, (N42/N41)^(('Summary, PPI''s'!$N42+'Summary, PPI''s'!$N41)/('Predicted PPIs'!W42+'Predicted PPIs'!W41)))*IF(O$94=".", 1, (O42/O41)^(('Summary, PPI''s'!$O42+'Summary, PPI''s'!$O41)/('Predicted PPIs'!W42+'Predicted PPIs'!W41)))*IF(P$94=".", 1, (P42/P41)^(('Summary, PPI''s'!$P42+'Summary, PPI''s'!$P41)/('Predicted PPIs'!W42+'Predicted PPIs'!W41)))</f>
        <v>27.124099067722071</v>
      </c>
      <c r="AF42" s="4">
        <f>AF41*IF(E$123=".", 1, (E42/E41)^(('Summary, PPI''s'!$E42+'Summary, PPI''s'!$E41)/('Predicted PPIs'!X42+'Predicted PPIs'!X41)))*IF(F$123=".", 1, (F42/F41)^(('Summary, PPI''s'!$F42+'Summary, PPI''s'!$F41)/('Predicted PPIs'!X42+'Predicted PPIs'!X41)))*IF(G$123=".", 1, (G42/G41)^(('Summary, PPI''s'!$G42+'Summary, PPI''s'!$G41)/('Predicted PPIs'!X42+'Predicted PPIs'!X41)))*IF(H$123=".", 1, (H42/H41)^(('Summary, PPI''s'!$H42+'Summary, PPI''s'!$H41)/('Predicted PPIs'!X42+'Predicted PPIs'!X41)))*IF(I$123=".", 1, (I42/I41)^(('Summary, PPI''s'!$I42+'Summary, PPI''s'!$I41)/('Predicted PPIs'!X42+'Predicted PPIs'!X41)))*IF(J$123=".", 1, (J42/J41)^(('Summary, PPI''s'!$J42+'Summary, PPI''s'!$J41)/('Predicted PPIs'!X42+'Predicted PPIs'!X41)))*IF(K$123=".", 1, (K42/K41)^(('Summary, PPI''s'!$K42+'Summary, PPI''s'!$K41)/('Predicted PPIs'!X42+'Predicted PPIs'!X41)))*IF(L$123=".", 1, (L42/L41)^(('Summary, PPI''s'!$L42+'Summary, PPI''s'!$L41)/('Predicted PPIs'!X42+'Predicted PPIs'!X41)))*IF(M$123=".", 1, (M42/M41)^(('Summary, PPI''s'!$M42+'Summary, PPI''s'!$M41)/('Predicted PPIs'!X42+'Predicted PPIs'!X41)))*IF(B$123=".", 1, (B42/B41)^(('Summary, PPI''s'!$B42+'Summary, PPI''s'!$B41)/('Predicted PPIs'!X42+'Predicted PPIs'!X41)))*IF(C$123=".", 1, (C42/C41)^(('Summary, PPI''s'!$C42+'Summary, PPI''s'!$C41)/('Predicted PPIs'!X42+'Predicted PPIs'!X41)))*IF(D$123=".", 1, (D42/D41)^(('Summary, PPI''s'!$D42+'Summary, PPI''s'!$D41)/('Predicted PPIs'!X42+'Predicted PPIs'!X41)))*IF(N$123=".", 1, (N42/N41)^(('Summary, PPI''s'!$N42+'Summary, PPI''s'!$N41)/('Predicted PPIs'!X42+'Predicted PPIs'!X41)))*IF(O$123=".", 1, (O42/O41)^(('Summary, PPI''s'!$O42+'Summary, PPI''s'!$O41)/('Predicted PPIs'!X42+'Predicted PPIs'!X41)))*IF(P$123=".", 1, (P42/P41)^(('Summary, PPI''s'!$P42+'Summary, PPI''s'!$P41)/('Predicted PPIs'!X42+'Predicted PPIs'!X41)))</f>
        <v>24.87019966499043</v>
      </c>
      <c r="AH42" s="13">
        <f t="shared" si="91"/>
        <v>35.574707870973846</v>
      </c>
      <c r="AJ42" s="4">
        <v>1934</v>
      </c>
      <c r="AK42" s="4">
        <v>-1.214</v>
      </c>
      <c r="AL42" s="4">
        <v>-200.995</v>
      </c>
      <c r="AM42" s="4">
        <v>-5.3449999999999998</v>
      </c>
      <c r="AN42" s="4">
        <v>2634.9</v>
      </c>
      <c r="AO42" s="4">
        <v>596.1</v>
      </c>
      <c r="AP42" s="4">
        <f>('[3]1981'!$I$14+'[3]1981'!$I$69+'[3]1981'!$I$71-'[3]1981'!$I$73)*0.001</f>
        <v>-26.853000000000002</v>
      </c>
      <c r="AQ42" s="4">
        <f>('[3]1981'!$AY$56+'[3]1981'!$AY$69+'[3]1981'!$AY$71-'[3]1981'!$AY$73)*0.001</f>
        <v>-94.369</v>
      </c>
      <c r="AR42" s="4">
        <f>AR$38*11845/23762</f>
        <v>-5.5770499116236012</v>
      </c>
      <c r="AS42" s="4">
        <v>-13.244999999999999</v>
      </c>
      <c r="AT42" s="4">
        <v>44.871000000000002</v>
      </c>
      <c r="AU42" s="4">
        <v>62.834000000000003</v>
      </c>
      <c r="AV42" s="4">
        <v>34.639000000000003</v>
      </c>
      <c r="AW42" s="4">
        <v>30.131</v>
      </c>
      <c r="AX42" s="4">
        <v>49.447000000000003</v>
      </c>
      <c r="AY42" s="4">
        <v>65.623999999999995</v>
      </c>
      <c r="AZ42" s="4">
        <v>32.566000000000003</v>
      </c>
      <c r="BA42" s="4">
        <v>46.003</v>
      </c>
      <c r="BB42" s="4">
        <f>BB$38*187.471/184.05</f>
        <v>104.8941243140451</v>
      </c>
      <c r="BC42" s="4">
        <v>50.462000000000003</v>
      </c>
      <c r="BG42" s="4">
        <f t="shared" si="50"/>
        <v>41.24649658532136</v>
      </c>
      <c r="BI42" s="4">
        <f>BI$13*'[2]Ordinary Experience'!$D$384/'[2]Ordinary Experience'!$D$413</f>
        <v>228867245.07221803</v>
      </c>
      <c r="BJ42" s="4">
        <f>'[2]Ordinary Experience'!$E$384</f>
        <v>22.48751371484094</v>
      </c>
      <c r="BL42" s="4">
        <f t="shared" si="90"/>
        <v>58.663434432522713</v>
      </c>
      <c r="BM42" s="4">
        <f t="shared" si="34"/>
        <v>-9.1651772260983311E-3</v>
      </c>
      <c r="BO42" s="4">
        <f>IF(OR('Summary, hourly ad costs'!R42=-9999,'Summary, PPI''s'!R42="."),".",(('Summary, hourly ad costs'!B42/'Summary, hourly ad costs'!R42)*100/('Summary, hourly ad costs'!B$11/'Summary, hourly ad costs'!R$11))/('Summary, PPI''s'!R42))</f>
        <v>0.8387188494050476</v>
      </c>
      <c r="BP42" s="4" t="str">
        <f>IF(OR('Summary, hourly ad costs'!S42=-9999,'Summary, PPI''s'!S42="."),".",(('Summary, hourly ad costs'!C42/'Summary, hourly ad costs'!S42)*100/('Summary, hourly ad costs'!C$11/'Summary, hourly ad costs'!S$11))/('Summary, PPI''s'!S42))</f>
        <v>.</v>
      </c>
      <c r="BQ42" s="4" t="str">
        <f>IF(OR('Summary, hourly ad costs'!T42=-9999,'Summary, PPI''s'!T42="."),".",(('Summary, hourly ad costs'!D42/'Summary, hourly ad costs'!T42)*100/('Summary, hourly ad costs'!D$11/'Summary, hourly ad costs'!T$11))/('Summary, PPI''s'!T42))</f>
        <v>.</v>
      </c>
      <c r="BR42" s="4">
        <f>IF(OR('Summary, hourly ad costs'!U42=-9999,'Summary, PPI''s'!U42="."),".",(('Summary, hourly ad costs'!E42/'Summary, hourly ad costs'!U42)*100/('Summary, hourly ad costs'!E$11/'Summary, hourly ad costs'!U$11))/('Summary, PPI''s'!U42))</f>
        <v>2.0928010276333366</v>
      </c>
      <c r="BS42" s="4">
        <f>IF(OR('Summary, hourly ad costs'!V42=-9999,'Summary, PPI''s'!V42="."),".",(('Summary, hourly ad costs'!F42/'Summary, hourly ad costs'!V42)*100/('Summary, hourly ad costs'!F$11/'Summary, hourly ad costs'!V$11))/('Summary, PPI''s'!V42))</f>
        <v>2.3506636786527708</v>
      </c>
      <c r="BT42" s="4" t="str">
        <f>IF(OR('Summary, hourly ad costs'!W42=-9999,'Summary, PPI''s'!W42="."),".",(('Summary, hourly ad costs'!G42/'Summary, hourly ad costs'!W42)*100/('Summary, hourly ad costs'!G$11/'Summary, hourly ad costs'!W$11))/('Summary, PPI''s'!W42))</f>
        <v>.</v>
      </c>
      <c r="BU42" s="4">
        <f>IF(OR('Summary, hourly ad costs'!X42=-9999,'Summary, PPI''s'!X42="."),".",(('Summary, hourly ad costs'!H42/'Summary, hourly ad costs'!X42)*100/('Summary, hourly ad costs'!H$11/'Summary, hourly ad costs'!X$11))/('Summary, PPI''s'!X42))</f>
        <v>1.1131263770227564</v>
      </c>
      <c r="BV42" s="4">
        <f>IF(OR('Summary, hourly ad costs'!Y42=-9999,'Summary, PPI''s'!Y42="."),".",(('Summary, hourly ad costs'!I42/'Summary, hourly ad costs'!Y42)*100/('Summary, hourly ad costs'!I$11/'Summary, hourly ad costs'!Y$11))/('Summary, PPI''s'!Y42))</f>
        <v>0.69687141915515305</v>
      </c>
      <c r="BW42" s="4">
        <f>IF(OR('Summary, hourly ad costs'!Z42=-9999,'Summary, PPI''s'!Z42="."),".",(('Summary, hourly ad costs'!J42/'Summary, hourly ad costs'!Z42)*100/('Summary, hourly ad costs'!J$11/'Summary, hourly ad costs'!Z$11))/('Summary, PPI''s'!Z42))</f>
        <v>0.63310793265894139</v>
      </c>
      <c r="BX42" s="4" t="str">
        <f>IF(OR('Summary, hourly ad costs'!AA42=-9999,'Summary, PPI''s'!AA42="."),".",(('Summary, hourly ad costs'!K42/'Summary, hourly ad costs'!AA42)*100/('Summary, hourly ad costs'!K$11/'Summary, hourly ad costs'!AA$11))/('Summary, PPI''s'!AA42))</f>
        <v>.</v>
      </c>
      <c r="BY42" s="4" t="str">
        <f>IF(OR('Summary, hourly ad costs'!AB42=-9999,'Summary, PPI''s'!AB42="."),".",(('Summary, hourly ad costs'!L42/'Summary, hourly ad costs'!AB42)*100/('Summary, hourly ad costs'!L$11/'Summary, hourly ad costs'!AB$11))/('Summary, PPI''s'!AB42))</f>
        <v>.</v>
      </c>
      <c r="BZ42" s="4" t="str">
        <f>IF(OR('Summary, hourly ad costs'!AC42=-9999,'Summary, PPI''s'!AC42="."),".",(('Summary, hourly ad costs'!M42/'Summary, hourly ad costs'!AC42)*100/('Summary, hourly ad costs'!M$11/'Summary, hourly ad costs'!AC$11))/('Summary, PPI''s'!AC42))</f>
        <v>.</v>
      </c>
      <c r="CA42" s="4" t="str">
        <f>IF(OR('Summary, hourly ad costs'!AD42=-9999,'Summary, PPI''s'!AD42="."),".",(('Summary, hourly ad costs'!N42/'Summary, hourly ad costs'!AD42)*100/('Summary, hourly ad costs'!N$11/'Summary, hourly ad costs'!AD$11))/('Summary, PPI''s'!AD42))</f>
        <v>.</v>
      </c>
      <c r="CB42" s="4" t="str">
        <f>IF(OR('Summary, hourly ad costs'!AE42=-9999,'Summary, PPI''s'!AE42="."),".",(('Summary, hourly ad costs'!O42/'Summary, hourly ad costs'!AE42)*100/('Summary, hourly ad costs'!O$11/'Summary, hourly ad costs'!AE$11))/('Summary, PPI''s'!AE42))</f>
        <v>.</v>
      </c>
      <c r="CC42" s="4" t="str">
        <f>IF(OR('Summary, hourly ad costs'!AF42=-9999,'Summary, PPI''s'!AF42="."),".",(('Summary, hourly ad costs'!P42/'Summary, hourly ad costs'!AF42)*100/('Summary, hourly ad costs'!P$11/'Summary, hourly ad costs'!AF$11))/('Summary, PPI''s'!AF42))</f>
        <v>.</v>
      </c>
      <c r="CE42" s="4">
        <f t="shared" si="80"/>
        <v>-7.6870218011619973E-2</v>
      </c>
      <c r="CF42" s="4" t="str">
        <f t="shared" si="81"/>
        <v>.</v>
      </c>
      <c r="CG42" s="4" t="str">
        <f t="shared" si="82"/>
        <v>.</v>
      </c>
      <c r="CH42" s="4">
        <f t="shared" si="83"/>
        <v>-8.5701942614010429E-3</v>
      </c>
      <c r="CI42" s="4">
        <f t="shared" si="84"/>
        <v>5.1338320724221287E-3</v>
      </c>
      <c r="CJ42" s="4" t="str">
        <f t="shared" si="85"/>
        <v>.</v>
      </c>
      <c r="CK42" s="4">
        <f t="shared" si="86"/>
        <v>-2.3206779790174714E-5</v>
      </c>
      <c r="CL42" s="4">
        <f t="shared" si="87"/>
        <v>-1.9600279295443168E-2</v>
      </c>
      <c r="CM42" s="4">
        <f t="shared" si="88"/>
        <v>-2.8155397344310606E-2</v>
      </c>
      <c r="CN42" s="4">
        <f t="shared" si="89"/>
        <v>-3.9953714759246375E-2</v>
      </c>
      <c r="CO42" s="4">
        <f t="shared" si="79"/>
        <v>-6.6068465479543342E-2</v>
      </c>
      <c r="CP42" s="4">
        <f t="shared" si="79"/>
        <v>0.21515975929669573</v>
      </c>
      <c r="CQ42" s="4" t="str">
        <f t="shared" si="62"/>
        <v>.</v>
      </c>
      <c r="CR42" s="4" t="str">
        <f t="shared" si="63"/>
        <v>.</v>
      </c>
      <c r="CS42" s="4" t="str">
        <f t="shared" si="64"/>
        <v>.</v>
      </c>
      <c r="CU42" s="5">
        <f>IF(CU41=".", ".", IF('Summary, PPI''s'!R42=".",IF(OR('Summary, hourly ad costs'!R42=-9999,'Summary, hourly ad costs'!R42=0), ".", 'Predicted PPIs'!CU41*('Summary, hourly ad costs'!B42/'Summary, hourly ad costs'!R42)/('Summary, hourly ad costs'!B41/'Summary, hourly ad costs'!R41)/(1-CE41)), 'Summary, PPI''s'!R42))</f>
        <v>58.247949196281141</v>
      </c>
      <c r="CV42" s="5">
        <f>IF(CV41=".", ".", IF('Summary, PPI''s'!S42=".",IF(OR('Summary, hourly ad costs'!S42=-9999,'Summary, hourly ad costs'!S42=0), ".", 'Predicted PPIs'!CV41*('Summary, hourly ad costs'!C42/'Summary, hourly ad costs'!S42)/('Summary, hourly ad costs'!C41/'Summary, hourly ad costs'!S41)/(1-CF41)), 'Summary, PPI''s'!S42))</f>
        <v>58.247949196281141</v>
      </c>
      <c r="CW42" s="5">
        <f>IF(CW41=".", ".", IF('Summary, PPI''s'!T42=".",IF(OR('Summary, hourly ad costs'!T42=-9999,'Summary, hourly ad costs'!T42=0), ".", 'Predicted PPIs'!CW41*('Summary, hourly ad costs'!D42/'Summary, hourly ad costs'!T42)/('Summary, hourly ad costs'!D41/'Summary, hourly ad costs'!T41)/(1-CG41)), 'Summary, PPI''s'!T42))</f>
        <v>53.79790125363246</v>
      </c>
      <c r="CX42" s="5">
        <f>IF(CX41=".", ".", IF('Summary, PPI''s'!U42=".",IF(OR('Summary, hourly ad costs'!U42=-9999,'Summary, hourly ad costs'!U42=0), ".", 'Predicted PPIs'!CX41*('Summary, hourly ad costs'!E42/'Summary, hourly ad costs'!U42)/('Summary, hourly ad costs'!E41/'Summary, hourly ad costs'!U41)/(1-CH41)), 'Summary, PPI''s'!U42))</f>
        <v>23.101493421330957</v>
      </c>
      <c r="CY42" s="5">
        <f>IF(CY41=".", ".", IF('Summary, PPI''s'!V42=".",IF(OR('Summary, hourly ad costs'!V42=-9999,'Summary, hourly ad costs'!V42=0), ".", 'Predicted PPIs'!CY41*('Summary, hourly ad costs'!F42/'Summary, hourly ad costs'!V42)/('Summary, hourly ad costs'!F41/'Summary, hourly ad costs'!V41)/(1-CI41)), 'Summary, PPI''s'!V42))</f>
        <v>22.070513612587007</v>
      </c>
      <c r="CZ42" s="5">
        <f>IF(CZ41=".", ".", IF('Summary, PPI''s'!W42=".",IF(OR('Summary, hourly ad costs'!W42=-9999,'Summary, hourly ad costs'!W42=0), ".", 'Predicted PPIs'!CZ41*('Summary, hourly ad costs'!G42/'Summary, hourly ad costs'!W42)/('Summary, hourly ad costs'!G41/'Summary, hourly ad costs'!W41)/(1-CJ41)), 'Summary, PPI''s'!W42))</f>
        <v>24.363977638765249</v>
      </c>
      <c r="DA42" s="5">
        <f>IF(DA41=".", ".", IF('Summary, PPI''s'!X42=".",IF(OR('Summary, hourly ad costs'!X42=-9999,'Summary, hourly ad costs'!X42=0), ".", 'Predicted PPIs'!DA41*('Summary, hourly ad costs'!H42/'Summary, hourly ad costs'!X42)/('Summary, hourly ad costs'!H41/'Summary, hourly ad costs'!X41)/(1-CK41)), 'Summary, PPI''s'!X42))</f>
        <v>30.913</v>
      </c>
      <c r="DB42" s="5">
        <f>IF(DB41=".", ".", IF('Summary, PPI''s'!Y42=".",IF(OR('Summary, hourly ad costs'!Y42=-9999,'Summary, hourly ad costs'!Y42=0), ".", 'Predicted PPIs'!DB41*('Summary, hourly ad costs'!I42/'Summary, hourly ad costs'!Y42)/('Summary, hourly ad costs'!I41/'Summary, hourly ad costs'!Y41)/(1-CL41)), 'Summary, PPI''s'!Y42))</f>
        <v>35.19234380301026</v>
      </c>
      <c r="DC42" s="5">
        <f>IF(DC41=".", ".", IF('Summary, PPI''s'!Z42=".",IF(OR('Summary, hourly ad costs'!Z42=-9999,'Summary, hourly ad costs'!Z42=0), ".", 'Predicted PPIs'!DC41*('Summary, hourly ad costs'!J42/'Summary, hourly ad costs'!Z42)/('Summary, hourly ad costs'!J41/'Summary, hourly ad costs'!Z41)/(1-CM41)), 'Summary, PPI''s'!Z42))</f>
        <v>37.728568072592488</v>
      </c>
      <c r="DD42" s="5">
        <f>IF(DD41=".", ".", IF('Summary, PPI''s'!AA42=".",IF(OR('Summary, hourly ad costs'!AA42=-9999,'Summary, hourly ad costs'!AA42=0), ".", 'Predicted PPIs'!DD41*('Summary, hourly ad costs'!K42/'Summary, hourly ad costs'!AA42)/('Summary, hourly ad costs'!K41/'Summary, hourly ad costs'!AA41)/(1-CN41)), 'Summary, PPI''s'!AA42))</f>
        <v>19.218362648776214</v>
      </c>
      <c r="DE42" s="5" t="str">
        <f>IF(DE41=".", ".", IF('Summary, PPI''s'!AB42=".",IF(OR('Summary, hourly ad costs'!AB42=-9999,'Summary, hourly ad costs'!AB42=0), ".", 'Predicted PPIs'!DE41*('Summary, hourly ad costs'!L42/'Summary, hourly ad costs'!AB42)/('Summary, hourly ad costs'!L41/'Summary, hourly ad costs'!AB41)/(1-CO41)), 'Summary, PPI''s'!AB42))</f>
        <v>.</v>
      </c>
      <c r="DF42" s="5" t="str">
        <f>IF(DF41=".", ".", IF('Summary, PPI''s'!AC42=".",IF(OR('Summary, hourly ad costs'!AC42=-9999,'Summary, hourly ad costs'!AC42=0), ".", 'Predicted PPIs'!DF41*('Summary, hourly ad costs'!M42/'Summary, hourly ad costs'!AC42)/('Summary, hourly ad costs'!M41/'Summary, hourly ad costs'!AC41)/(1-CP41)), 'Summary, PPI''s'!AC42))</f>
        <v>.</v>
      </c>
      <c r="DG42" s="5" t="str">
        <f>IF(DG41=".", ".", IF('Summary, PPI''s'!AD42=".",IF(OR('Summary, hourly ad costs'!AD42=-9999,'Summary, hourly ad costs'!AD42=0), ".", 'Predicted PPIs'!DG41*('Summary, hourly ad costs'!N42/'Summary, hourly ad costs'!AD42)/('Summary, hourly ad costs'!N41/'Summary, hourly ad costs'!AD41)/(1-CQ41)), 'Summary, PPI''s'!AD42))</f>
        <v>.</v>
      </c>
      <c r="DH42" s="5">
        <f>IF(DH41=".", ".", IF('Summary, PPI''s'!AE42=".",IF(OR('Summary, hourly ad costs'!AE42=-9999,'Summary, hourly ad costs'!AE42=0), ".", 'Predicted PPIs'!DH41*('Summary, hourly ad costs'!O42/'Summary, hourly ad costs'!AE42)/('Summary, hourly ad costs'!O41/'Summary, hourly ad costs'!AE41)/(1-CR41)), 'Summary, PPI''s'!AE42))</f>
        <v>29.878783645571296</v>
      </c>
      <c r="DI42" s="5" t="str">
        <f>IF(DI41=".", ".", IF('Summary, PPI''s'!AF42=".",IF(OR('Summary, hourly ad costs'!AF42=-9999,'Summary, hourly ad costs'!AF42=0), ".", 'Predicted PPIs'!DI41*('Summary, hourly ad costs'!P42/'Summary, hourly ad costs'!AF42)/('Summary, hourly ad costs'!P41/'Summary, hourly ad costs'!AF41)/(1-CS41)), 'Summary, PPI''s'!AF42))</f>
        <v>.</v>
      </c>
      <c r="DK42" s="4">
        <v>21.898</v>
      </c>
      <c r="DM42" s="5">
        <f t="shared" si="65"/>
        <v>-1.544492816969889E-3</v>
      </c>
      <c r="DN42" s="5">
        <f t="shared" si="66"/>
        <v>-1.544492816969889E-3</v>
      </c>
      <c r="DO42" s="5">
        <f t="shared" si="67"/>
        <v>-3.0348378271278009E-2</v>
      </c>
      <c r="DP42" s="5">
        <f t="shared" si="68"/>
        <v>-1.544492816969778E-3</v>
      </c>
      <c r="DQ42" s="5">
        <f t="shared" si="69"/>
        <v>-4.266466955783399E-2</v>
      </c>
      <c r="DR42" s="5">
        <f t="shared" si="70"/>
        <v>-9.7753755151723576E-2</v>
      </c>
      <c r="DS42" s="5">
        <f t="shared" si="71"/>
        <v>-7.5402179808460201E-2</v>
      </c>
      <c r="DT42" s="5">
        <f t="shared" si="72"/>
        <v>-1.2726757747690276E-2</v>
      </c>
      <c r="DU42" s="5">
        <f t="shared" si="73"/>
        <v>-1.2726757747690387E-2</v>
      </c>
      <c r="DV42" s="5">
        <f t="shared" si="74"/>
        <v>-5.8535032956159583E-3</v>
      </c>
      <c r="DW42" s="4">
        <f t="shared" si="78"/>
        <v>8.5715931566100259E-3</v>
      </c>
      <c r="DX42" s="4">
        <f t="shared" si="78"/>
        <v>-0.19178336021209719</v>
      </c>
      <c r="DY42" s="4">
        <f t="shared" si="108"/>
        <v>-2.1355131748554544E-2</v>
      </c>
      <c r="DZ42" s="5">
        <f t="shared" si="92"/>
        <v>-7.5826967911691967E-2</v>
      </c>
      <c r="EA42" s="4">
        <f t="shared" si="109"/>
        <v>-1.2729054455436036E-2</v>
      </c>
      <c r="EC42" s="1">
        <f t="shared" si="93"/>
        <v>58.247949196281141</v>
      </c>
      <c r="ED42" s="1">
        <f t="shared" si="94"/>
        <v>58.247949196281141</v>
      </c>
      <c r="EE42" s="1">
        <f t="shared" si="95"/>
        <v>53.79790125363246</v>
      </c>
      <c r="EF42" s="1">
        <f t="shared" si="96"/>
        <v>23.101493421330957</v>
      </c>
      <c r="EG42" s="1">
        <f t="shared" si="97"/>
        <v>22.070513612587007</v>
      </c>
      <c r="EH42" s="1">
        <f t="shared" si="98"/>
        <v>24.363977638765249</v>
      </c>
      <c r="EI42" s="1">
        <f t="shared" si="99"/>
        <v>30.913</v>
      </c>
      <c r="EJ42" s="1">
        <f t="shared" si="100"/>
        <v>35.19234380301026</v>
      </c>
      <c r="EK42" s="1">
        <f t="shared" si="101"/>
        <v>37.728568072592488</v>
      </c>
      <c r="EL42" s="1">
        <f t="shared" si="102"/>
        <v>19.218362648776214</v>
      </c>
      <c r="EM42" s="1">
        <f t="shared" si="103"/>
        <v>33.462841233725335</v>
      </c>
      <c r="EN42" s="1">
        <f t="shared" si="104"/>
        <v>31.950757555692231</v>
      </c>
      <c r="EO42" s="1">
        <f t="shared" si="105"/>
        <v>31.915420841252864</v>
      </c>
      <c r="EP42" s="1">
        <f t="shared" si="106"/>
        <v>29.878783645571296</v>
      </c>
      <c r="EQ42" s="1">
        <f t="shared" si="107"/>
        <v>28.386559769677376</v>
      </c>
      <c r="ES42" s="1">
        <f>IF(EF$26=".", 0, 'Summary, PPI''s'!E42)+IF(EG$26=".", 0, 'Summary, PPI''s'!F42)+IF(EH$26=".", 0, 'Summary, PPI''s'!G42)+IF(EI$26=".", 0, 'Summary, PPI''s'!H42)+IF(EJ$26=".", 0, 'Summary, PPI''s'!I42)+IF(EK$26=".", 0, 'Summary, PPI''s'!J42)+IF(EL$26=".", 0, 'Summary, PPI''s'!K42)+IF(EM$26=".", 0, 'Summary, PPI''s'!L42)+IF(EN$26=".", 0, 'Summary, PPI''s'!M42)+IF(EC$26=".", 0, 'Summary, PPI''s'!B42)+IF(ED$26=".", 0, 'Summary, PPI''s'!C42)+IF(EE$26=".", 0, 'Summary, PPI''s'!D42)+IF(EO$26=".", 0, 'Summary, PPI''s'!N42)+IF(EP$26=".", 0, 'Summary, PPI''s'!O42)+IF(EQ$26=".", 0, 'Summary, PPI''s'!P42)</f>
        <v>61772742.042385772</v>
      </c>
      <c r="ET42" s="1">
        <f>'Summary, hourly ad costs'!E42+'Summary, hourly ad costs'!F42+'Summary, hourly ad costs'!H42+'Summary, hourly ad costs'!I42+'Summary, hourly ad costs'!J42+'Summary, hourly ad costs'!K42+'Summary, hourly ad costs'!L42+'Summary, hourly ad costs'!M42+'Summary, hourly ad costs'!B42</f>
        <v>33805237.883687966</v>
      </c>
      <c r="EV42" s="13">
        <f>EV41*IF(EF$26=".", 1, (EF42/EF41)^(('Summary, PPI''s'!$E42+'Summary, PPI''s'!$E41)/('Predicted PPIs'!ES42+'Predicted PPIs'!ES41)))*IF(EG$26=".", 1, (EG42/EG41)^(('Summary, PPI''s'!$F42+'Summary, PPI''s'!$F41)/('Predicted PPIs'!ES42+'Predicted PPIs'!ES41)))*IF(EH$26=".", 1, (EH42/EH41)^(('Summary, PPI''s'!$G42+'Summary, PPI''s'!$G41)/('Predicted PPIs'!ES42+'Predicted PPIs'!ES41)))*IF(EI$26=".", 1, (EI42/EI41)^(('Summary, PPI''s'!$H42+'Summary, PPI''s'!$H41)/('Predicted PPIs'!ES42+'Predicted PPIs'!ES41)))*IF(EJ$26=".", 1, (EJ42/EJ41)^(('Summary, PPI''s'!$I42+'Summary, PPI''s'!$I41)/('Predicted PPIs'!ES42+'Predicted PPIs'!ES41)))*IF(EK$26=".", 1, (EK42/EK41)^(('Summary, PPI''s'!$J42+'Summary, PPI''s'!$J41)/('Predicted PPIs'!ES42+'Predicted PPIs'!ES41)))*IF(EL$26=".", 1, (EL42/EL41)^(('Summary, PPI''s'!$K42+'Summary, PPI''s'!$K41)/('Predicted PPIs'!ES42+'Predicted PPIs'!ES41)))*IF(EM$26=".", 1, (EM42/EM41)^(('Summary, PPI''s'!$L42+'Summary, PPI''s'!$L41)/('Predicted PPIs'!ES42+'Predicted PPIs'!ES41)))*IF(EN$26=".", 1, (EN42/EN41)^(('Summary, PPI''s'!$M42+'Summary, PPI''s'!$M41)/('Predicted PPIs'!ES42+'Predicted PPIs'!ES41)))*IF(EC$26=".", 1, (EC42/EC41)^(('Summary, PPI''s'!$B42+'Summary, PPI''s'!$B41)/('Predicted PPIs'!ES42+'Predicted PPIs'!ES41)))*IF(ED$26=".", 1, (ED42/ED41)^(('Summary, PPI''s'!$C42+'Summary, PPI''s'!$C41)/('Predicted PPIs'!ES42+'Predicted PPIs'!ES41)))*IF(EE$26=".", 1, (EE42/EE41)^(('Summary, PPI''s'!$D42+'Summary, PPI''s'!$D41)/('Predicted PPIs'!ES42+'Predicted PPIs'!ES41)))*IF(EO$26=".", 1, (EO42/EO41)^(('Summary, PPI''s'!$N42+'Summary, PPI''s'!$N41)/('Predicted PPIs'!ES42+'Predicted PPIs'!ES41)))*IF(EP$26=".", 1, (EP42/EP41)^(('Summary, PPI''s'!$O42+'Summary, PPI''s'!$O41)/('Predicted PPIs'!ES42+'Predicted PPIs'!ES41)))*IF(EQ$26=".", 1, (EQ42/EQ41)^(('Summary, PPI''s'!$P42+'Summary, PPI''s'!$P41)/('Predicted PPIs'!ES42+'Predicted PPIs'!ES41)))</f>
        <v>35.736571873494889</v>
      </c>
      <c r="EW42" s="13">
        <f>EW41*IF(EF$26=".", 1, (EF42/EF41)^(('Summary, PPI''s'!$E42+'Summary, PPI''s'!$E41)/('Predicted PPIs'!ET42+'Predicted PPIs'!ET41)))*IF(EG$26=".", 1, (EG42/EG41)^(('Summary, PPI''s'!$F42+'Summary, PPI''s'!$F41)/('Predicted PPIs'!ET42+'Predicted PPIs'!ET41)))*IF(EH$26=".", 1, (EH42/EH41)^(('Summary, PPI''s'!$G42+'Summary, PPI''s'!$G41)/('Predicted PPIs'!ET42+'Predicted PPIs'!ET41)))*IF(EK$26=".", 1, (EK42/EK41)^(('Summary, PPI''s'!$J42+'Summary, PPI''s'!$J41)/('Predicted PPIs'!ET42+'Predicted PPIs'!ET41)))*IF(EL$26=".", 1, (EL42/EL41)^(('Summary, PPI''s'!$K42+'Summary, PPI''s'!$K41)/('Predicted PPIs'!ET42+'Predicted PPIs'!ET41)))*IF(EM$26=".", 1, (EM42/EM41)^(('Summary, PPI''s'!$L42+'Summary, PPI''s'!$L41)/('Predicted PPIs'!ET42+'Predicted PPIs'!ET41)))*IF(EN$26=".", 1, (EN42/EN41)^(('Summary, PPI''s'!$M42+'Summary, PPI''s'!$M41)/('Predicted PPIs'!ET42+'Predicted PPIs'!ET41)))*IF(EC$26=".", 1, (EC42/EC41)^(('Summary, PPI''s'!$B42+'Summary, PPI''s'!$B41)/('Predicted PPIs'!ET42+'Predicted PPIs'!ET41)))</f>
        <v>36.396003777339359</v>
      </c>
      <c r="EY42" s="2"/>
    </row>
    <row r="43" spans="1:155" x14ac:dyDescent="0.3">
      <c r="A43" s="4">
        <v>1980</v>
      </c>
      <c r="B43" s="10">
        <f>IF(B42=".", ".", IF('Summary, PPI''s'!R43=".",IF(OR('Summary, hourly ad costs'!R43=-9999,'Summary, hourly ad costs'!R43=0), ".", 'Predicted PPIs'!B42*('Summary, hourly ad costs'!B43/'Summary, hourly ad costs'!R43)/('Summary, hourly ad costs'!B42/'Summary, hourly ad costs'!R42)), 'Summary, PPI''s'!R43))</f>
        <v>51.779083783778894</v>
      </c>
      <c r="C43" s="10">
        <f>IF(C42=".", ".", IF('Summary, PPI''s'!S43=".",IF(OR('Summary, hourly ad costs'!S43=-9999,'Summary, hourly ad costs'!S43=0), ".", 'Predicted PPIs'!C42*('Summary, hourly ad costs'!C43/'Summary, hourly ad costs'!S43)/('Summary, hourly ad costs'!C42/'Summary, hourly ad costs'!S42)), 'Summary, PPI''s'!S43))</f>
        <v>51.779083783778894</v>
      </c>
      <c r="D43" s="10">
        <f>IF(D42=".", ".", IF('Summary, PPI''s'!T43=".",IF(OR('Summary, hourly ad costs'!T43=-9999,'Summary, hourly ad costs'!T43=0), ".", 'Predicted PPIs'!D42*('Summary, hourly ad costs'!D43/'Summary, hourly ad costs'!T43)/('Summary, hourly ad costs'!D42/'Summary, hourly ad costs'!T42)), 'Summary, PPI''s'!T43))</f>
        <v>49.243855046110589</v>
      </c>
      <c r="E43" s="10">
        <f>IF(E42=".", ".", IF('Summary, PPI''s'!U43=".",IF(OR('Summary, hourly ad costs'!U43=-9999,'Summary, hourly ad costs'!U43=0), ".", 'Predicted PPIs'!E42*('Summary, hourly ad costs'!E43/'Summary, hourly ad costs'!U43)/('Summary, hourly ad costs'!E42/'Summary, hourly ad costs'!U42)), 'Summary, PPI''s'!U43))</f>
        <v>20.535901776776765</v>
      </c>
      <c r="F43" s="10">
        <f>IF(F42=".", ".", IF('Summary, PPI''s'!V43=".",IF(OR('Summary, hourly ad costs'!V43=-9999,'Summary, hourly ad costs'!V43=0), ".", 'Predicted PPIs'!F42*('Summary, hourly ad costs'!F43/'Summary, hourly ad costs'!V43)/('Summary, hourly ad costs'!F42/'Summary, hourly ad costs'!V42)), 'Summary, PPI''s'!V43))</f>
        <v>20.462127764734952</v>
      </c>
      <c r="G43" s="10">
        <f>IF(G42=".", ".", IF('Summary, PPI''s'!W43=".",IF(OR('Summary, hourly ad costs'!W43=-9999,'Summary, hourly ad costs'!W43=0), ".", 'Predicted PPIs'!G42*('Summary, hourly ad costs'!G43/'Summary, hourly ad costs'!W43)/('Summary, hourly ad costs'!G42/'Summary, hourly ad costs'!W42)), 'Summary, PPI''s'!W43))</f>
        <v>23.967655184139879</v>
      </c>
      <c r="H43" s="10">
        <f>IF(H42=".", ".", IF('Summary, PPI''s'!X43=".",IF(OR('Summary, hourly ad costs'!X43=-9999,'Summary, hourly ad costs'!X43=0), ".", 'Predicted PPIs'!H42*('Summary, hourly ad costs'!H43/'Summary, hourly ad costs'!X43)/('Summary, hourly ad costs'!H42/'Summary, hourly ad costs'!X42)), 'Summary, PPI''s'!X43))</f>
        <v>29.675000000000001</v>
      </c>
      <c r="I43" s="10">
        <f>IF(I42=".", ".", IF('Summary, PPI''s'!Y43=".",IF(OR('Summary, hourly ad costs'!Y43=-9999,'Summary, hourly ad costs'!Y43=0), ".", 'Predicted PPIs'!I42*('Summary, hourly ad costs'!I43/'Summary, hourly ad costs'!Y43)/('Summary, hourly ad costs'!I42/'Summary, hourly ad costs'!Y42)), 'Summary, PPI''s'!Y43))</f>
        <v>31.638309052262105</v>
      </c>
      <c r="J43" s="10">
        <f>IF(J42=".", ".", IF('Summary, PPI''s'!Z43=".",IF(OR('Summary, hourly ad costs'!Z43=-9999,'Summary, hourly ad costs'!Z43=0), ".", 'Predicted PPIs'!J42*('Summary, hourly ad costs'!J43/'Summary, hourly ad costs'!Z43)/('Summary, hourly ad costs'!J42/'Summary, hourly ad costs'!Z42)), 'Summary, PPI''s'!Z43))</f>
        <v>33.918402919156719</v>
      </c>
      <c r="K43" s="10">
        <f>IF(K42=".", ".", IF('Summary, PPI''s'!AA43=".",IF(OR('Summary, hourly ad costs'!AA43=-9999,'Summary, hourly ad costs'!AA43=0), ".", 'Predicted PPIs'!K42*('Summary, hourly ad costs'!K43/'Summary, hourly ad costs'!AA43)/('Summary, hourly ad costs'!K42/'Summary, hourly ad costs'!AA42)), 'Summary, PPI''s'!AA43))</f>
        <v>20.092827778805994</v>
      </c>
      <c r="L43" s="10" t="str">
        <f>IF(L42=".", ".", IF('Summary, PPI''s'!AB43=".",IF(OR('Summary, hourly ad costs'!AB43=-9999,'Summary, hourly ad costs'!AB43=0), ".", 'Predicted PPIs'!L42*('Summary, hourly ad costs'!L43/'Summary, hourly ad costs'!AB43)/('Summary, hourly ad costs'!L42/'Summary, hourly ad costs'!AB42)), 'Summary, PPI''s'!AB43))</f>
        <v>.</v>
      </c>
      <c r="M43" s="10" t="str">
        <f>IF(M42=".", ".", IF('Summary, PPI''s'!AC43=".",IF(OR('Summary, hourly ad costs'!AC43=-9999,'Summary, hourly ad costs'!AC43=0), ".", 'Predicted PPIs'!M42*('Summary, hourly ad costs'!M43/'Summary, hourly ad costs'!AC43)/('Summary, hourly ad costs'!M42/'Summary, hourly ad costs'!AC42)), 'Summary, PPI''s'!AC43))</f>
        <v>.</v>
      </c>
      <c r="N43" s="10" t="str">
        <f>IF(N42=".", ".", IF('Summary, PPI''s'!AD43=".",IF(OR('Summary, hourly ad costs'!AD43=-9999,'Summary, hourly ad costs'!AD43=0), ".", 'Predicted PPIs'!N42*('Summary, hourly ad costs'!N43/'Summary, hourly ad costs'!AD43)/('Summary, hourly ad costs'!N42/'Summary, hourly ad costs'!AD42)), 'Summary, PPI''s'!AD43))</f>
        <v>.</v>
      </c>
      <c r="O43" s="10">
        <f>IF(O42=".", ".", IF('Summary, PPI''s'!AE43=".",IF(OR('Summary, hourly ad costs'!AE43=-9999,'Summary, hourly ad costs'!AE43=0), ".", 'Predicted PPIs'!O42*('Summary, hourly ad costs'!O43/'Summary, hourly ad costs'!AE43)/('Summary, hourly ad costs'!O42/'Summary, hourly ad costs'!AE42)), 'Summary, PPI''s'!AE43))</f>
        <v>28.695385339017371</v>
      </c>
      <c r="P43" s="10" t="str">
        <f>IF(P42=".", ".", IF('Summary, PPI''s'!AF43=".",IF(OR('Summary, hourly ad costs'!AF43=-9999,'Summary, hourly ad costs'!AF43=0), ".", 'Predicted PPIs'!P42*('Summary, hourly ad costs'!P43/'Summary, hourly ad costs'!AF43)/('Summary, hourly ad costs'!P42/'Summary, hourly ad costs'!AF42)), 'Summary, PPI''s'!AF43))</f>
        <v>.</v>
      </c>
      <c r="R43" s="1">
        <f>IF(E$26=".", 0, 'Summary, PPI''s'!E43)+IF(F$26=".", 0, 'Summary, PPI''s'!F43)+IF(G$26=".", 0, 'Summary, PPI''s'!G43)+IF(H$26=".", 0, 'Summary, PPI''s'!H43)+IF(I$26=".", 0, 'Summary, PPI''s'!I43)+IF(J$26=".", 0, 'Summary, PPI''s'!J43)+IF(K$26=".", 0, 'Summary, PPI''s'!K43)+IF(L$26=".", 0, 'Summary, PPI''s'!L43)+IF(M$26=".", 0, 'Summary, PPI''s'!M43)+IF(B$26=".", 0, 'Summary, PPI''s'!B43)+IF(C$26=".", 0, 'Summary, PPI''s'!C43)+IF(D$26=".", 0, 'Summary, PPI''s'!D43)+IF(N$26=".", 0, 'Summary, PPI''s'!N43)+IF(O$26=".", 0, 'Summary, PPI''s'!O43)+IF(P$26=".", 0, 'Summary, PPI''s'!P43)</f>
        <v>54680493.414412819</v>
      </c>
      <c r="S43" s="1">
        <f>IF(E$36=".", 0, 'Summary, PPI''s'!E43)+IF(F$36=".", 0, 'Summary, PPI''s'!F43)+IF(G$36=".", 0, 'Summary, PPI''s'!G43)+IF(H$36=".", 0, 'Summary, PPI''s'!H43)+IF(I$36=".", 0, 'Summary, PPI''s'!I43)+IF(J$36=".", 0, 'Summary, PPI''s'!J43)+IF(K$36=".", 0, 'Summary, PPI''s'!K43)+IF(L$36=".", 0, 'Summary, PPI''s'!L43)+IF(M$36=".", 0, 'Summary, PPI''s'!M43)+IF(B$36=".", 0, 'Summary, PPI''s'!B43)+IF(C$36=".", 0, 'Summary, PPI''s'!C43)+IF(D$36=".", 0, 'Summary, PPI''s'!D43)+IF(N$36=".", 0, 'Summary, PPI''s'!N43)+IF(O$36=".", 0, 'Summary, PPI''s'!O43)+IF(P$36=".", 0, 'Summary, PPI''s'!P43)</f>
        <v>54680493.414412819</v>
      </c>
      <c r="T43" s="1">
        <f>IF(E$46=".", 0, 'Summary, PPI''s'!E43)+IF(F$46=".", 0, 'Summary, PPI''s'!F43)+IF(G$46=".", 0, 'Summary, PPI''s'!G43)+IF(H$46=".", 0, 'Summary, PPI''s'!H43)+IF(I$46=".", 0, 'Summary, PPI''s'!I43)+IF(J$46=".", 0, 'Summary, PPI''s'!J43)+IF(K$46=".", 0, 'Summary, PPI''s'!K43)+IF(L$46=".", 0, 'Summary, PPI''s'!L43)+IF(M$46=".", 0, 'Summary, PPI''s'!M43)+IF(B$46=".", 0, 'Summary, PPI''s'!B43)+IF(C$46=".", 0, 'Summary, PPI''s'!C43)+IF(D$46=".", 0, 'Summary, PPI''s'!D43)+IF(N$46=".", 0, 'Summary, PPI''s'!N43)+IF(O$46=".", 0, 'Summary, PPI''s'!O43)+IF(P$46=".", 0, 'Summary, PPI''s'!P43)</f>
        <v>39761420.466582857</v>
      </c>
      <c r="U43" s="1">
        <f>IF(E$60=".", 0, 'Summary, PPI''s'!E43)+IF(F$60=".", 0, 'Summary, PPI''s'!F43)+IF(G$60=".", 0, 'Summary, PPI''s'!G43)+IF(H$60=".", 0, 'Summary, PPI''s'!H43)+IF(I$60=".", 0, 'Summary, PPI''s'!I43)+IF(J$60=".", 0, 'Summary, PPI''s'!J43)+IF(K$60=".", 0, 'Summary, PPI''s'!K43)+IF(L$60=".", 0, 'Summary, PPI''s'!L43)+IF(M$60=".", 0, 'Summary, PPI''s'!M43)+IF(B$60=".", 0, 'Summary, PPI''s'!B43)+IF(C$60=".", 0, 'Summary, PPI''s'!C43)+IF(D$60=".", 0, 'Summary, PPI''s'!D43)+IF(N$60=".", 0, 'Summary, PPI''s'!N43)+IF(O$60=".", 0, 'Summary, PPI''s'!O43)+IF(P$60=".", 0, 'Summary, PPI''s'!P43)</f>
        <v>35940795.11776866</v>
      </c>
      <c r="V43" s="1">
        <f>IF(E$73=".", 0, 'Summary, PPI''s'!E43)+IF(F$73=".", 0, 'Summary, PPI''s'!F43)+IF(G$73=".", 0, 'Summary, PPI''s'!G43)+IF(H$73=".", 0, 'Summary, PPI''s'!H43)+IF(I$73=".", 0, 'Summary, PPI''s'!I43)+IF(J$73=".", 0, 'Summary, PPI''s'!J43)+IF(K$73=".", 0, 'Summary, PPI''s'!K43)+IF(L$73=".", 0, 'Summary, PPI''s'!L43)+IF(M$73=".", 0, 'Summary, PPI''s'!M43)+IF(B$73=".", 0, 'Summary, PPI''s'!B43)+IF(C$73=".", 0, 'Summary, PPI''s'!C43)+IF(D$73=".", 0, 'Summary, PPI''s'!D43)+IF(N$73=".", 0, 'Summary, PPI''s'!N43)+IF(O$73=".", 0, 'Summary, PPI''s'!O43)+IF(P$73=".", 0, 'Summary, PPI''s'!P43)</f>
        <v>29960224.037732679</v>
      </c>
      <c r="W43" s="1">
        <f>IF(E$94=".",0,'Summary, PPI''s'!E43)+IF(F$94=".",0,'Summary, PPI''s'!F43)+IF(G$94=".",0,'Summary, PPI''s'!G43)+IF(H$94=".",0,'Summary, PPI''s'!H43)+IF(I$94=".",0,'Summary, PPI''s'!I43)+IF(J$94=".",0,'Summary, PPI''s'!J43)+IF(K$94=".",0,'Summary, PPI''s'!K43)+IF(L$94=".",0,'Summary, PPI''s'!L43)+IF(M$94=".",0,'Summary, PPI''s'!M43)+IF(B$94=".",0,'Summary, PPI''s'!B43)+IF(C$94=".",0,'Summary, PPI''s'!C43)+IF(D$94=".",0,'Summary, PPI''s'!D43)+IF(N$94=".",0,'Summary, PPI''s'!N43)+IF(O$94=".",0,'Summary, PPI''s'!O43)+IF(P$94=".",0,'Summary, PPI''s'!P43)</f>
        <v>21722112.766636215</v>
      </c>
      <c r="X43" s="1">
        <f>IF(E$123=".", 0, 'Summary, PPI''s'!E43)+IF(F$123=".", 0, 'Summary, PPI''s'!F43)+IF(G$123=".", 0, 'Summary, PPI''s'!G43)+IF(H$123=".", 0, 'Summary, PPI''s'!H43)+IF(I$123=".", 0, 'Summary, PPI''s'!I43)+IF(J$123=".", 0, 'Summary, PPI''s'!J43)+IF(K$123=".", 0, 'Summary, PPI''s'!K43)+IF(L$123=".", 0, 'Summary, PPI''s'!L43)+IF(M$123=".", 0, 'Summary, PPI''s'!M43)+IF(B$123=".", 0, 'Summary, PPI''s'!B43)+IF(C$123=".", 0, 'Summary, PPI''s'!C43)+IF(D$123=".", 0, 'Summary, PPI''s'!D43)+IF(N$123=".", 0, 'Summary, PPI''s'!N43)+IF(O$123=".", 0, 'Summary, PPI''s'!O43)+IF(P$123=".", 0, 'Summary, PPI''s'!P43)</f>
        <v>18725671.890931517</v>
      </c>
      <c r="Z43" s="4" t="e">
        <f>Z42*IF(E$26=".", 1, (E43/E42)^(('Summary, PPI''s'!$E43+'Summary, PPI''s'!$E42)/('Predicted PPIs'!R43+'Predicted PPIs'!R42)))*IF(F$26=".", 1, (F43/F42)^(('Summary, PPI''s'!$F43+'Summary, PPI''s'!$F42)/('Predicted PPIs'!R43+'Predicted PPIs'!R42)))*IF(G$26=".", 1, (G43/G42)^(('Summary, PPI''s'!$G43+'Summary, PPI''s'!$G42)/('Predicted PPIs'!R43+'Predicted PPIs'!R42)))*IF(H$26=".", 1, (H43/H42)^(('Summary, PPI''s'!$H43+'Summary, PPI''s'!$H42)/('Predicted PPIs'!R43+'Predicted PPIs'!R42)))*IF(I$26=".", 1, (I43/I42)^(('Summary, PPI''s'!$I43+'Summary, PPI''s'!$I42)/('Predicted PPIs'!R43+'Predicted PPIs'!R42)))*IF(J$26=".", 1, (J43/J42)^(('Summary, PPI''s'!$J43+'Summary, PPI''s'!$J42)/('Predicted PPIs'!R43+'Predicted PPIs'!R42)))*IF(K$26=".", 1, (K43/K42)^(('Summary, PPI''s'!$K43+'Summary, PPI''s'!$K42)/('Predicted PPIs'!R43+'Predicted PPIs'!R42)))*IF(L$26=".", 1, (L43/L42)^(('Summary, PPI''s'!$L43+'Summary, PPI''s'!$L42)/('Predicted PPIs'!R43+'Predicted PPIs'!R42)))*IF(M$26=".", 1, (M43/M42)^(('Summary, PPI''s'!$M43+'Summary, PPI''s'!$M42)/('Predicted PPIs'!R43+'Predicted PPIs'!R42)))*IF(B$26=".", 1, (B43/B42)^(('Summary, PPI''s'!$B43+'Summary, PPI''s'!$B42)/('Predicted PPIs'!R43+'Predicted PPIs'!R42)))*IF(C$26=".", 1, (C43/C42)^(('Summary, PPI''s'!$C43+'Summary, PPI''s'!$C42)/('Predicted PPIs'!R43+'Predicted PPIs'!R42)))*IF(D$26=".", 1, (D43/D42)^(('Summary, PPI''s'!$D43+'Summary, PPI''s'!$D42)/('Predicted PPIs'!R43+'Predicted PPIs'!R42)))*IF(N$26=".", 1, (N43/N42)^(('Summary, PPI''s'!$N43+'Summary, PPI''s'!$N42)/('Predicted PPIs'!R43+'Predicted PPIs'!R42)))*IF(O$26=".", 1, (O43/O42)^(('Summary, PPI''s'!$O43+'Summary, PPI''s'!$O42)/('Predicted PPIs'!R43+'Predicted PPIs'!R42)))*IF(P$26=".", 1, (P43/P42)^(('Summary, PPI''s'!$P43+'Summary, PPI''s'!$P42)/('Predicted PPIs'!R43+'Predicted PPIs'!R42)))</f>
        <v>#VALUE!</v>
      </c>
      <c r="AA43" s="4" t="e">
        <f>AA42*IF(E$36=".", 1, (E43/E42)^(('Summary, PPI''s'!$E43+'Summary, PPI''s'!$E42)/('Predicted PPIs'!S43+'Predicted PPIs'!S42)))*IF(F$36=".", 1, (F43/F42)^(('Summary, PPI''s'!$F43+'Summary, PPI''s'!$F42)/('Predicted PPIs'!S43+'Predicted PPIs'!S42)))*IF(G$36=".", 1, (G43/G42)^(('Summary, PPI''s'!$G43+'Summary, PPI''s'!$G42)/('Predicted PPIs'!S43+'Predicted PPIs'!S42)))*IF(H$36=".", 1, (H43/H42)^(('Summary, PPI''s'!$H43+'Summary, PPI''s'!$H42)/('Predicted PPIs'!S43+'Predicted PPIs'!S42)))*IF(I$36=".", 1, (I43/I42)^(('Summary, PPI''s'!$I43+'Summary, PPI''s'!$I42)/('Predicted PPIs'!S43+'Predicted PPIs'!S42)))*IF(J$36=".", 1, (J43/J42)^(('Summary, PPI''s'!$J43+'Summary, PPI''s'!$J42)/('Predicted PPIs'!S43+'Predicted PPIs'!S42)))*IF(K$36=".", 1, (K43/K42)^(('Summary, PPI''s'!$K43+'Summary, PPI''s'!$K42)/('Predicted PPIs'!S43+'Predicted PPIs'!S42)))*IF(L$36=".", 1, (L43/L42)^(('Summary, PPI''s'!$L43+'Summary, PPI''s'!$L42)/('Predicted PPIs'!S43+'Predicted PPIs'!S42)))*IF(M$36=".", 1, (M43/M42)^(('Summary, PPI''s'!$M43+'Summary, PPI''s'!$M42)/('Predicted PPIs'!S43+'Predicted PPIs'!S42)))*IF(B$36=".", 1, (B43/B42)^(('Summary, PPI''s'!$B43+'Summary, PPI''s'!$B42)/('Predicted PPIs'!S43+'Predicted PPIs'!S42)))*IF(C$36=".", 1, (C43/C42)^(('Summary, PPI''s'!$C43+'Summary, PPI''s'!$C42)/('Predicted PPIs'!S43+'Predicted PPIs'!S42)))*IF(D$36=".", 1, (D43/D42)^(('Summary, PPI''s'!$D43+'Summary, PPI''s'!$D42)/('Predicted PPIs'!S43+'Predicted PPIs'!S42)))*IF(N$36=".", 1, (N43/N42)^(('Summary, PPI''s'!$N43+'Summary, PPI''s'!$N42)/('Predicted PPIs'!S43+'Predicted PPIs'!S42)))*IF(O$36=".", 1, (O43/O42)^(('Summary, PPI''s'!$O43+'Summary, PPI''s'!$O42)/('Predicted PPIs'!S43+'Predicted PPIs'!S42)))*IF(P$36=".", 1, (P43/P42)^(('Summary, PPI''s'!$P43+'Summary, PPI''s'!$P42)/('Predicted PPIs'!S43+'Predicted PPIs'!S42)))</f>
        <v>#VALUE!</v>
      </c>
      <c r="AB43" s="4">
        <f>AB42*IF(E$46=".", 1, (E43/E42)^(('Summary, PPI''s'!$E43+'Summary, PPI''s'!$E42)/('Predicted PPIs'!T43+'Predicted PPIs'!T42)))*IF(F$46=".", 1, (F43/F42)^(('Summary, PPI''s'!$F43+'Summary, PPI''s'!$F42)/('Predicted PPIs'!T43+'Predicted PPIs'!T42)))*IF(G$46=".", 1, (G43/G42)^(('Summary, PPI''s'!$G43+'Summary, PPI''s'!$G42)/('Predicted PPIs'!T43+'Predicted PPIs'!T42)))*IF(H$46=".", 1, (H43/H42)^(('Summary, PPI''s'!$H43+'Summary, PPI''s'!$H42)/('Predicted PPIs'!T43+'Predicted PPIs'!T42)))*IF(I$46=".", 1, (I43/I42)^(('Summary, PPI''s'!$I43+'Summary, PPI''s'!$I42)/('Predicted PPIs'!T43+'Predicted PPIs'!T42)))*IF(J$46=".", 1, (J43/J42)^(('Summary, PPI''s'!$J43+'Summary, PPI''s'!$J42)/('Predicted PPIs'!T43+'Predicted PPIs'!T42)))*IF(K$46=".", 1, (K43/K42)^(('Summary, PPI''s'!$K43+'Summary, PPI''s'!$K42)/('Predicted PPIs'!T43+'Predicted PPIs'!T42)))*IF(L$46=".", 1, (L43/L42)^(('Summary, PPI''s'!$L43+'Summary, PPI''s'!$L42)/('Predicted PPIs'!T43+'Predicted PPIs'!T42)))*IF(M$46=".", 1, (M43/M42)^(('Summary, PPI''s'!$M43+'Summary, PPI''s'!$M42)/('Predicted PPIs'!T43+'Predicted PPIs'!T42)))*IF(B$46=".", 1, (B43/B42)^(('Summary, PPI''s'!$B43+'Summary, PPI''s'!$B42)/('Predicted PPIs'!T43+'Predicted PPIs'!T42)))*IF(C$46=".", 1, (C43/C42)^(('Summary, PPI''s'!$C43+'Summary, PPI''s'!$C42)/('Predicted PPIs'!T43+'Predicted PPIs'!T42)))*IF(D$46=".", 1, (D43/D42)^(('Summary, PPI''s'!$D43+'Summary, PPI''s'!$D42)/('Predicted PPIs'!T43+'Predicted PPIs'!T42)))*IF(N$46=".", 1, (N43/N42)^(('Summary, PPI''s'!$N43+'Summary, PPI''s'!$N42)/('Predicted PPIs'!T43+'Predicted PPIs'!T42)))*IF(O$46=".", 1, (O43/O42)^(('Summary, PPI''s'!$O43+'Summary, PPI''s'!$O42)/('Predicted PPIs'!T43+'Predicted PPIs'!T42)))*IF(P$46=".", 1, (P43/P42)^(('Summary, PPI''s'!$P43+'Summary, PPI''s'!$P42)/('Predicted PPIs'!T43+'Predicted PPIs'!T42)))</f>
        <v>27.306415556584568</v>
      </c>
      <c r="AC43" s="4">
        <f>AC42*IF(E$60=".",1,(E43/E42)^(('Summary, PPI''s'!$E43+'Summary, PPI''s'!$E42)/('Predicted PPIs'!U43+'Predicted PPIs'!U42)))*IF(F$60=".",1,(F43/F42)^(('Summary, PPI''s'!$F43+'Summary, PPI''s'!$F42)/('Predicted PPIs'!U43+'Predicted PPIs'!U42)))*IF(G$60=".",1,(G43/G42)^(('Summary, PPI''s'!$G43+'Summary, PPI''s'!$G42)/('Predicted PPIs'!U43+'Predicted PPIs'!U42)))*IF(H$60=".",1,(H43/H42)^(('Summary, PPI''s'!$H43+'Summary, PPI''s'!$H42)/('Predicted PPIs'!U43+'Predicted PPIs'!U42)))*IF(I$60=".",1,(I43/I42)^(('Summary, PPI''s'!$I43+'Summary, PPI''s'!$I42)/('Predicted PPIs'!U43+'Predicted PPIs'!U42)))*IF(J$60=".",1,(J43/J42)^(('Summary, PPI''s'!$J43+'Summary, PPI''s'!$J42)/('Predicted PPIs'!U43+'Predicted PPIs'!U42)))*IF(K$60=".",1,(K43/K42)^(('Summary, PPI''s'!$K43+'Summary, PPI''s'!$K42)/('Predicted PPIs'!U43+'Predicted PPIs'!U42)))*IF(L$60=".",1,(L43/L42)^(('Summary, PPI''s'!$L43+'Summary, PPI''s'!$L42)/('Predicted PPIs'!U43+'Predicted PPIs'!U42)))*IF(M$60=".",1,(M43/M42)^(('Summary, PPI''s'!$M43+'Summary, PPI''s'!$M42)/('Predicted PPIs'!U43+'Predicted PPIs'!U42)))*IF(B$60=".",1,(B43/B42)^(('Summary, PPI''s'!$B43+'Summary, PPI''s'!$B42)/('Predicted PPIs'!U43+'Predicted PPIs'!U42)))*IF(C$60=".",1,(C43/C42)^(('Summary, PPI''s'!$C43+'Summary, PPI''s'!$C42)/('Predicted PPIs'!U43+'Predicted PPIs'!U42)))*IF(D$60=".",1,(D43/D42)^(('Summary, PPI''s'!$D43+'Summary, PPI''s'!$D42)/('Predicted PPIs'!U43+'Predicted PPIs'!U42)))*IF(N$60=".",1,(N43/N42)^(('Summary, PPI''s'!$N43+'Summary, PPI''s'!$N42)/('Predicted PPIs'!U43+'Predicted PPIs'!U42)))*IF(O$60=".",1,(O43/O42)^(('Summary, PPI''s'!$O43+'Summary, PPI''s'!$O42)/('Predicted PPIs'!U43+'Predicted PPIs'!U42)))*IF(P$60=".",1,(P43/P42)^(('Summary, PPI''s'!$P43+'Summary, PPI''s'!$P42)/('Predicted PPIs'!U43+'Predicted PPIs'!U42)))</f>
        <v>29.144282969831078</v>
      </c>
      <c r="AD43" s="4">
        <f>AD42*IF(E$73=".", 1, (E43/E42)^(('Summary, PPI''s'!$E43+'Summary, PPI''s'!$E42)/('Predicted PPIs'!V43+'Predicted PPIs'!V42)))*IF(F$73=".", 1, (F43/F42)^(('Summary, PPI''s'!$F43+'Summary, PPI''s'!$F42)/('Predicted PPIs'!V43+'Predicted PPIs'!V42)))*IF(G$73=".", 1, (G43/G42)^(('Summary, PPI''s'!$G43+'Summary, PPI''s'!$G42)/('Predicted PPIs'!V43+'Predicted PPIs'!V42)))*IF(H$73=".", 1, (H43/H42)^(('Summary, PPI''s'!$H43+'Summary, PPI''s'!$H42)/('Predicted PPIs'!V43+'Predicted PPIs'!V42)))*IF(I$73=".", 1, (I43/I42)^(('Summary, PPI''s'!$I43+'Summary, PPI''s'!$I42)/('Predicted PPIs'!V43+'Predicted PPIs'!V42)))*IF(J$73=".", 1, (J43/J42)^(('Summary, PPI''s'!$J43+'Summary, PPI''s'!$J42)/('Predicted PPIs'!V43+'Predicted PPIs'!V42)))*IF(K$73=".", 1, (K43/K42)^(('Summary, PPI''s'!$K43+'Summary, PPI''s'!$K42)/('Predicted PPIs'!V43+'Predicted PPIs'!V42)))*IF(L$73=".", 1, (L43/L42)^(('Summary, PPI''s'!$L43+'Summary, PPI''s'!$L42)/('Predicted PPIs'!V43+'Predicted PPIs'!V42)))*IF(M$73=".", 1, (M43/M42)^(('Summary, PPI''s'!$M43+'Summary, PPI''s'!$M42)/('Predicted PPIs'!V43+'Predicted PPIs'!V42)))*IF(B$73=".", 1, (B43/B42)^(('Summary, PPI''s'!$B43+'Summary, PPI''s'!$B42)/('Predicted PPIs'!V43+'Predicted PPIs'!V42)))*IF(C$73=".", 1, (C43/C42)^(('Summary, PPI''s'!$C43+'Summary, PPI''s'!$C42)/('Predicted PPIs'!V43+'Predicted PPIs'!V42)))*IF(D$73=".", 1, (D43/D42)^(('Summary, PPI''s'!$D43+'Summary, PPI''s'!$D42)/('Predicted PPIs'!V43+'Predicted PPIs'!V42)))*IF(N$73=".", 1, (N43/N42)^(('Summary, PPI''s'!$N43+'Summary, PPI''s'!$N42)/('Predicted PPIs'!V43+'Predicted PPIs'!V42)))*IF(O$73=".", 1, (O43/O42)^(('Summary, PPI''s'!$O43+'Summary, PPI''s'!$O42)/('Predicted PPIs'!V43+'Predicted PPIs'!V42)))*IF(P$73=".", 1, (P43/P42)^(('Summary, PPI''s'!$P43+'Summary, PPI''s'!$P42)/('Predicted PPIs'!V43+'Predicted PPIs'!V42)))</f>
        <v>27.710310600442376</v>
      </c>
      <c r="AE43" s="4">
        <f>AE42*IF(E$94=".", 1, (E43/E42)^(('Summary, PPI''s'!$E43+'Summary, PPI''s'!$E42)/('Predicted PPIs'!W43+'Predicted PPIs'!W42)))*IF(F$94=".", 1, (F43/F42)^(('Summary, PPI''s'!$F43+'Summary, PPI''s'!$F42)/('Predicted PPIs'!W43+'Predicted PPIs'!W42)))*IF(G$94=".", 1, (G43/G42)^(('Summary, PPI''s'!$G43+'Summary, PPI''s'!$G42)/('Predicted PPIs'!W43+'Predicted PPIs'!W42)))*IF(H$94=".", 1, (H43/H42)^(('Summary, PPI''s'!$H43+'Summary, PPI''s'!$H42)/('Predicted PPIs'!W43+'Predicted PPIs'!W42)))*IF(I$94=".", 1, (I43/I42)^(('Summary, PPI''s'!$I43+'Summary, PPI''s'!$I42)/('Predicted PPIs'!W43+'Predicted PPIs'!W42)))*IF(J$94=".", 1, (J43/J42)^(('Summary, PPI''s'!$J43+'Summary, PPI''s'!$J42)/('Predicted PPIs'!W43+'Predicted PPIs'!W42)))*IF(K$94=".", 1, (K43/K42)^(('Summary, PPI''s'!$K43+'Summary, PPI''s'!$K42)/('Predicted PPIs'!W43+'Predicted PPIs'!W42)))*IF(L$94=".", 1, (L43/L42)^(('Summary, PPI''s'!$L43+'Summary, PPI''s'!$L42)/('Predicted PPIs'!W43+'Predicted PPIs'!W42)))*IF(M$94=".", 1, (M43/M42)^(('Summary, PPI''s'!$M43+'Summary, PPI''s'!$M42)/('Predicted PPIs'!W43+'Predicted PPIs'!W42)))*IF(B$94=".", 1, (B43/B42)^(('Summary, PPI''s'!$B43+'Summary, PPI''s'!$B42)/('Predicted PPIs'!W43+'Predicted PPIs'!W42)))*IF(C$94=".", 1, (C43/C42)^(('Summary, PPI''s'!$C43+'Summary, PPI''s'!$C42)/('Predicted PPIs'!W43+'Predicted PPIs'!W42)))*IF(D$94=".", 1, (D43/D42)^(('Summary, PPI''s'!$D43+'Summary, PPI''s'!$D42)/('Predicted PPIs'!W43+'Predicted PPIs'!W42)))*IF(N$94=".", 1, (N43/N42)^(('Summary, PPI''s'!$N43+'Summary, PPI''s'!$N42)/('Predicted PPIs'!W43+'Predicted PPIs'!W42)))*IF(O$94=".", 1, (O43/O42)^(('Summary, PPI''s'!$O43+'Summary, PPI''s'!$O42)/('Predicted PPIs'!W43+'Predicted PPIs'!W42)))*IF(P$94=".", 1, (P43/P42)^(('Summary, PPI''s'!$P43+'Summary, PPI''s'!$P42)/('Predicted PPIs'!W43+'Predicted PPIs'!W42)))</f>
        <v>24.436662908535638</v>
      </c>
      <c r="AF43" s="4">
        <f>AF42*IF(E$123=".", 1, (E43/E42)^(('Summary, PPI''s'!$E43+'Summary, PPI''s'!$E42)/('Predicted PPIs'!X43+'Predicted PPIs'!X42)))*IF(F$123=".", 1, (F43/F42)^(('Summary, PPI''s'!$F43+'Summary, PPI''s'!$F42)/('Predicted PPIs'!X43+'Predicted PPIs'!X42)))*IF(G$123=".", 1, (G43/G42)^(('Summary, PPI''s'!$G43+'Summary, PPI''s'!$G42)/('Predicted PPIs'!X43+'Predicted PPIs'!X42)))*IF(H$123=".", 1, (H43/H42)^(('Summary, PPI''s'!$H43+'Summary, PPI''s'!$H42)/('Predicted PPIs'!X43+'Predicted PPIs'!X42)))*IF(I$123=".", 1, (I43/I42)^(('Summary, PPI''s'!$I43+'Summary, PPI''s'!$I42)/('Predicted PPIs'!X43+'Predicted PPIs'!X42)))*IF(J$123=".", 1, (J43/J42)^(('Summary, PPI''s'!$J43+'Summary, PPI''s'!$J42)/('Predicted PPIs'!X43+'Predicted PPIs'!X42)))*IF(K$123=".", 1, (K43/K42)^(('Summary, PPI''s'!$K43+'Summary, PPI''s'!$K42)/('Predicted PPIs'!X43+'Predicted PPIs'!X42)))*IF(L$123=".", 1, (L43/L42)^(('Summary, PPI''s'!$L43+'Summary, PPI''s'!$L42)/('Predicted PPIs'!X43+'Predicted PPIs'!X42)))*IF(M$123=".", 1, (M43/M42)^(('Summary, PPI''s'!$M43+'Summary, PPI''s'!$M42)/('Predicted PPIs'!X43+'Predicted PPIs'!X42)))*IF(B$123=".", 1, (B43/B42)^(('Summary, PPI''s'!$B43+'Summary, PPI''s'!$B42)/('Predicted PPIs'!X43+'Predicted PPIs'!X42)))*IF(C$123=".", 1, (C43/C42)^(('Summary, PPI''s'!$C43+'Summary, PPI''s'!$C42)/('Predicted PPIs'!X43+'Predicted PPIs'!X42)))*IF(D$123=".", 1, (D43/D42)^(('Summary, PPI''s'!$D43+'Summary, PPI''s'!$D42)/('Predicted PPIs'!X43+'Predicted PPIs'!X42)))*IF(N$123=".", 1, (N43/N42)^(('Summary, PPI''s'!$N43+'Summary, PPI''s'!$N42)/('Predicted PPIs'!X43+'Predicted PPIs'!X42)))*IF(O$123=".", 1, (O43/O42)^(('Summary, PPI''s'!$O43+'Summary, PPI''s'!$O42)/('Predicted PPIs'!X43+'Predicted PPIs'!X42)))*IF(P$123=".", 1, (P43/P42)^(('Summary, PPI''s'!$P43+'Summary, PPI''s'!$P42)/('Predicted PPIs'!X43+'Predicted PPIs'!X42)))</f>
        <v>22.41378005192394</v>
      </c>
      <c r="AH43" s="13">
        <f t="shared" si="91"/>
        <v>32.329766655591193</v>
      </c>
      <c r="AJ43" s="4">
        <v>1750.7</v>
      </c>
      <c r="AK43" s="4">
        <v>-1.2330000000000001</v>
      </c>
      <c r="AL43" s="4">
        <v>-178.387</v>
      </c>
      <c r="AM43" s="4">
        <v>-5.17</v>
      </c>
      <c r="AN43" s="4">
        <v>2438.9</v>
      </c>
      <c r="AO43" s="4">
        <v>531.9</v>
      </c>
      <c r="AP43" s="4">
        <f>('[3]1980'!$I$14+'[3]1980'!$I$69+'[3]1980'!$I$71-'[3]1980'!$I$73)*0.001</f>
        <v>-24.86</v>
      </c>
      <c r="AQ43" s="4">
        <f>('[3]1980'!$AY$56+'[3]1980'!$AY$69+'[3]1980'!$AY$71-'[3]1980'!$AY$73)*0.001</f>
        <v>-83.463000000000008</v>
      </c>
      <c r="AR43" s="4">
        <f>AR$38*9836/23762</f>
        <v>-4.6311408130628733</v>
      </c>
      <c r="AS43" s="4">
        <v>-10.340999999999999</v>
      </c>
      <c r="AT43" s="4">
        <v>41.182000000000002</v>
      </c>
      <c r="AU43" s="4">
        <v>63.173999999999999</v>
      </c>
      <c r="AV43" s="4">
        <v>31.401</v>
      </c>
      <c r="AW43" s="4">
        <v>29.071000000000002</v>
      </c>
      <c r="AX43" s="4">
        <v>45.338000000000001</v>
      </c>
      <c r="AY43" s="4">
        <v>60.104999999999997</v>
      </c>
      <c r="AZ43" s="4">
        <v>28.629000000000001</v>
      </c>
      <c r="BA43" s="4">
        <v>42.173000000000002</v>
      </c>
      <c r="BB43" s="4">
        <f>BB$38*180.956/184.05</f>
        <v>101.24883933713664</v>
      </c>
      <c r="BC43" s="4">
        <v>47.576000000000001</v>
      </c>
      <c r="BG43" s="4">
        <f t="shared" si="50"/>
        <v>41.181427595041619</v>
      </c>
      <c r="BI43" s="4">
        <f>BI$13*'[2]Ordinary Experience'!$D$383/'[2]Ordinary Experience'!$D$413</f>
        <v>226740939.5180065</v>
      </c>
      <c r="BJ43" s="4">
        <f>'[2]Ordinary Experience'!$E$383</f>
        <v>22.6</v>
      </c>
      <c r="BL43" s="4">
        <f t="shared" si="90"/>
        <v>59.206068543585197</v>
      </c>
      <c r="BM43" s="4">
        <f t="shared" si="34"/>
        <v>-3.0186751827011582E-2</v>
      </c>
      <c r="BO43" s="4">
        <f>IF(OR('Summary, hourly ad costs'!R43=-9999,'Summary, PPI''s'!R43="."),".",(('Summary, hourly ad costs'!B43/'Summary, hourly ad costs'!R43)*100/('Summary, hourly ad costs'!B$11/'Summary, hourly ad costs'!R$11))/('Summary, PPI''s'!R43))</f>
        <v>0.90856005923510008</v>
      </c>
      <c r="BP43" s="4" t="str">
        <f>IF(OR('Summary, hourly ad costs'!S43=-9999,'Summary, PPI''s'!S43="."),".",(('Summary, hourly ad costs'!C43/'Summary, hourly ad costs'!S43)*100/('Summary, hourly ad costs'!C$11/'Summary, hourly ad costs'!S$11))/('Summary, PPI''s'!S43))</f>
        <v>.</v>
      </c>
      <c r="BQ43" s="4" t="str">
        <f>IF(OR('Summary, hourly ad costs'!T43=-9999,'Summary, PPI''s'!T43="."),".",(('Summary, hourly ad costs'!D43/'Summary, hourly ad costs'!T43)*100/('Summary, hourly ad costs'!D$11/'Summary, hourly ad costs'!T$11))/('Summary, PPI''s'!T43))</f>
        <v>.</v>
      </c>
      <c r="BR43" s="4">
        <f>IF(OR('Summary, hourly ad costs'!U43=-9999,'Summary, PPI''s'!U43="."),".",(('Summary, hourly ad costs'!E43/'Summary, hourly ad costs'!U43)*100/('Summary, hourly ad costs'!E$11/'Summary, hourly ad costs'!U$11))/('Summary, PPI''s'!U43))</f>
        <v>2.1108917802549159</v>
      </c>
      <c r="BS43" s="4">
        <f>IF(OR('Summary, hourly ad costs'!V43=-9999,'Summary, PPI''s'!V43="."),".",(('Summary, hourly ad costs'!F43/'Summary, hourly ad costs'!V43)*100/('Summary, hourly ad costs'!F$11/'Summary, hourly ad costs'!V$11))/('Summary, PPI''s'!V43))</f>
        <v>2.3386574042643509</v>
      </c>
      <c r="BT43" s="4" t="str">
        <f>IF(OR('Summary, hourly ad costs'!W43=-9999,'Summary, PPI''s'!W43="."),".",(('Summary, hourly ad costs'!G43/'Summary, hourly ad costs'!W43)*100/('Summary, hourly ad costs'!G$11/'Summary, hourly ad costs'!W$11))/('Summary, PPI''s'!W43))</f>
        <v>.</v>
      </c>
      <c r="BU43" s="4">
        <f>IF(OR('Summary, hourly ad costs'!X43=-9999,'Summary, PPI''s'!X43="."),".",(('Summary, hourly ad costs'!H43/'Summary, hourly ad costs'!X43)*100/('Summary, hourly ad costs'!H$11/'Summary, hourly ad costs'!X$11))/('Summary, PPI''s'!X43))</f>
        <v>1.1131522097009598</v>
      </c>
      <c r="BV43" s="4">
        <f>IF(OR('Summary, hourly ad costs'!Y43=-9999,'Summary, PPI''s'!Y43="."),".",(('Summary, hourly ad costs'!I43/'Summary, hourly ad costs'!Y43)*100/('Summary, hourly ad costs'!I$11/'Summary, hourly ad costs'!Y$11))/('Summary, PPI''s'!Y43))</f>
        <v>0.71080336360597052</v>
      </c>
      <c r="BW43" s="4">
        <f>IF(OR('Summary, hourly ad costs'!Z43=-9999,'Summary, PPI''s'!Z43="."),".",(('Summary, hourly ad costs'!J43/'Summary, hourly ad costs'!Z43)*100/('Summary, hourly ad costs'!J$11/'Summary, hourly ad costs'!Z$11))/('Summary, PPI''s'!Z43))</f>
        <v>0.65144975948715789</v>
      </c>
      <c r="BX43" s="4" t="str">
        <f>IF(OR('Summary, hourly ad costs'!AA43=-9999,'Summary, PPI''s'!AA43="."),".",(('Summary, hourly ad costs'!K43/'Summary, hourly ad costs'!AA43)*100/('Summary, hourly ad costs'!K$11/'Summary, hourly ad costs'!AA$11))/('Summary, PPI''s'!AA43))</f>
        <v>.</v>
      </c>
      <c r="BY43" s="4" t="str">
        <f>IF(OR('Summary, hourly ad costs'!AB43=-9999,'Summary, PPI''s'!AB43="."),".",(('Summary, hourly ad costs'!L43/'Summary, hourly ad costs'!AB43)*100/('Summary, hourly ad costs'!L$11/'Summary, hourly ad costs'!AB$11))/('Summary, PPI''s'!AB43))</f>
        <v>.</v>
      </c>
      <c r="BZ43" s="4" t="str">
        <f>IF(OR('Summary, hourly ad costs'!AC43=-9999,'Summary, PPI''s'!AC43="."),".",(('Summary, hourly ad costs'!M43/'Summary, hourly ad costs'!AC43)*100/('Summary, hourly ad costs'!M$11/'Summary, hourly ad costs'!AC$11))/('Summary, PPI''s'!AC43))</f>
        <v>.</v>
      </c>
      <c r="CA43" s="4" t="str">
        <f>IF(OR('Summary, hourly ad costs'!AD43=-9999,'Summary, PPI''s'!AD43="."),".",(('Summary, hourly ad costs'!N43/'Summary, hourly ad costs'!AD43)*100/('Summary, hourly ad costs'!N$11/'Summary, hourly ad costs'!AD$11))/('Summary, PPI''s'!AD43))</f>
        <v>.</v>
      </c>
      <c r="CB43" s="4" t="str">
        <f>IF(OR('Summary, hourly ad costs'!AE43=-9999,'Summary, PPI''s'!AE43="."),".",(('Summary, hourly ad costs'!O43/'Summary, hourly ad costs'!AE43)*100/('Summary, hourly ad costs'!O$11/'Summary, hourly ad costs'!AE$11))/('Summary, PPI''s'!AE43))</f>
        <v>.</v>
      </c>
      <c r="CC43" s="4" t="str">
        <f>IF(OR('Summary, hourly ad costs'!AF43=-9999,'Summary, PPI''s'!AF43="."),".",(('Summary, hourly ad costs'!P43/'Summary, hourly ad costs'!AF43)*100/('Summary, hourly ad costs'!P$11/'Summary, hourly ad costs'!AF$11))/('Summary, PPI''s'!AF43))</f>
        <v>.</v>
      </c>
      <c r="CE43" s="4">
        <f t="shared" si="80"/>
        <v>-0.11591769908110661</v>
      </c>
      <c r="CF43" s="4" t="str">
        <f t="shared" si="81"/>
        <v>.</v>
      </c>
      <c r="CG43" s="4" t="str">
        <f t="shared" si="82"/>
        <v>.</v>
      </c>
      <c r="CH43" s="4">
        <f t="shared" si="83"/>
        <v>-3.5475643563730563E-2</v>
      </c>
      <c r="CI43" s="4">
        <f t="shared" si="84"/>
        <v>-2.8767464359080286E-2</v>
      </c>
      <c r="CJ43" s="4" t="str">
        <f t="shared" si="85"/>
        <v>.</v>
      </c>
      <c r="CK43" s="4">
        <f t="shared" si="86"/>
        <v>4.9032325877274019E-6</v>
      </c>
      <c r="CL43" s="4">
        <f t="shared" si="87"/>
        <v>-8.2479924622377299E-3</v>
      </c>
      <c r="CM43" s="4">
        <f t="shared" si="88"/>
        <v>2.8750302721601839E-2</v>
      </c>
      <c r="CN43" s="4">
        <f t="shared" si="89"/>
        <v>-6.1708372640461154E-2</v>
      </c>
      <c r="CO43" s="4">
        <f t="shared" si="79"/>
        <v>-0.20418357180252164</v>
      </c>
      <c r="CP43" s="4">
        <f t="shared" si="79"/>
        <v>0.2708245510265162</v>
      </c>
      <c r="CQ43" s="4" t="str">
        <f t="shared" si="62"/>
        <v>.</v>
      </c>
      <c r="CR43" s="4" t="str">
        <f t="shared" si="63"/>
        <v>.</v>
      </c>
      <c r="CS43" s="4" t="str">
        <f t="shared" si="64"/>
        <v>.</v>
      </c>
      <c r="CU43" s="5">
        <f>IF(CU42=".", ".", IF('Summary, PPI''s'!R43=".",IF(OR('Summary, hourly ad costs'!R43=-9999,'Summary, hourly ad costs'!R43=0), ".", 'Predicted PPIs'!CU42*('Summary, hourly ad costs'!B43/'Summary, hourly ad costs'!R43)/('Summary, hourly ad costs'!B42/'Summary, hourly ad costs'!R42)/(1-CE42)), 'Summary, PPI''s'!R43))</f>
        <v>51.779083783778894</v>
      </c>
      <c r="CV43" s="5">
        <f>IF(CV42=".", ".", IF('Summary, PPI''s'!S43=".",IF(OR('Summary, hourly ad costs'!S43=-9999,'Summary, hourly ad costs'!S43=0), ".", 'Predicted PPIs'!CV42*('Summary, hourly ad costs'!C43/'Summary, hourly ad costs'!S43)/('Summary, hourly ad costs'!C42/'Summary, hourly ad costs'!S42)/(1-CF42)), 'Summary, PPI''s'!S43))</f>
        <v>51.779083783778894</v>
      </c>
      <c r="CW43" s="5">
        <f>IF(CW42=".", ".", IF('Summary, PPI''s'!T43=".",IF(OR('Summary, hourly ad costs'!T43=-9999,'Summary, hourly ad costs'!T43=0), ".", 'Predicted PPIs'!CW42*('Summary, hourly ad costs'!D43/'Summary, hourly ad costs'!T43)/('Summary, hourly ad costs'!D42/'Summary, hourly ad costs'!T42)/(1-CG42)), 'Summary, PPI''s'!T43))</f>
        <v>49.243855046110589</v>
      </c>
      <c r="CX43" s="5">
        <f>IF(CX42=".", ".", IF('Summary, PPI''s'!U43=".",IF(OR('Summary, hourly ad costs'!U43=-9999,'Summary, hourly ad costs'!U43=0), ".", 'Predicted PPIs'!CX42*('Summary, hourly ad costs'!E43/'Summary, hourly ad costs'!U43)/('Summary, hourly ad costs'!E42/'Summary, hourly ad costs'!U42)/(1-CH42)), 'Summary, PPI''s'!U43))</f>
        <v>20.535901776776765</v>
      </c>
      <c r="CY43" s="5">
        <f>IF(CY42=".", ".", IF('Summary, PPI''s'!V43=".",IF(OR('Summary, hourly ad costs'!V43=-9999,'Summary, hourly ad costs'!V43=0), ".", 'Predicted PPIs'!CY42*('Summary, hourly ad costs'!F43/'Summary, hourly ad costs'!V43)/('Summary, hourly ad costs'!F42/'Summary, hourly ad costs'!V42)/(1-CI42)), 'Summary, PPI''s'!V43))</f>
        <v>20.462127764734952</v>
      </c>
      <c r="CZ43" s="5">
        <f>IF(CZ42=".", ".", IF('Summary, PPI''s'!W43=".",IF(OR('Summary, hourly ad costs'!W43=-9999,'Summary, hourly ad costs'!W43=0), ".", 'Predicted PPIs'!CZ42*('Summary, hourly ad costs'!G43/'Summary, hourly ad costs'!W43)/('Summary, hourly ad costs'!G42/'Summary, hourly ad costs'!W42)/(1-CJ42)), 'Summary, PPI''s'!W43))</f>
        <v>23.967655184139879</v>
      </c>
      <c r="DA43" s="5">
        <f>IF(DA42=".", ".", IF('Summary, PPI''s'!X43=".",IF(OR('Summary, hourly ad costs'!X43=-9999,'Summary, hourly ad costs'!X43=0), ".", 'Predicted PPIs'!DA42*('Summary, hourly ad costs'!H43/'Summary, hourly ad costs'!X43)/('Summary, hourly ad costs'!H42/'Summary, hourly ad costs'!X42)/(1-CK42)), 'Summary, PPI''s'!X43))</f>
        <v>29.675000000000001</v>
      </c>
      <c r="DB43" s="5">
        <f>IF(DB42=".", ".", IF('Summary, PPI''s'!Y43=".",IF(OR('Summary, hourly ad costs'!Y43=-9999,'Summary, hourly ad costs'!Y43=0), ".", 'Predicted PPIs'!DB42*('Summary, hourly ad costs'!I43/'Summary, hourly ad costs'!Y43)/('Summary, hourly ad costs'!I42/'Summary, hourly ad costs'!Y42)/(1-CL42)), 'Summary, PPI''s'!Y43))</f>
        <v>31.638309052262105</v>
      </c>
      <c r="DC43" s="5">
        <f>IF(DC42=".", ".", IF('Summary, PPI''s'!Z43=".",IF(OR('Summary, hourly ad costs'!Z43=-9999,'Summary, hourly ad costs'!Z43=0), ".", 'Predicted PPIs'!DC42*('Summary, hourly ad costs'!J43/'Summary, hourly ad costs'!Z43)/('Summary, hourly ad costs'!J42/'Summary, hourly ad costs'!Z42)/(1-CM42)), 'Summary, PPI''s'!Z43))</f>
        <v>33.918402919156719</v>
      </c>
      <c r="DD43" s="5">
        <f>IF(DD42=".", ".", IF('Summary, PPI''s'!AA43=".",IF(OR('Summary, hourly ad costs'!AA43=-9999,'Summary, hourly ad costs'!AA43=0), ".", 'Predicted PPIs'!DD42*('Summary, hourly ad costs'!K43/'Summary, hourly ad costs'!AA43)/('Summary, hourly ad costs'!K42/'Summary, hourly ad costs'!AA42)/(1-CN42)), 'Summary, PPI''s'!AA43))</f>
        <v>17.158070057623711</v>
      </c>
      <c r="DE43" s="5" t="str">
        <f>IF(DE42=".", ".", IF('Summary, PPI''s'!AB43=".",IF(OR('Summary, hourly ad costs'!AB43=-9999,'Summary, hourly ad costs'!AB43=0), ".", 'Predicted PPIs'!DE42*('Summary, hourly ad costs'!L43/'Summary, hourly ad costs'!AB43)/('Summary, hourly ad costs'!L42/'Summary, hourly ad costs'!AB42)/(1-CO42)), 'Summary, PPI''s'!AB43))</f>
        <v>.</v>
      </c>
      <c r="DF43" s="5" t="str">
        <f>IF(DF42=".", ".", IF('Summary, PPI''s'!AC43=".",IF(OR('Summary, hourly ad costs'!AC43=-9999,'Summary, hourly ad costs'!AC43=0), ".", 'Predicted PPIs'!DF42*('Summary, hourly ad costs'!M43/'Summary, hourly ad costs'!AC43)/('Summary, hourly ad costs'!M42/'Summary, hourly ad costs'!AC42)/(1-CP42)), 'Summary, PPI''s'!AC43))</f>
        <v>.</v>
      </c>
      <c r="DG43" s="5" t="str">
        <f>IF(DG42=".", ".", IF('Summary, PPI''s'!AD43=".",IF(OR('Summary, hourly ad costs'!AD43=-9999,'Summary, hourly ad costs'!AD43=0), ".", 'Predicted PPIs'!DG42*('Summary, hourly ad costs'!N43/'Summary, hourly ad costs'!AD43)/('Summary, hourly ad costs'!N42/'Summary, hourly ad costs'!AD42)/(1-CQ42)), 'Summary, PPI''s'!AD43))</f>
        <v>.</v>
      </c>
      <c r="DH43" s="5">
        <f>IF(DH42=".", ".", IF('Summary, PPI''s'!AE43=".",IF(OR('Summary, hourly ad costs'!AE43=-9999,'Summary, hourly ad costs'!AE43=0), ".", 'Predicted PPIs'!DH42*('Summary, hourly ad costs'!O43/'Summary, hourly ad costs'!AE43)/('Summary, hourly ad costs'!O42/'Summary, hourly ad costs'!AE42)/(1-CR42)), 'Summary, PPI''s'!AE43))</f>
        <v>28.695385339017371</v>
      </c>
      <c r="DI43" s="5" t="str">
        <f>IF(DI42=".", ".", IF('Summary, PPI''s'!AF43=".",IF(OR('Summary, hourly ad costs'!AF43=-9999,'Summary, hourly ad costs'!AF43=0), ".", 'Predicted PPIs'!DI42*('Summary, hourly ad costs'!P43/'Summary, hourly ad costs'!AF43)/('Summary, hourly ad costs'!P42/'Summary, hourly ad costs'!AF42)/(1-CS42)), 'Summary, PPI''s'!AF43))</f>
        <v>.</v>
      </c>
      <c r="DK43" s="4">
        <v>19.436</v>
      </c>
      <c r="DM43" s="5">
        <f t="shared" si="65"/>
        <v>-3.335637334558339E-2</v>
      </c>
      <c r="DN43" s="5">
        <f t="shared" si="66"/>
        <v>-3.335637334558339E-2</v>
      </c>
      <c r="DO43" s="5">
        <f t="shared" si="67"/>
        <v>5.4489485683710814E-3</v>
      </c>
      <c r="DP43" s="5">
        <f t="shared" si="68"/>
        <v>-3.3356373345583279E-2</v>
      </c>
      <c r="DQ43" s="5">
        <f t="shared" si="69"/>
        <v>-5.0066577485079367E-2</v>
      </c>
      <c r="DR43" s="5">
        <f t="shared" si="70"/>
        <v>-8.6238528050169183E-2</v>
      </c>
      <c r="DS43" s="5">
        <f t="shared" si="71"/>
        <v>-7.3661655948810356E-2</v>
      </c>
      <c r="DT43" s="5">
        <f t="shared" si="72"/>
        <v>-3.9044950919063459E-2</v>
      </c>
      <c r="DU43" s="5">
        <f t="shared" si="73"/>
        <v>-3.9044950919063459E-2</v>
      </c>
      <c r="DV43" s="5">
        <f t="shared" si="74"/>
        <v>4.70234831969083E-2</v>
      </c>
      <c r="DW43" s="4">
        <f t="shared" si="78"/>
        <v>6.9556123173721618E-2</v>
      </c>
      <c r="DX43" s="4">
        <f t="shared" si="78"/>
        <v>-0.30492659304524705</v>
      </c>
      <c r="DY43" s="4">
        <f t="shared" si="108"/>
        <v>-2.4058493266157419E-2</v>
      </c>
      <c r="DZ43" s="5">
        <f t="shared" si="92"/>
        <v>-7.3303114363671207E-2</v>
      </c>
      <c r="EA43" s="4">
        <f t="shared" si="109"/>
        <v>-1.4418067736163833E-2</v>
      </c>
      <c r="EC43" s="1">
        <f t="shared" si="93"/>
        <v>51.779083783778894</v>
      </c>
      <c r="ED43" s="1">
        <f t="shared" si="94"/>
        <v>51.779083783778894</v>
      </c>
      <c r="EE43" s="1">
        <f t="shared" si="95"/>
        <v>49.243855046110589</v>
      </c>
      <c r="EF43" s="1">
        <f t="shared" si="96"/>
        <v>20.535901776776765</v>
      </c>
      <c r="EG43" s="1">
        <f t="shared" si="97"/>
        <v>20.462127764734952</v>
      </c>
      <c r="EH43" s="1">
        <f t="shared" si="98"/>
        <v>23.967655184139879</v>
      </c>
      <c r="EI43" s="1">
        <f t="shared" si="99"/>
        <v>29.675000000000001</v>
      </c>
      <c r="EJ43" s="1">
        <f t="shared" si="100"/>
        <v>31.638309052262105</v>
      </c>
      <c r="EK43" s="1">
        <f t="shared" si="101"/>
        <v>33.918402919156719</v>
      </c>
      <c r="EL43" s="1">
        <f t="shared" si="102"/>
        <v>17.158070057623711</v>
      </c>
      <c r="EM43" s="1">
        <f t="shared" si="103"/>
        <v>29.957384494694114</v>
      </c>
      <c r="EN43" s="1">
        <f t="shared" si="104"/>
        <v>23.795031347268832</v>
      </c>
      <c r="EO43" s="1">
        <f t="shared" si="105"/>
        <v>27.734876675023884</v>
      </c>
      <c r="EP43" s="1">
        <f t="shared" si="106"/>
        <v>28.695385339017371</v>
      </c>
      <c r="EQ43" s="1">
        <f t="shared" si="107"/>
        <v>24.878370532518151</v>
      </c>
      <c r="ES43" s="1">
        <f>IF(EF$26=".", 0, 'Summary, PPI''s'!E43)+IF(EG$26=".", 0, 'Summary, PPI''s'!F43)+IF(EH$26=".", 0, 'Summary, PPI''s'!G43)+IF(EI$26=".", 0, 'Summary, PPI''s'!H43)+IF(EJ$26=".", 0, 'Summary, PPI''s'!I43)+IF(EK$26=".", 0, 'Summary, PPI''s'!J43)+IF(EL$26=".", 0, 'Summary, PPI''s'!K43)+IF(EM$26=".", 0, 'Summary, PPI''s'!L43)+IF(EN$26=".", 0, 'Summary, PPI''s'!M43)+IF(EC$26=".", 0, 'Summary, PPI''s'!B43)+IF(ED$26=".", 0, 'Summary, PPI''s'!C43)+IF(EE$26=".", 0, 'Summary, PPI''s'!D43)+IF(EO$26=".", 0, 'Summary, PPI''s'!N43)+IF(EP$26=".", 0, 'Summary, PPI''s'!O43)+IF(EQ$26=".", 0, 'Summary, PPI''s'!P43)</f>
        <v>54680493.414412819</v>
      </c>
      <c r="ET43" s="1">
        <f>'Summary, hourly ad costs'!E43+'Summary, hourly ad costs'!F43+'Summary, hourly ad costs'!H43+'Summary, hourly ad costs'!I43+'Summary, hourly ad costs'!J43+'Summary, hourly ad costs'!K43+'Summary, hourly ad costs'!L43+'Summary, hourly ad costs'!M43+'Summary, hourly ad costs'!B43</f>
        <v>30103940.131904069</v>
      </c>
      <c r="EV43" s="13">
        <f>EV42*IF(EF$26=".", 1, (EF43/EF42)^(('Summary, PPI''s'!$E43+'Summary, PPI''s'!$E42)/('Predicted PPIs'!ES43+'Predicted PPIs'!ES42)))*IF(EG$26=".", 1, (EG43/EG42)^(('Summary, PPI''s'!$F43+'Summary, PPI''s'!$F42)/('Predicted PPIs'!ES43+'Predicted PPIs'!ES42)))*IF(EH$26=".", 1, (EH43/EH42)^(('Summary, PPI''s'!$G43+'Summary, PPI''s'!$G42)/('Predicted PPIs'!ES43+'Predicted PPIs'!ES42)))*IF(EI$26=".", 1, (EI43/EI42)^(('Summary, PPI''s'!$H43+'Summary, PPI''s'!$H42)/('Predicted PPIs'!ES43+'Predicted PPIs'!ES42)))*IF(EJ$26=".", 1, (EJ43/EJ42)^(('Summary, PPI''s'!$I43+'Summary, PPI''s'!$I42)/('Predicted PPIs'!ES43+'Predicted PPIs'!ES42)))*IF(EK$26=".", 1, (EK43/EK42)^(('Summary, PPI''s'!$J43+'Summary, PPI''s'!$J42)/('Predicted PPIs'!ES43+'Predicted PPIs'!ES42)))*IF(EL$26=".", 1, (EL43/EL42)^(('Summary, PPI''s'!$K43+'Summary, PPI''s'!$K42)/('Predicted PPIs'!ES43+'Predicted PPIs'!ES42)))*IF(EM$26=".", 1, (EM43/EM42)^(('Summary, PPI''s'!$L43+'Summary, PPI''s'!$L42)/('Predicted PPIs'!ES43+'Predicted PPIs'!ES42)))*IF(EN$26=".", 1, (EN43/EN42)^(('Summary, PPI''s'!$M43+'Summary, PPI''s'!$M42)/('Predicted PPIs'!ES43+'Predicted PPIs'!ES42)))*IF(EC$26=".", 1, (EC43/EC42)^(('Summary, PPI''s'!$B43+'Summary, PPI''s'!$B42)/('Predicted PPIs'!ES43+'Predicted PPIs'!ES42)))*IF(ED$26=".", 1, (ED43/ED42)^(('Summary, PPI''s'!$C43+'Summary, PPI''s'!$C42)/('Predicted PPIs'!ES43+'Predicted PPIs'!ES42)))*IF(EE$26=".", 1, (EE43/EE42)^(('Summary, PPI''s'!$D43+'Summary, PPI''s'!$D42)/('Predicted PPIs'!ES43+'Predicted PPIs'!ES42)))*IF(EO$26=".", 1, (EO43/EO42)^(('Summary, PPI''s'!$N43+'Summary, PPI''s'!$N42)/('Predicted PPIs'!ES43+'Predicted PPIs'!ES42)))*IF(EP$26=".", 1, (EP43/EP42)^(('Summary, PPI''s'!$O43+'Summary, PPI''s'!$O42)/('Predicted PPIs'!ES43+'Predicted PPIs'!ES42)))*IF(EQ$26=".", 1, (EQ43/EQ42)^(('Summary, PPI''s'!$P43+'Summary, PPI''s'!$P42)/('Predicted PPIs'!ES43+'Predicted PPIs'!ES42)))</f>
        <v>32.077601862056568</v>
      </c>
      <c r="EW43" s="13">
        <f>EW42*IF(EF$26=".", 1, (EF43/EF42)^(('Summary, PPI''s'!$E43+'Summary, PPI''s'!$E42)/('Predicted PPIs'!ET43+'Predicted PPIs'!ET42)))*IF(EG$26=".", 1, (EG43/EG42)^(('Summary, PPI''s'!$F43+'Summary, PPI''s'!$F42)/('Predicted PPIs'!ET43+'Predicted PPIs'!ET42)))*IF(EH$26=".", 1, (EH43/EH42)^(('Summary, PPI''s'!$G43+'Summary, PPI''s'!$G42)/('Predicted PPIs'!ET43+'Predicted PPIs'!ET42)))*IF(EK$26=".", 1, (EK43/EK42)^(('Summary, PPI''s'!$J43+'Summary, PPI''s'!$J42)/('Predicted PPIs'!ET43+'Predicted PPIs'!ET42)))*IF(EL$26=".", 1, (EL43/EL42)^(('Summary, PPI''s'!$K43+'Summary, PPI''s'!$K42)/('Predicted PPIs'!ET43+'Predicted PPIs'!ET42)))*IF(EM$26=".", 1, (EM43/EM42)^(('Summary, PPI''s'!$L43+'Summary, PPI''s'!$L42)/('Predicted PPIs'!ET43+'Predicted PPIs'!ET42)))*IF(EN$26=".", 1, (EN43/EN42)^(('Summary, PPI''s'!$M43+'Summary, PPI''s'!$M42)/('Predicted PPIs'!ET43+'Predicted PPIs'!ET42)))*IF(EC$26=".", 1, (EC43/EC42)^(('Summary, PPI''s'!$B43+'Summary, PPI''s'!$B42)/('Predicted PPIs'!ET43+'Predicted PPIs'!ET42)))</f>
        <v>33.067648846321994</v>
      </c>
      <c r="EY43" s="2"/>
    </row>
    <row r="44" spans="1:155" x14ac:dyDescent="0.3">
      <c r="A44" s="4">
        <v>1979</v>
      </c>
      <c r="B44" s="10">
        <f>IF(B43=".", ".", IF('Summary, PPI''s'!R44=".",IF(OR('Summary, hourly ad costs'!R44=-9999,'Summary, hourly ad costs'!R44=0), ".", 'Predicted PPIs'!B43*('Summary, hourly ad costs'!B44/'Summary, hourly ad costs'!R44)/('Summary, hourly ad costs'!B43/'Summary, hourly ad costs'!R43)), 'Summary, PPI''s'!R44))</f>
        <v>47.202214804979164</v>
      </c>
      <c r="C44" s="10">
        <f>IF(C43=".", ".", IF('Summary, PPI''s'!S44=".",IF(OR('Summary, hourly ad costs'!S44=-9999,'Summary, hourly ad costs'!S44=0), ".", 'Predicted PPIs'!C43*('Summary, hourly ad costs'!C44/'Summary, hourly ad costs'!S44)/('Summary, hourly ad costs'!C43/'Summary, hourly ad costs'!S43)), 'Summary, PPI''s'!S44))</f>
        <v>47.202214804979164</v>
      </c>
      <c r="D44" s="10">
        <f>IF(D43=".", ".", IF('Summary, PPI''s'!T44=".",IF(OR('Summary, hourly ad costs'!T44=-9999,'Summary, hourly ad costs'!T44=0), ".", 'Predicted PPIs'!D43*('Summary, hourly ad costs'!D44/'Summary, hourly ad costs'!T44)/('Summary, hourly ad costs'!D43/'Summary, hourly ad costs'!T43)), 'Summary, PPI''s'!T44))</f>
        <v>43.158508466060866</v>
      </c>
      <c r="E44" s="10">
        <f>IF(E43=".", ".", IF('Summary, PPI''s'!U44=".",IF(OR('Summary, hourly ad costs'!U44=-9999,'Summary, hourly ad costs'!U44=0), ".", 'Predicted PPIs'!E43*('Summary, hourly ad costs'!E44/'Summary, hourly ad costs'!U44)/('Summary, hourly ad costs'!E43/'Summary, hourly ad costs'!U43)), 'Summary, PPI''s'!U44))</f>
        <v>18.720687506352522</v>
      </c>
      <c r="F44" s="10">
        <f>IF(F43=".", ".", IF('Summary, PPI''s'!V44=".",IF(OR('Summary, hourly ad costs'!V44=-9999,'Summary, hourly ad costs'!V44=0), ".", 'Predicted PPIs'!F43*('Summary, hourly ad costs'!F44/'Summary, hourly ad costs'!V44)/('Summary, hourly ad costs'!F43/'Summary, hourly ad costs'!V43)), 'Summary, PPI''s'!V44))</f>
        <v>18.98156564446656</v>
      </c>
      <c r="G44" s="10">
        <f>IF(G43=".", ".", IF('Summary, PPI''s'!W44=".",IF(OR('Summary, hourly ad costs'!W44=-9999,'Summary, hourly ad costs'!W44=0), ".", 'Predicted PPIs'!G43*('Summary, hourly ad costs'!G44/'Summary, hourly ad costs'!W44)/('Summary, hourly ad costs'!G43/'Summary, hourly ad costs'!W43)), 'Summary, PPI''s'!W44))</f>
        <v>23.113574439827836</v>
      </c>
      <c r="H44" s="10">
        <f>IF(H43=".", ".", IF('Summary, PPI''s'!X44=".",IF(OR('Summary, hourly ad costs'!X44=-9999,'Summary, hourly ad costs'!X44=0), ".", 'Predicted PPIs'!H43*('Summary, hourly ad costs'!H44/'Summary, hourly ad costs'!X44)/('Summary, hourly ad costs'!H43/'Summary, hourly ad costs'!X43)), 'Summary, PPI''s'!X44))</f>
        <v>28.228999999999999</v>
      </c>
      <c r="I44" s="10">
        <f>IF(I43=".", ".", IF('Summary, PPI''s'!Y44=".",IF(OR('Summary, hourly ad costs'!Y44=-9999,'Summary, hourly ad costs'!Y44=0), ".", 'Predicted PPIs'!I43*('Summary, hourly ad costs'!I44/'Summary, hourly ad costs'!Y44)/('Summary, hourly ad costs'!I43/'Summary, hourly ad costs'!Y43)), 'Summary, PPI''s'!Y44))</f>
        <v>29.012462918524374</v>
      </c>
      <c r="J44" s="10">
        <f>IF(J43=".", ".", IF('Summary, PPI''s'!Z44=".",IF(OR('Summary, hourly ad costs'!Z44=-9999,'Summary, hourly ad costs'!Z44=0), ".", 'Predicted PPIs'!J43*('Summary, hourly ad costs'!J44/'Summary, hourly ad costs'!Z44)/('Summary, hourly ad costs'!J43/'Summary, hourly ad costs'!Z43)), 'Summary, PPI''s'!Z44))</f>
        <v>31.103318616746499</v>
      </c>
      <c r="K44" s="10">
        <f>IF(K43=".", ".", IF('Summary, PPI''s'!AA44=".",IF(OR('Summary, hourly ad costs'!AA44=-9999,'Summary, hourly ad costs'!AA44=0), ".", 'Predicted PPIs'!K43*('Summary, hourly ad costs'!K44/'Summary, hourly ad costs'!AA44)/('Summary, hourly ad costs'!K43/'Summary, hourly ad costs'!AA43)), 'Summary, PPI''s'!AA44))</f>
        <v>17.954126839015064</v>
      </c>
      <c r="L44" s="10" t="str">
        <f>IF(L43=".", ".", IF('Summary, PPI''s'!AB44=".",IF(OR('Summary, hourly ad costs'!AB44=-9999,'Summary, hourly ad costs'!AB44=0), ".", 'Predicted PPIs'!L43*('Summary, hourly ad costs'!L44/'Summary, hourly ad costs'!AB44)/('Summary, hourly ad costs'!L43/'Summary, hourly ad costs'!AB43)), 'Summary, PPI''s'!AB44))</f>
        <v>.</v>
      </c>
      <c r="M44" s="10" t="str">
        <f>IF(M43=".", ".", IF('Summary, PPI''s'!AC44=".",IF(OR('Summary, hourly ad costs'!AC44=-9999,'Summary, hourly ad costs'!AC44=0), ".", 'Predicted PPIs'!M43*('Summary, hourly ad costs'!M44/'Summary, hourly ad costs'!AC44)/('Summary, hourly ad costs'!M43/'Summary, hourly ad costs'!AC43)), 'Summary, PPI''s'!AC44))</f>
        <v>.</v>
      </c>
      <c r="N44" s="10" t="str">
        <f>IF(N43=".", ".", IF('Summary, PPI''s'!AD44=".",IF(OR('Summary, hourly ad costs'!AD44=-9999,'Summary, hourly ad costs'!AD44=0), ".", 'Predicted PPIs'!N43*('Summary, hourly ad costs'!N44/'Summary, hourly ad costs'!AD44)/('Summary, hourly ad costs'!N43/'Summary, hourly ad costs'!AD43)), 'Summary, PPI''s'!AD44))</f>
        <v>.</v>
      </c>
      <c r="O44" s="10">
        <f>IF(O43=".", ".", IF('Summary, PPI''s'!AE44=".",IF(OR('Summary, hourly ad costs'!AE44=-9999,'Summary, hourly ad costs'!AE44=0), ".", 'Predicted PPIs'!O43*('Summary, hourly ad costs'!O44/'Summary, hourly ad costs'!AE44)/('Summary, hourly ad costs'!O43/'Summary, hourly ad costs'!AE43)), 'Summary, PPI''s'!AE44))</f>
        <v>27.286558558882543</v>
      </c>
      <c r="P44" s="10" t="str">
        <f>IF(P43=".", ".", IF('Summary, PPI''s'!AF44=".",IF(OR('Summary, hourly ad costs'!AF44=-9999,'Summary, hourly ad costs'!AF44=0), ".", 'Predicted PPIs'!P43*('Summary, hourly ad costs'!P44/'Summary, hourly ad costs'!AF44)/('Summary, hourly ad costs'!P43/'Summary, hourly ad costs'!AF43)), 'Summary, PPI''s'!AF44))</f>
        <v>.</v>
      </c>
      <c r="R44" s="1">
        <f>IF(E$26=".", 0, 'Summary, PPI''s'!E44)+IF(F$26=".", 0, 'Summary, PPI''s'!F44)+IF(G$26=".", 0, 'Summary, PPI''s'!G44)+IF(H$26=".", 0, 'Summary, PPI''s'!H44)+IF(I$26=".", 0, 'Summary, PPI''s'!I44)+IF(J$26=".", 0, 'Summary, PPI''s'!J44)+IF(K$26=".", 0, 'Summary, PPI''s'!K44)+IF(L$26=".", 0, 'Summary, PPI''s'!L44)+IF(M$26=".", 0, 'Summary, PPI''s'!M44)+IF(B$26=".", 0, 'Summary, PPI''s'!B44)+IF(C$26=".", 0, 'Summary, PPI''s'!C44)+IF(D$26=".", 0, 'Summary, PPI''s'!D44)+IF(N$26=".", 0, 'Summary, PPI''s'!N44)+IF(O$26=".", 0, 'Summary, PPI''s'!O44)+IF(P$26=".", 0, 'Summary, PPI''s'!P44)</f>
        <v>49437387.462532699</v>
      </c>
      <c r="S44" s="1">
        <f>IF(E$36=".", 0, 'Summary, PPI''s'!E44)+IF(F$36=".", 0, 'Summary, PPI''s'!F44)+IF(G$36=".", 0, 'Summary, PPI''s'!G44)+IF(H$36=".", 0, 'Summary, PPI''s'!H44)+IF(I$36=".", 0, 'Summary, PPI''s'!I44)+IF(J$36=".", 0, 'Summary, PPI''s'!J44)+IF(K$36=".", 0, 'Summary, PPI''s'!K44)+IF(L$36=".", 0, 'Summary, PPI''s'!L44)+IF(M$36=".", 0, 'Summary, PPI''s'!M44)+IF(B$36=".", 0, 'Summary, PPI''s'!B44)+IF(C$36=".", 0, 'Summary, PPI''s'!C44)+IF(D$36=".", 0, 'Summary, PPI''s'!D44)+IF(N$36=".", 0, 'Summary, PPI''s'!N44)+IF(O$36=".", 0, 'Summary, PPI''s'!O44)+IF(P$36=".", 0, 'Summary, PPI''s'!P44)</f>
        <v>49437387.462532699</v>
      </c>
      <c r="T44" s="1">
        <f>IF(E$46=".", 0, 'Summary, PPI''s'!E44)+IF(F$46=".", 0, 'Summary, PPI''s'!F44)+IF(G$46=".", 0, 'Summary, PPI''s'!G44)+IF(H$46=".", 0, 'Summary, PPI''s'!H44)+IF(I$46=".", 0, 'Summary, PPI''s'!I44)+IF(J$46=".", 0, 'Summary, PPI''s'!J44)+IF(K$46=".", 0, 'Summary, PPI''s'!K44)+IF(L$46=".", 0, 'Summary, PPI''s'!L44)+IF(M$46=".", 0, 'Summary, PPI''s'!M44)+IF(B$46=".", 0, 'Summary, PPI''s'!B44)+IF(C$46=".", 0, 'Summary, PPI''s'!C44)+IF(D$46=".", 0, 'Summary, PPI''s'!D44)+IF(N$46=".", 0, 'Summary, PPI''s'!N44)+IF(O$46=".", 0, 'Summary, PPI''s'!O44)+IF(P$46=".", 0, 'Summary, PPI''s'!P44)</f>
        <v>36077002.683982201</v>
      </c>
      <c r="U44" s="1">
        <f>IF(E$60=".", 0, 'Summary, PPI''s'!E44)+IF(F$60=".", 0, 'Summary, PPI''s'!F44)+IF(G$60=".", 0, 'Summary, PPI''s'!G44)+IF(H$60=".", 0, 'Summary, PPI''s'!H44)+IF(I$60=".", 0, 'Summary, PPI''s'!I44)+IF(J$60=".", 0, 'Summary, PPI''s'!J44)+IF(K$60=".", 0, 'Summary, PPI''s'!K44)+IF(L$60=".", 0, 'Summary, PPI''s'!L44)+IF(M$60=".", 0, 'Summary, PPI''s'!M44)+IF(B$60=".", 0, 'Summary, PPI''s'!B44)+IF(C$60=".", 0, 'Summary, PPI''s'!C44)+IF(D$60=".", 0, 'Summary, PPI''s'!D44)+IF(N$60=".", 0, 'Summary, PPI''s'!N44)+IF(O$60=".", 0, 'Summary, PPI''s'!O44)+IF(P$60=".", 0, 'Summary, PPI''s'!P44)</f>
        <v>32638457.542673383</v>
      </c>
      <c r="V44" s="1">
        <f>IF(E$73=".", 0, 'Summary, PPI''s'!E44)+IF(F$73=".", 0, 'Summary, PPI''s'!F44)+IF(G$73=".", 0, 'Summary, PPI''s'!G44)+IF(H$73=".", 0, 'Summary, PPI''s'!H44)+IF(I$73=".", 0, 'Summary, PPI''s'!I44)+IF(J$73=".", 0, 'Summary, PPI''s'!J44)+IF(K$73=".", 0, 'Summary, PPI''s'!K44)+IF(L$73=".", 0, 'Summary, PPI''s'!L44)+IF(M$73=".", 0, 'Summary, PPI''s'!M44)+IF(B$73=".", 0, 'Summary, PPI''s'!B44)+IF(C$73=".", 0, 'Summary, PPI''s'!C44)+IF(D$73=".", 0, 'Summary, PPI''s'!D44)+IF(N$73=".", 0, 'Summary, PPI''s'!N44)+IF(O$73=".", 0, 'Summary, PPI''s'!O44)+IF(P$73=".", 0, 'Summary, PPI''s'!P44)</f>
        <v>27539772.689555198</v>
      </c>
      <c r="W44" s="1">
        <f>IF(E$94=".",0,'Summary, PPI''s'!E44)+IF(F$94=".",0,'Summary, PPI''s'!F44)+IF(G$94=".",0,'Summary, PPI''s'!G44)+IF(H$94=".",0,'Summary, PPI''s'!H44)+IF(I$94=".",0,'Summary, PPI''s'!I44)+IF(J$94=".",0,'Summary, PPI''s'!J44)+IF(K$94=".",0,'Summary, PPI''s'!K44)+IF(L$94=".",0,'Summary, PPI''s'!L44)+IF(M$94=".",0,'Summary, PPI''s'!M44)+IF(B$94=".",0,'Summary, PPI''s'!B44)+IF(C$94=".",0,'Summary, PPI''s'!C44)+IF(D$94=".",0,'Summary, PPI''s'!D44)+IF(N$94=".",0,'Summary, PPI''s'!N44)+IF(O$94=".",0,'Summary, PPI''s'!O44)+IF(P$94=".",0,'Summary, PPI''s'!P44)</f>
        <v>20200674.832621202</v>
      </c>
      <c r="X44" s="1">
        <f>IF(E$123=".", 0, 'Summary, PPI''s'!E44)+IF(F$123=".", 0, 'Summary, PPI''s'!F44)+IF(G$123=".", 0, 'Summary, PPI''s'!G44)+IF(H$123=".", 0, 'Summary, PPI''s'!H44)+IF(I$123=".", 0, 'Summary, PPI''s'!I44)+IF(J$123=".", 0, 'Summary, PPI''s'!J44)+IF(K$123=".", 0, 'Summary, PPI''s'!K44)+IF(L$123=".", 0, 'Summary, PPI''s'!L44)+IF(M$123=".", 0, 'Summary, PPI''s'!M44)+IF(B$123=".", 0, 'Summary, PPI''s'!B44)+IF(C$123=".", 0, 'Summary, PPI''s'!C44)+IF(D$123=".", 0, 'Summary, PPI''s'!D44)+IF(N$123=".", 0, 'Summary, PPI''s'!N44)+IF(O$123=".", 0, 'Summary, PPI''s'!O44)+IF(P$123=".", 0, 'Summary, PPI''s'!P44)</f>
        <v>17514532.887276441</v>
      </c>
      <c r="Z44" s="4" t="e">
        <f>Z43*IF(E$26=".", 1, (E44/E43)^(('Summary, PPI''s'!$E44+'Summary, PPI''s'!$E43)/('Predicted PPIs'!R44+'Predicted PPIs'!R43)))*IF(F$26=".", 1, (F44/F43)^(('Summary, PPI''s'!$F44+'Summary, PPI''s'!$F43)/('Predicted PPIs'!R44+'Predicted PPIs'!R43)))*IF(G$26=".", 1, (G44/G43)^(('Summary, PPI''s'!$G44+'Summary, PPI''s'!$G43)/('Predicted PPIs'!R44+'Predicted PPIs'!R43)))*IF(H$26=".", 1, (H44/H43)^(('Summary, PPI''s'!$H44+'Summary, PPI''s'!$H43)/('Predicted PPIs'!R44+'Predicted PPIs'!R43)))*IF(I$26=".", 1, (I44/I43)^(('Summary, PPI''s'!$I44+'Summary, PPI''s'!$I43)/('Predicted PPIs'!R44+'Predicted PPIs'!R43)))*IF(J$26=".", 1, (J44/J43)^(('Summary, PPI''s'!$J44+'Summary, PPI''s'!$J43)/('Predicted PPIs'!R44+'Predicted PPIs'!R43)))*IF(K$26=".", 1, (K44/K43)^(('Summary, PPI''s'!$K44+'Summary, PPI''s'!$K43)/('Predicted PPIs'!R44+'Predicted PPIs'!R43)))*IF(L$26=".", 1, (L44/L43)^(('Summary, PPI''s'!$L44+'Summary, PPI''s'!$L43)/('Predicted PPIs'!R44+'Predicted PPIs'!R43)))*IF(M$26=".", 1, (M44/M43)^(('Summary, PPI''s'!$M44+'Summary, PPI''s'!$M43)/('Predicted PPIs'!R44+'Predicted PPIs'!R43)))*IF(B$26=".", 1, (B44/B43)^(('Summary, PPI''s'!$B44+'Summary, PPI''s'!$B43)/('Predicted PPIs'!R44+'Predicted PPIs'!R43)))*IF(C$26=".", 1, (C44/C43)^(('Summary, PPI''s'!$C44+'Summary, PPI''s'!$C43)/('Predicted PPIs'!R44+'Predicted PPIs'!R43)))*IF(D$26=".", 1, (D44/D43)^(('Summary, PPI''s'!$D44+'Summary, PPI''s'!$D43)/('Predicted PPIs'!R44+'Predicted PPIs'!R43)))*IF(N$26=".", 1, (N44/N43)^(('Summary, PPI''s'!$N44+'Summary, PPI''s'!$N43)/('Predicted PPIs'!R44+'Predicted PPIs'!R43)))*IF(O$26=".", 1, (O44/O43)^(('Summary, PPI''s'!$O44+'Summary, PPI''s'!$O43)/('Predicted PPIs'!R44+'Predicted PPIs'!R43)))*IF(P$26=".", 1, (P44/P43)^(('Summary, PPI''s'!$P44+'Summary, PPI''s'!$P43)/('Predicted PPIs'!R44+'Predicted PPIs'!R43)))</f>
        <v>#VALUE!</v>
      </c>
      <c r="AA44" s="4" t="e">
        <f>AA43*IF(E$36=".", 1, (E44/E43)^(('Summary, PPI''s'!$E44+'Summary, PPI''s'!$E43)/('Predicted PPIs'!S44+'Predicted PPIs'!S43)))*IF(F$36=".", 1, (F44/F43)^(('Summary, PPI''s'!$F44+'Summary, PPI''s'!$F43)/('Predicted PPIs'!S44+'Predicted PPIs'!S43)))*IF(G$36=".", 1, (G44/G43)^(('Summary, PPI''s'!$G44+'Summary, PPI''s'!$G43)/('Predicted PPIs'!S44+'Predicted PPIs'!S43)))*IF(H$36=".", 1, (H44/H43)^(('Summary, PPI''s'!$H44+'Summary, PPI''s'!$H43)/('Predicted PPIs'!S44+'Predicted PPIs'!S43)))*IF(I$36=".", 1, (I44/I43)^(('Summary, PPI''s'!$I44+'Summary, PPI''s'!$I43)/('Predicted PPIs'!S44+'Predicted PPIs'!S43)))*IF(J$36=".", 1, (J44/J43)^(('Summary, PPI''s'!$J44+'Summary, PPI''s'!$J43)/('Predicted PPIs'!S44+'Predicted PPIs'!S43)))*IF(K$36=".", 1, (K44/K43)^(('Summary, PPI''s'!$K44+'Summary, PPI''s'!$K43)/('Predicted PPIs'!S44+'Predicted PPIs'!S43)))*IF(L$36=".", 1, (L44/L43)^(('Summary, PPI''s'!$L44+'Summary, PPI''s'!$L43)/('Predicted PPIs'!S44+'Predicted PPIs'!S43)))*IF(M$36=".", 1, (M44/M43)^(('Summary, PPI''s'!$M44+'Summary, PPI''s'!$M43)/('Predicted PPIs'!S44+'Predicted PPIs'!S43)))*IF(B$36=".", 1, (B44/B43)^(('Summary, PPI''s'!$B44+'Summary, PPI''s'!$B43)/('Predicted PPIs'!S44+'Predicted PPIs'!S43)))*IF(C$36=".", 1, (C44/C43)^(('Summary, PPI''s'!$C44+'Summary, PPI''s'!$C43)/('Predicted PPIs'!S44+'Predicted PPIs'!S43)))*IF(D$36=".", 1, (D44/D43)^(('Summary, PPI''s'!$D44+'Summary, PPI''s'!$D43)/('Predicted PPIs'!S44+'Predicted PPIs'!S43)))*IF(N$36=".", 1, (N44/N43)^(('Summary, PPI''s'!$N44+'Summary, PPI''s'!$N43)/('Predicted PPIs'!S44+'Predicted PPIs'!S43)))*IF(O$36=".", 1, (O44/O43)^(('Summary, PPI''s'!$O44+'Summary, PPI''s'!$O43)/('Predicted PPIs'!S44+'Predicted PPIs'!S43)))*IF(P$36=".", 1, (P44/P43)^(('Summary, PPI''s'!$P44+'Summary, PPI''s'!$P43)/('Predicted PPIs'!S44+'Predicted PPIs'!S43)))</f>
        <v>#VALUE!</v>
      </c>
      <c r="AB44" s="4">
        <f>AB43*IF(E$46=".", 1, (E44/E43)^(('Summary, PPI''s'!$E44+'Summary, PPI''s'!$E43)/('Predicted PPIs'!T44+'Predicted PPIs'!T43)))*IF(F$46=".", 1, (F44/F43)^(('Summary, PPI''s'!$F44+'Summary, PPI''s'!$F43)/('Predicted PPIs'!T44+'Predicted PPIs'!T43)))*IF(G$46=".", 1, (G44/G43)^(('Summary, PPI''s'!$G44+'Summary, PPI''s'!$G43)/('Predicted PPIs'!T44+'Predicted PPIs'!T43)))*IF(H$46=".", 1, (H44/H43)^(('Summary, PPI''s'!$H44+'Summary, PPI''s'!$H43)/('Predicted PPIs'!T44+'Predicted PPIs'!T43)))*IF(I$46=".", 1, (I44/I43)^(('Summary, PPI''s'!$I44+'Summary, PPI''s'!$I43)/('Predicted PPIs'!T44+'Predicted PPIs'!T43)))*IF(J$46=".", 1, (J44/J43)^(('Summary, PPI''s'!$J44+'Summary, PPI''s'!$J43)/('Predicted PPIs'!T44+'Predicted PPIs'!T43)))*IF(K$46=".", 1, (K44/K43)^(('Summary, PPI''s'!$K44+'Summary, PPI''s'!$K43)/('Predicted PPIs'!T44+'Predicted PPIs'!T43)))*IF(L$46=".", 1, (L44/L43)^(('Summary, PPI''s'!$L44+'Summary, PPI''s'!$L43)/('Predicted PPIs'!T44+'Predicted PPIs'!T43)))*IF(M$46=".", 1, (M44/M43)^(('Summary, PPI''s'!$M44+'Summary, PPI''s'!$M43)/('Predicted PPIs'!T44+'Predicted PPIs'!T43)))*IF(B$46=".", 1, (B44/B43)^(('Summary, PPI''s'!$B44+'Summary, PPI''s'!$B43)/('Predicted PPIs'!T44+'Predicted PPIs'!T43)))*IF(C$46=".", 1, (C44/C43)^(('Summary, PPI''s'!$C44+'Summary, PPI''s'!$C43)/('Predicted PPIs'!T44+'Predicted PPIs'!T43)))*IF(D$46=".", 1, (D44/D43)^(('Summary, PPI''s'!$D44+'Summary, PPI''s'!$D43)/('Predicted PPIs'!T44+'Predicted PPIs'!T43)))*IF(N$46=".", 1, (N44/N43)^(('Summary, PPI''s'!$N44+'Summary, PPI''s'!$N43)/('Predicted PPIs'!T44+'Predicted PPIs'!T43)))*IF(O$46=".", 1, (O44/O43)^(('Summary, PPI''s'!$O44+'Summary, PPI''s'!$O43)/('Predicted PPIs'!T44+'Predicted PPIs'!T43)))*IF(P$46=".", 1, (P44/P43)^(('Summary, PPI''s'!$P44+'Summary, PPI''s'!$P43)/('Predicted PPIs'!T44+'Predicted PPIs'!T43)))</f>
        <v>25.087223880094111</v>
      </c>
      <c r="AC44" s="4">
        <f>AC43*IF(E$60=".",1,(E44/E43)^(('Summary, PPI''s'!$E44+'Summary, PPI''s'!$E43)/('Predicted PPIs'!U44+'Predicted PPIs'!U43)))*IF(F$60=".",1,(F44/F43)^(('Summary, PPI''s'!$F44+'Summary, PPI''s'!$F43)/('Predicted PPIs'!U44+'Predicted PPIs'!U43)))*IF(G$60=".",1,(G44/G43)^(('Summary, PPI''s'!$G44+'Summary, PPI''s'!$G43)/('Predicted PPIs'!U44+'Predicted PPIs'!U43)))*IF(H$60=".",1,(H44/H43)^(('Summary, PPI''s'!$H44+'Summary, PPI''s'!$H43)/('Predicted PPIs'!U44+'Predicted PPIs'!U43)))*IF(I$60=".",1,(I44/I43)^(('Summary, PPI''s'!$I44+'Summary, PPI''s'!$I43)/('Predicted PPIs'!U44+'Predicted PPIs'!U43)))*IF(J$60=".",1,(J44/J43)^(('Summary, PPI''s'!$J44+'Summary, PPI''s'!$J43)/('Predicted PPIs'!U44+'Predicted PPIs'!U43)))*IF(K$60=".",1,(K44/K43)^(('Summary, PPI''s'!$K44+'Summary, PPI''s'!$K43)/('Predicted PPIs'!U44+'Predicted PPIs'!U43)))*IF(L$60=".",1,(L44/L43)^(('Summary, PPI''s'!$L44+'Summary, PPI''s'!$L43)/('Predicted PPIs'!U44+'Predicted PPIs'!U43)))*IF(M$60=".",1,(M44/M43)^(('Summary, PPI''s'!$M44+'Summary, PPI''s'!$M43)/('Predicted PPIs'!U44+'Predicted PPIs'!U43)))*IF(B$60=".",1,(B44/B43)^(('Summary, PPI''s'!$B44+'Summary, PPI''s'!$B43)/('Predicted PPIs'!U44+'Predicted PPIs'!U43)))*IF(C$60=".",1,(C44/C43)^(('Summary, PPI''s'!$C44+'Summary, PPI''s'!$C43)/('Predicted PPIs'!U44+'Predicted PPIs'!U43)))*IF(D$60=".",1,(D44/D43)^(('Summary, PPI''s'!$D44+'Summary, PPI''s'!$D43)/('Predicted PPIs'!U44+'Predicted PPIs'!U43)))*IF(N$60=".",1,(N44/N43)^(('Summary, PPI''s'!$N44+'Summary, PPI''s'!$N43)/('Predicted PPIs'!U44+'Predicted PPIs'!U43)))*IF(O$60=".",1,(O44/O43)^(('Summary, PPI''s'!$O44+'Summary, PPI''s'!$O43)/('Predicted PPIs'!U44+'Predicted PPIs'!U43)))*IF(P$60=".",1,(P44/P43)^(('Summary, PPI''s'!$P44+'Summary, PPI''s'!$P43)/('Predicted PPIs'!U44+'Predicted PPIs'!U43)))</f>
        <v>26.819152962301434</v>
      </c>
      <c r="AD44" s="4">
        <f>AD43*IF(E$73=".", 1, (E44/E43)^(('Summary, PPI''s'!$E44+'Summary, PPI''s'!$E43)/('Predicted PPIs'!V44+'Predicted PPIs'!V43)))*IF(F$73=".", 1, (F44/F43)^(('Summary, PPI''s'!$F44+'Summary, PPI''s'!$F43)/('Predicted PPIs'!V44+'Predicted PPIs'!V43)))*IF(G$73=".", 1, (G44/G43)^(('Summary, PPI''s'!$G44+'Summary, PPI''s'!$G43)/('Predicted PPIs'!V44+'Predicted PPIs'!V43)))*IF(H$73=".", 1, (H44/H43)^(('Summary, PPI''s'!$H44+'Summary, PPI''s'!$H43)/('Predicted PPIs'!V44+'Predicted PPIs'!V43)))*IF(I$73=".", 1, (I44/I43)^(('Summary, PPI''s'!$I44+'Summary, PPI''s'!$I43)/('Predicted PPIs'!V44+'Predicted PPIs'!V43)))*IF(J$73=".", 1, (J44/J43)^(('Summary, PPI''s'!$J44+'Summary, PPI''s'!$J43)/('Predicted PPIs'!V44+'Predicted PPIs'!V43)))*IF(K$73=".", 1, (K44/K43)^(('Summary, PPI''s'!$K44+'Summary, PPI''s'!$K43)/('Predicted PPIs'!V44+'Predicted PPIs'!V43)))*IF(L$73=".", 1, (L44/L43)^(('Summary, PPI''s'!$L44+'Summary, PPI''s'!$L43)/('Predicted PPIs'!V44+'Predicted PPIs'!V43)))*IF(M$73=".", 1, (M44/M43)^(('Summary, PPI''s'!$M44+'Summary, PPI''s'!$M43)/('Predicted PPIs'!V44+'Predicted PPIs'!V43)))*IF(B$73=".", 1, (B44/B43)^(('Summary, PPI''s'!$B44+'Summary, PPI''s'!$B43)/('Predicted PPIs'!V44+'Predicted PPIs'!V43)))*IF(C$73=".", 1, (C44/C43)^(('Summary, PPI''s'!$C44+'Summary, PPI''s'!$C43)/('Predicted PPIs'!V44+'Predicted PPIs'!V43)))*IF(D$73=".", 1, (D44/D43)^(('Summary, PPI''s'!$D44+'Summary, PPI''s'!$D43)/('Predicted PPIs'!V44+'Predicted PPIs'!V43)))*IF(N$73=".", 1, (N44/N43)^(('Summary, PPI''s'!$N44+'Summary, PPI''s'!$N43)/('Predicted PPIs'!V44+'Predicted PPIs'!V43)))*IF(O$73=".", 1, (O44/O43)^(('Summary, PPI''s'!$O44+'Summary, PPI''s'!$O43)/('Predicted PPIs'!V44+'Predicted PPIs'!V43)))*IF(P$73=".", 1, (P44/P43)^(('Summary, PPI''s'!$P44+'Summary, PPI''s'!$P43)/('Predicted PPIs'!V44+'Predicted PPIs'!V43)))</f>
        <v>25.407667499442461</v>
      </c>
      <c r="AE44" s="4">
        <f>AE43*IF(E$94=".", 1, (E44/E43)^(('Summary, PPI''s'!$E44+'Summary, PPI''s'!$E43)/('Predicted PPIs'!W44+'Predicted PPIs'!W43)))*IF(F$94=".", 1, (F44/F43)^(('Summary, PPI''s'!$F44+'Summary, PPI''s'!$F43)/('Predicted PPIs'!W44+'Predicted PPIs'!W43)))*IF(G$94=".", 1, (G44/G43)^(('Summary, PPI''s'!$G44+'Summary, PPI''s'!$G43)/('Predicted PPIs'!W44+'Predicted PPIs'!W43)))*IF(H$94=".", 1, (H44/H43)^(('Summary, PPI''s'!$H44+'Summary, PPI''s'!$H43)/('Predicted PPIs'!W44+'Predicted PPIs'!W43)))*IF(I$94=".", 1, (I44/I43)^(('Summary, PPI''s'!$I44+'Summary, PPI''s'!$I43)/('Predicted PPIs'!W44+'Predicted PPIs'!W43)))*IF(J$94=".", 1, (J44/J43)^(('Summary, PPI''s'!$J44+'Summary, PPI''s'!$J43)/('Predicted PPIs'!W44+'Predicted PPIs'!W43)))*IF(K$94=".", 1, (K44/K43)^(('Summary, PPI''s'!$K44+'Summary, PPI''s'!$K43)/('Predicted PPIs'!W44+'Predicted PPIs'!W43)))*IF(L$94=".", 1, (L44/L43)^(('Summary, PPI''s'!$L44+'Summary, PPI''s'!$L43)/('Predicted PPIs'!W44+'Predicted PPIs'!W43)))*IF(M$94=".", 1, (M44/M43)^(('Summary, PPI''s'!$M44+'Summary, PPI''s'!$M43)/('Predicted PPIs'!W44+'Predicted PPIs'!W43)))*IF(B$94=".", 1, (B44/B43)^(('Summary, PPI''s'!$B44+'Summary, PPI''s'!$B43)/('Predicted PPIs'!W44+'Predicted PPIs'!W43)))*IF(C$94=".", 1, (C44/C43)^(('Summary, PPI''s'!$C44+'Summary, PPI''s'!$C43)/('Predicted PPIs'!W44+'Predicted PPIs'!W43)))*IF(D$94=".", 1, (D44/D43)^(('Summary, PPI''s'!$D44+'Summary, PPI''s'!$D43)/('Predicted PPIs'!W44+'Predicted PPIs'!W43)))*IF(N$94=".", 1, (N44/N43)^(('Summary, PPI''s'!$N44+'Summary, PPI''s'!$N43)/('Predicted PPIs'!W44+'Predicted PPIs'!W43)))*IF(O$94=".", 1, (O44/O43)^(('Summary, PPI''s'!$O44+'Summary, PPI''s'!$O43)/('Predicted PPIs'!W44+'Predicted PPIs'!W43)))*IF(P$94=".", 1, (P44/P43)^(('Summary, PPI''s'!$P44+'Summary, PPI''s'!$P43)/('Predicted PPIs'!W44+'Predicted PPIs'!W43)))</f>
        <v>22.405131231341237</v>
      </c>
      <c r="AF44" s="4">
        <f>AF43*IF(E$123=".", 1, (E44/E43)^(('Summary, PPI''s'!$E44+'Summary, PPI''s'!$E43)/('Predicted PPIs'!X44+'Predicted PPIs'!X43)))*IF(F$123=".", 1, (F44/F43)^(('Summary, PPI''s'!$F44+'Summary, PPI''s'!$F43)/('Predicted PPIs'!X44+'Predicted PPIs'!X43)))*IF(G$123=".", 1, (G44/G43)^(('Summary, PPI''s'!$G44+'Summary, PPI''s'!$G43)/('Predicted PPIs'!X44+'Predicted PPIs'!X43)))*IF(H$123=".", 1, (H44/H43)^(('Summary, PPI''s'!$H44+'Summary, PPI''s'!$H43)/('Predicted PPIs'!X44+'Predicted PPIs'!X43)))*IF(I$123=".", 1, (I44/I43)^(('Summary, PPI''s'!$I44+'Summary, PPI''s'!$I43)/('Predicted PPIs'!X44+'Predicted PPIs'!X43)))*IF(J$123=".", 1, (J44/J43)^(('Summary, PPI''s'!$J44+'Summary, PPI''s'!$J43)/('Predicted PPIs'!X44+'Predicted PPIs'!X43)))*IF(K$123=".", 1, (K44/K43)^(('Summary, PPI''s'!$K44+'Summary, PPI''s'!$K43)/('Predicted PPIs'!X44+'Predicted PPIs'!X43)))*IF(L$123=".", 1, (L44/L43)^(('Summary, PPI''s'!$L44+'Summary, PPI''s'!$L43)/('Predicted PPIs'!X44+'Predicted PPIs'!X43)))*IF(M$123=".", 1, (M44/M43)^(('Summary, PPI''s'!$M44+'Summary, PPI''s'!$M43)/('Predicted PPIs'!X44+'Predicted PPIs'!X43)))*IF(B$123=".", 1, (B44/B43)^(('Summary, PPI''s'!$B44+'Summary, PPI''s'!$B43)/('Predicted PPIs'!X44+'Predicted PPIs'!X43)))*IF(C$123=".", 1, (C44/C43)^(('Summary, PPI''s'!$C44+'Summary, PPI''s'!$C43)/('Predicted PPIs'!X44+'Predicted PPIs'!X43)))*IF(D$123=".", 1, (D44/D43)^(('Summary, PPI''s'!$D44+'Summary, PPI''s'!$D43)/('Predicted PPIs'!X44+'Predicted PPIs'!X43)))*IF(N$123=".", 1, (N44/N43)^(('Summary, PPI''s'!$N44+'Summary, PPI''s'!$N43)/('Predicted PPIs'!X44+'Predicted PPIs'!X43)))*IF(O$123=".", 1, (O44/O43)^(('Summary, PPI''s'!$O44+'Summary, PPI''s'!$O43)/('Predicted PPIs'!X44+'Predicted PPIs'!X43)))*IF(P$123=".", 1, (P44/P43)^(('Summary, PPI''s'!$P44+'Summary, PPI''s'!$P43)/('Predicted PPIs'!X44+'Predicted PPIs'!X43)))</f>
        <v>20.549932115411341</v>
      </c>
      <c r="AH44" s="13">
        <f t="shared" si="91"/>
        <v>29.702327366963431</v>
      </c>
      <c r="AJ44" s="4">
        <v>1585.4</v>
      </c>
      <c r="AK44" s="4">
        <v>-1.3460000000000001</v>
      </c>
      <c r="AL44" s="4">
        <v>-156.87100000000001</v>
      </c>
      <c r="AM44" s="4">
        <v>-4.9240000000000004</v>
      </c>
      <c r="AN44" s="4">
        <v>2156.3000000000002</v>
      </c>
      <c r="AO44" s="4">
        <v>518.4</v>
      </c>
      <c r="AP44" s="4">
        <f>('[3]1979'!$I$14+'[3]1979'!$I$69+'[3]1979'!$I$71-'[3]1979'!$I$73)*0.001</f>
        <v>-23.106000000000002</v>
      </c>
      <c r="AQ44" s="4">
        <f>('[3]1979'!$AY$56+'[3]1979'!$AY$69+'[3]1979'!$AY$71-'[3]1979'!$AY$73)*0.001</f>
        <v>-74.097999999999999</v>
      </c>
      <c r="AR44" s="4">
        <f>AR$38*8135/23762</f>
        <v>-3.830249137278007</v>
      </c>
      <c r="AS44" s="4">
        <v>-10.879</v>
      </c>
      <c r="AT44" s="4">
        <v>37.177999999999997</v>
      </c>
      <c r="AU44" s="4">
        <v>65.674000000000007</v>
      </c>
      <c r="AV44" s="4">
        <v>28.731999999999999</v>
      </c>
      <c r="AW44" s="4">
        <v>27.788</v>
      </c>
      <c r="AX44" s="4">
        <v>39.94</v>
      </c>
      <c r="AY44" s="4">
        <v>54.976999999999997</v>
      </c>
      <c r="AZ44" s="4">
        <v>26.193999999999999</v>
      </c>
      <c r="BA44" s="4">
        <v>38.247999999999998</v>
      </c>
      <c r="BB44" s="4">
        <f>BB$38*176.594/184.05</f>
        <v>98.808204944308599</v>
      </c>
      <c r="BC44" s="4">
        <v>45.359000000000002</v>
      </c>
      <c r="BG44" s="4">
        <f t="shared" si="50"/>
        <v>41.718226201768275</v>
      </c>
      <c r="BI44" s="4">
        <f>BI$13*'[2]Ordinary Experience'!$D$382/'[2]Ordinary Experience'!$D$413</f>
        <v>224299606.20028615</v>
      </c>
      <c r="BJ44" s="4">
        <f>'[2]Ordinary Experience'!$E$382</f>
        <v>23.130343439901367</v>
      </c>
      <c r="BL44" s="4">
        <f t="shared" si="90"/>
        <v>61.048937674467034</v>
      </c>
      <c r="BM44" s="4">
        <f t="shared" si="34"/>
        <v>1.0690850970945132E-2</v>
      </c>
      <c r="BO44" s="4">
        <f>IF(OR('Summary, hourly ad costs'!R44=-9999,'Summary, PPI''s'!R44="."),".",(('Summary, hourly ad costs'!B44/'Summary, hourly ad costs'!R44)*100/('Summary, hourly ad costs'!B$11/'Summary, hourly ad costs'!R$11))/('Summary, PPI''s'!R44))</f>
        <v>1.0276871941568846</v>
      </c>
      <c r="BP44" s="4" t="str">
        <f>IF(OR('Summary, hourly ad costs'!S44=-9999,'Summary, PPI''s'!S44="."),".",(('Summary, hourly ad costs'!C44/'Summary, hourly ad costs'!S44)*100/('Summary, hourly ad costs'!C$11/'Summary, hourly ad costs'!S$11))/('Summary, PPI''s'!S44))</f>
        <v>.</v>
      </c>
      <c r="BQ44" s="4" t="str">
        <f>IF(OR('Summary, hourly ad costs'!T44=-9999,'Summary, PPI''s'!T44="."),".",(('Summary, hourly ad costs'!D44/'Summary, hourly ad costs'!T44)*100/('Summary, hourly ad costs'!D$11/'Summary, hourly ad costs'!T$11))/('Summary, PPI''s'!T44))</f>
        <v>.</v>
      </c>
      <c r="BR44" s="4">
        <f>IF(OR('Summary, hourly ad costs'!U44=-9999,'Summary, PPI''s'!U44="."),".",(('Summary, hourly ad costs'!E44/'Summary, hourly ad costs'!U44)*100/('Summary, hourly ad costs'!E$11/'Summary, hourly ad costs'!U$11))/('Summary, PPI''s'!U44))</f>
        <v>2.1885313379272784</v>
      </c>
      <c r="BS44" s="4">
        <f>IF(OR('Summary, hourly ad costs'!V44=-9999,'Summary, PPI''s'!V44="."),".",(('Summary, hourly ad costs'!F44/'Summary, hourly ad costs'!V44)*100/('Summary, hourly ad costs'!F$11/'Summary, hourly ad costs'!V$11))/('Summary, PPI''s'!V44))</f>
        <v>2.4079273690322398</v>
      </c>
      <c r="BT44" s="4" t="str">
        <f>IF(OR('Summary, hourly ad costs'!W44=-9999,'Summary, PPI''s'!W44="."),".",(('Summary, hourly ad costs'!G44/'Summary, hourly ad costs'!W44)*100/('Summary, hourly ad costs'!G$11/'Summary, hourly ad costs'!W$11))/('Summary, PPI''s'!W44))</f>
        <v>.</v>
      </c>
      <c r="BU44" s="4">
        <f>IF(OR('Summary, hourly ad costs'!X44=-9999,'Summary, PPI''s'!X44="."),".",(('Summary, hourly ad costs'!H44/'Summary, hourly ad costs'!X44)*100/('Summary, hourly ad costs'!H$11/'Summary, hourly ad costs'!X$11))/('Summary, PPI''s'!X44))</f>
        <v>1.1131467516835321</v>
      </c>
      <c r="BV44" s="4">
        <f>IF(OR('Summary, hourly ad costs'!Y44=-9999,'Summary, PPI''s'!Y44="."),".",(('Summary, hourly ad costs'!I44/'Summary, hourly ad costs'!Y44)*100/('Summary, hourly ad costs'!I$11/'Summary, hourly ad costs'!Y$11))/('Summary, PPI''s'!Y44))</f>
        <v>0.71671482205586134</v>
      </c>
      <c r="BW44" s="4">
        <f>IF(OR('Summary, hourly ad costs'!Z44=-9999,'Summary, PPI''s'!Z44="."),".",(('Summary, hourly ad costs'!J44/'Summary, hourly ad costs'!Z44)*100/('Summary, hourly ad costs'!J$11/'Summary, hourly ad costs'!Z$11))/('Summary, PPI''s'!Z44))</f>
        <v>0.6332438083018983</v>
      </c>
      <c r="BX44" s="4" t="str">
        <f>IF(OR('Summary, hourly ad costs'!AA44=-9999,'Summary, PPI''s'!AA44="."),".",(('Summary, hourly ad costs'!K44/'Summary, hourly ad costs'!AA44)*100/('Summary, hourly ad costs'!K$11/'Summary, hourly ad costs'!AA$11))/('Summary, PPI''s'!AA44))</f>
        <v>.</v>
      </c>
      <c r="BY44" s="4" t="str">
        <f>IF(OR('Summary, hourly ad costs'!AB44=-9999,'Summary, PPI''s'!AB44="."),".",(('Summary, hourly ad costs'!L44/'Summary, hourly ad costs'!AB44)*100/('Summary, hourly ad costs'!L$11/'Summary, hourly ad costs'!AB$11))/('Summary, PPI''s'!AB44))</f>
        <v>.</v>
      </c>
      <c r="BZ44" s="4" t="str">
        <f>IF(OR('Summary, hourly ad costs'!AC44=-9999,'Summary, PPI''s'!AC44="."),".",(('Summary, hourly ad costs'!M44/'Summary, hourly ad costs'!AC44)*100/('Summary, hourly ad costs'!M$11/'Summary, hourly ad costs'!AC$11))/('Summary, PPI''s'!AC44))</f>
        <v>.</v>
      </c>
      <c r="CA44" s="4" t="str">
        <f>IF(OR('Summary, hourly ad costs'!AD44=-9999,'Summary, PPI''s'!AD44="."),".",(('Summary, hourly ad costs'!N44/'Summary, hourly ad costs'!AD44)*100/('Summary, hourly ad costs'!N$11/'Summary, hourly ad costs'!AD$11))/('Summary, PPI''s'!AD44))</f>
        <v>.</v>
      </c>
      <c r="CB44" s="4" t="str">
        <f>IF(OR('Summary, hourly ad costs'!AE44=-9999,'Summary, PPI''s'!AE44="."),".",(('Summary, hourly ad costs'!O44/'Summary, hourly ad costs'!AE44)*100/('Summary, hourly ad costs'!O$11/'Summary, hourly ad costs'!AE$11))/('Summary, PPI''s'!AE44))</f>
        <v>.</v>
      </c>
      <c r="CC44" s="4" t="str">
        <f>IF(OR('Summary, hourly ad costs'!AF44=-9999,'Summary, PPI''s'!AF44="."),".",(('Summary, hourly ad costs'!P44/'Summary, hourly ad costs'!AF44)*100/('Summary, hourly ad costs'!P$11/'Summary, hourly ad costs'!AF$11))/('Summary, PPI''s'!AF44))</f>
        <v>.</v>
      </c>
      <c r="CE44" s="4">
        <f t="shared" si="80"/>
        <v>-3.9578459309918546E-2</v>
      </c>
      <c r="CF44" s="4" t="str">
        <f t="shared" si="81"/>
        <v>.</v>
      </c>
      <c r="CG44" s="4" t="str">
        <f t="shared" si="82"/>
        <v>.</v>
      </c>
      <c r="CH44" s="4">
        <f t="shared" si="83"/>
        <v>3.5737772494539355E-2</v>
      </c>
      <c r="CI44" s="4">
        <f t="shared" si="84"/>
        <v>1.6314273084957476E-2</v>
      </c>
      <c r="CJ44" s="4" t="str">
        <f t="shared" si="85"/>
        <v>.</v>
      </c>
      <c r="CK44" s="4">
        <f t="shared" si="86"/>
        <v>3.7021035503848054E-6</v>
      </c>
      <c r="CL44" s="4">
        <f t="shared" si="87"/>
        <v>-3.2161448557531891E-2</v>
      </c>
      <c r="CM44" s="4">
        <f t="shared" si="88"/>
        <v>4.1941040246100902E-2</v>
      </c>
      <c r="CN44" s="4">
        <f t="shared" si="89"/>
        <v>-1.9405249265721045E-2</v>
      </c>
      <c r="CO44" s="4">
        <f t="shared" si="79"/>
        <v>6.4388814607723416E-2</v>
      </c>
      <c r="CP44" s="4">
        <f t="shared" si="79"/>
        <v>0.16258131571417506</v>
      </c>
      <c r="CQ44" s="4" t="str">
        <f t="shared" si="62"/>
        <v>.</v>
      </c>
      <c r="CR44" s="4" t="str">
        <f t="shared" si="63"/>
        <v>.</v>
      </c>
      <c r="CS44" s="4" t="str">
        <f t="shared" si="64"/>
        <v>.</v>
      </c>
      <c r="CU44" s="5">
        <f>IF(CU43=".", ".", IF('Summary, PPI''s'!R44=".",IF(OR('Summary, hourly ad costs'!R44=-9999,'Summary, hourly ad costs'!R44=0), ".", 'Predicted PPIs'!CU43*('Summary, hourly ad costs'!B44/'Summary, hourly ad costs'!R44)/('Summary, hourly ad costs'!B43/'Summary, hourly ad costs'!R43)/(1-CE43)), 'Summary, PPI''s'!R44))</f>
        <v>47.202214804979164</v>
      </c>
      <c r="CV44" s="5">
        <f>IF(CV43=".", ".", IF('Summary, PPI''s'!S44=".",IF(OR('Summary, hourly ad costs'!S44=-9999,'Summary, hourly ad costs'!S44=0), ".", 'Predicted PPIs'!CV43*('Summary, hourly ad costs'!C44/'Summary, hourly ad costs'!S44)/('Summary, hourly ad costs'!C43/'Summary, hourly ad costs'!S43)/(1-CF43)), 'Summary, PPI''s'!S44))</f>
        <v>47.202214804979164</v>
      </c>
      <c r="CW44" s="5">
        <f>IF(CW43=".", ".", IF('Summary, PPI''s'!T44=".",IF(OR('Summary, hourly ad costs'!T44=-9999,'Summary, hourly ad costs'!T44=0), ".", 'Predicted PPIs'!CW43*('Summary, hourly ad costs'!D44/'Summary, hourly ad costs'!T44)/('Summary, hourly ad costs'!D43/'Summary, hourly ad costs'!T43)/(1-CG43)), 'Summary, PPI''s'!T44))</f>
        <v>43.158508466060866</v>
      </c>
      <c r="CX44" s="5">
        <f>IF(CX43=".", ".", IF('Summary, PPI''s'!U44=".",IF(OR('Summary, hourly ad costs'!U44=-9999,'Summary, hourly ad costs'!U44=0), ".", 'Predicted PPIs'!CX43*('Summary, hourly ad costs'!E44/'Summary, hourly ad costs'!U44)/('Summary, hourly ad costs'!E43/'Summary, hourly ad costs'!U43)/(1-CH43)), 'Summary, PPI''s'!U44))</f>
        <v>18.720687506352522</v>
      </c>
      <c r="CY44" s="5">
        <f>IF(CY43=".", ".", IF('Summary, PPI''s'!V44=".",IF(OR('Summary, hourly ad costs'!V44=-9999,'Summary, hourly ad costs'!V44=0), ".", 'Predicted PPIs'!CY43*('Summary, hourly ad costs'!F44/'Summary, hourly ad costs'!V44)/('Summary, hourly ad costs'!F43/'Summary, hourly ad costs'!V43)/(1-CI43)), 'Summary, PPI''s'!V44))</f>
        <v>18.98156564446656</v>
      </c>
      <c r="CZ44" s="5">
        <f>IF(CZ43=".", ".", IF('Summary, PPI''s'!W44=".",IF(OR('Summary, hourly ad costs'!W44=-9999,'Summary, hourly ad costs'!W44=0), ".", 'Predicted PPIs'!CZ43*('Summary, hourly ad costs'!G44/'Summary, hourly ad costs'!W44)/('Summary, hourly ad costs'!G43/'Summary, hourly ad costs'!W43)/(1-CJ43)), 'Summary, PPI''s'!W44))</f>
        <v>23.113574439827836</v>
      </c>
      <c r="DA44" s="5">
        <f>IF(DA43=".", ".", IF('Summary, PPI''s'!X44=".",IF(OR('Summary, hourly ad costs'!X44=-9999,'Summary, hourly ad costs'!X44=0), ".", 'Predicted PPIs'!DA43*('Summary, hourly ad costs'!H44/'Summary, hourly ad costs'!X44)/('Summary, hourly ad costs'!H43/'Summary, hourly ad costs'!X43)/(1-CK43)), 'Summary, PPI''s'!X44))</f>
        <v>28.228999999999999</v>
      </c>
      <c r="DB44" s="5">
        <f>IF(DB43=".", ".", IF('Summary, PPI''s'!Y44=".",IF(OR('Summary, hourly ad costs'!Y44=-9999,'Summary, hourly ad costs'!Y44=0), ".", 'Predicted PPIs'!DB43*('Summary, hourly ad costs'!I44/'Summary, hourly ad costs'!Y44)/('Summary, hourly ad costs'!I43/'Summary, hourly ad costs'!Y43)/(1-CL43)), 'Summary, PPI''s'!Y44))</f>
        <v>29.012462918524374</v>
      </c>
      <c r="DC44" s="5">
        <f>IF(DC43=".", ".", IF('Summary, PPI''s'!Z44=".",IF(OR('Summary, hourly ad costs'!Z44=-9999,'Summary, hourly ad costs'!Z44=0), ".", 'Predicted PPIs'!DC43*('Summary, hourly ad costs'!J44/'Summary, hourly ad costs'!Z44)/('Summary, hourly ad costs'!J43/'Summary, hourly ad costs'!Z43)/(1-CM43)), 'Summary, PPI''s'!Z44))</f>
        <v>31.103318616746499</v>
      </c>
      <c r="DD44" s="5">
        <f>IF(DD43=".", ".", IF('Summary, PPI''s'!AA44=".",IF(OR('Summary, hourly ad costs'!AA44=-9999,'Summary, hourly ad costs'!AA44=0), ".", 'Predicted PPIs'!DD43*('Summary, hourly ad costs'!K44/'Summary, hourly ad costs'!AA44)/('Summary, hourly ad costs'!K43/'Summary, hourly ad costs'!AA43)/(1-CN43)), 'Summary, PPI''s'!AA44))</f>
        <v>14.440639348085751</v>
      </c>
      <c r="DE44" s="5" t="str">
        <f>IF(DE43=".", ".", IF('Summary, PPI''s'!AB44=".",IF(OR('Summary, hourly ad costs'!AB44=-9999,'Summary, hourly ad costs'!AB44=0), ".", 'Predicted PPIs'!DE43*('Summary, hourly ad costs'!L44/'Summary, hourly ad costs'!AB44)/('Summary, hourly ad costs'!L43/'Summary, hourly ad costs'!AB43)/(1-CO43)), 'Summary, PPI''s'!AB44))</f>
        <v>.</v>
      </c>
      <c r="DF44" s="5" t="str">
        <f>IF(DF43=".", ".", IF('Summary, PPI''s'!AC44=".",IF(OR('Summary, hourly ad costs'!AC44=-9999,'Summary, hourly ad costs'!AC44=0), ".", 'Predicted PPIs'!DF43*('Summary, hourly ad costs'!M44/'Summary, hourly ad costs'!AC44)/('Summary, hourly ad costs'!M43/'Summary, hourly ad costs'!AC43)/(1-CP43)), 'Summary, PPI''s'!AC44))</f>
        <v>.</v>
      </c>
      <c r="DG44" s="5" t="str">
        <f>IF(DG43=".", ".", IF('Summary, PPI''s'!AD44=".",IF(OR('Summary, hourly ad costs'!AD44=-9999,'Summary, hourly ad costs'!AD44=0), ".", 'Predicted PPIs'!DG43*('Summary, hourly ad costs'!N44/'Summary, hourly ad costs'!AD44)/('Summary, hourly ad costs'!N43/'Summary, hourly ad costs'!AD43)/(1-CQ43)), 'Summary, PPI''s'!AD44))</f>
        <v>.</v>
      </c>
      <c r="DH44" s="5">
        <f>IF(DH43=".", ".", IF('Summary, PPI''s'!AE44=".",IF(OR('Summary, hourly ad costs'!AE44=-9999,'Summary, hourly ad costs'!AE44=0), ".", 'Predicted PPIs'!DH43*('Summary, hourly ad costs'!O44/'Summary, hourly ad costs'!AE44)/('Summary, hourly ad costs'!O43/'Summary, hourly ad costs'!AE43)/(1-CR43)), 'Summary, PPI''s'!AE44))</f>
        <v>27.286558558882543</v>
      </c>
      <c r="DI44" s="5" t="str">
        <f>IF(DI43=".", ".", IF('Summary, PPI''s'!AF44=".",IF(OR('Summary, hourly ad costs'!AF44=-9999,'Summary, hourly ad costs'!AF44=0), ".", 'Predicted PPIs'!DI43*('Summary, hourly ad costs'!P44/'Summary, hourly ad costs'!AF44)/('Summary, hourly ad costs'!P43/'Summary, hourly ad costs'!AF43)/(1-CS43)), 'Summary, PPI''s'!AF44))</f>
        <v>.</v>
      </c>
      <c r="DK44" s="4">
        <v>17.126999999999999</v>
      </c>
      <c r="DM44" s="5">
        <f t="shared" si="65"/>
        <v>-1.8150655666815396E-3</v>
      </c>
      <c r="DN44" s="5">
        <f t="shared" si="66"/>
        <v>-1.8150655666815396E-3</v>
      </c>
      <c r="DO44" s="5">
        <f t="shared" si="67"/>
        <v>2.8462107163156558E-2</v>
      </c>
      <c r="DP44" s="5">
        <f t="shared" si="68"/>
        <v>-1.8150655666815396E-3</v>
      </c>
      <c r="DQ44" s="5">
        <f t="shared" si="69"/>
        <v>-1.8150655666814286E-3</v>
      </c>
      <c r="DR44" s="5">
        <f t="shared" si="70"/>
        <v>-1.8150655666816506E-3</v>
      </c>
      <c r="DS44" s="5">
        <f t="shared" si="71"/>
        <v>-1.3727541379200403E-2</v>
      </c>
      <c r="DT44" s="5">
        <f t="shared" si="72"/>
        <v>4.6853130724173742E-3</v>
      </c>
      <c r="DU44" s="5">
        <f t="shared" si="73"/>
        <v>4.6853130724173742E-3</v>
      </c>
      <c r="DV44" s="5">
        <f t="shared" si="74"/>
        <v>4.6853130724173742E-3</v>
      </c>
      <c r="DW44" s="4">
        <f t="shared" si="78"/>
        <v>-4.9031634507915409E-2</v>
      </c>
      <c r="DX44" s="4">
        <f t="shared" si="78"/>
        <v>-8.491338191170486E-2</v>
      </c>
      <c r="DY44" s="4">
        <f t="shared" si="108"/>
        <v>-1.8801658779027657E-2</v>
      </c>
      <c r="DZ44" s="5">
        <f t="shared" si="92"/>
        <v>-1.394000499672976E-2</v>
      </c>
      <c r="EA44" s="4">
        <f t="shared" si="109"/>
        <v>-1.1133688933870633E-2</v>
      </c>
      <c r="EC44" s="1">
        <f t="shared" si="93"/>
        <v>47.202214804979164</v>
      </c>
      <c r="ED44" s="1">
        <f t="shared" si="94"/>
        <v>47.202214804979164</v>
      </c>
      <c r="EE44" s="1">
        <f t="shared" si="95"/>
        <v>43.158508466060866</v>
      </c>
      <c r="EF44" s="1">
        <f t="shared" si="96"/>
        <v>18.720687506352522</v>
      </c>
      <c r="EG44" s="1">
        <f t="shared" si="97"/>
        <v>18.98156564446656</v>
      </c>
      <c r="EH44" s="1">
        <f t="shared" si="98"/>
        <v>23.113574439827836</v>
      </c>
      <c r="EI44" s="1">
        <f t="shared" si="99"/>
        <v>28.228999999999999</v>
      </c>
      <c r="EJ44" s="1">
        <f t="shared" si="100"/>
        <v>29.012462918524374</v>
      </c>
      <c r="EK44" s="1">
        <f t="shared" si="101"/>
        <v>31.103318616746499</v>
      </c>
      <c r="EL44" s="1">
        <f t="shared" si="102"/>
        <v>14.440639348085751</v>
      </c>
      <c r="EM44" s="1">
        <f t="shared" si="103"/>
        <v>28.37188028416859</v>
      </c>
      <c r="EN44" s="1">
        <f t="shared" si="104"/>
        <v>16.068472983294122</v>
      </c>
      <c r="EO44" s="1">
        <f t="shared" si="105"/>
        <v>23.865793722124437</v>
      </c>
      <c r="EP44" s="1">
        <f t="shared" si="106"/>
        <v>27.286558558882543</v>
      </c>
      <c r="EQ44" s="1">
        <f t="shared" si="107"/>
        <v>21.611223926769593</v>
      </c>
      <c r="ES44" s="1">
        <f>IF(EF$26=".", 0, 'Summary, PPI''s'!E44)+IF(EG$26=".", 0, 'Summary, PPI''s'!F44)+IF(EH$26=".", 0, 'Summary, PPI''s'!G44)+IF(EI$26=".", 0, 'Summary, PPI''s'!H44)+IF(EJ$26=".", 0, 'Summary, PPI''s'!I44)+IF(EK$26=".", 0, 'Summary, PPI''s'!J44)+IF(EL$26=".", 0, 'Summary, PPI''s'!K44)+IF(EM$26=".", 0, 'Summary, PPI''s'!L44)+IF(EN$26=".", 0, 'Summary, PPI''s'!M44)+IF(EC$26=".", 0, 'Summary, PPI''s'!B44)+IF(ED$26=".", 0, 'Summary, PPI''s'!C44)+IF(EE$26=".", 0, 'Summary, PPI''s'!D44)+IF(EO$26=".", 0, 'Summary, PPI''s'!N44)+IF(EP$26=".", 0, 'Summary, PPI''s'!O44)+IF(EQ$26=".", 0, 'Summary, PPI''s'!P44)</f>
        <v>49437387.462532699</v>
      </c>
      <c r="ET44" s="1">
        <f>'Summary, hourly ad costs'!E44+'Summary, hourly ad costs'!F44+'Summary, hourly ad costs'!H44+'Summary, hourly ad costs'!I44+'Summary, hourly ad costs'!J44+'Summary, hourly ad costs'!K44+'Summary, hourly ad costs'!L44+'Summary, hourly ad costs'!M44+'Summary, hourly ad costs'!B44</f>
        <v>27599802.486811902</v>
      </c>
      <c r="EV44" s="13">
        <f>EV43*IF(EF$26=".", 1, (EF44/EF43)^(('Summary, PPI''s'!$E44+'Summary, PPI''s'!$E43)/('Predicted PPIs'!ES44+'Predicted PPIs'!ES43)))*IF(EG$26=".", 1, (EG44/EG43)^(('Summary, PPI''s'!$F44+'Summary, PPI''s'!$F43)/('Predicted PPIs'!ES44+'Predicted PPIs'!ES43)))*IF(EH$26=".", 1, (EH44/EH43)^(('Summary, PPI''s'!$G44+'Summary, PPI''s'!$G43)/('Predicted PPIs'!ES44+'Predicted PPIs'!ES43)))*IF(EI$26=".", 1, (EI44/EI43)^(('Summary, PPI''s'!$H44+'Summary, PPI''s'!$H43)/('Predicted PPIs'!ES44+'Predicted PPIs'!ES43)))*IF(EJ$26=".", 1, (EJ44/EJ43)^(('Summary, PPI''s'!$I44+'Summary, PPI''s'!$I43)/('Predicted PPIs'!ES44+'Predicted PPIs'!ES43)))*IF(EK$26=".", 1, (EK44/EK43)^(('Summary, PPI''s'!$J44+'Summary, PPI''s'!$J43)/('Predicted PPIs'!ES44+'Predicted PPIs'!ES43)))*IF(EL$26=".", 1, (EL44/EL43)^(('Summary, PPI''s'!$K44+'Summary, PPI''s'!$K43)/('Predicted PPIs'!ES44+'Predicted PPIs'!ES43)))*IF(EM$26=".", 1, (EM44/EM43)^(('Summary, PPI''s'!$L44+'Summary, PPI''s'!$L43)/('Predicted PPIs'!ES44+'Predicted PPIs'!ES43)))*IF(EN$26=".", 1, (EN44/EN43)^(('Summary, PPI''s'!$M44+'Summary, PPI''s'!$M43)/('Predicted PPIs'!ES44+'Predicted PPIs'!ES43)))*IF(EC$26=".", 1, (EC44/EC43)^(('Summary, PPI''s'!$B44+'Summary, PPI''s'!$B43)/('Predicted PPIs'!ES44+'Predicted PPIs'!ES43)))*IF(ED$26=".", 1, (ED44/ED43)^(('Summary, PPI''s'!$C44+'Summary, PPI''s'!$C43)/('Predicted PPIs'!ES44+'Predicted PPIs'!ES43)))*IF(EE$26=".", 1, (EE44/EE43)^(('Summary, PPI''s'!$D44+'Summary, PPI''s'!$D43)/('Predicted PPIs'!ES44+'Predicted PPIs'!ES43)))*IF(EO$26=".", 1, (EO44/EO43)^(('Summary, PPI''s'!$N44+'Summary, PPI''s'!$N43)/('Predicted PPIs'!ES44+'Predicted PPIs'!ES43)))*IF(EP$26=".", 1, (EP44/EP43)^(('Summary, PPI''s'!$O44+'Summary, PPI''s'!$O43)/('Predicted PPIs'!ES44+'Predicted PPIs'!ES43)))*IF(EQ$26=".", 1, (EQ44/EQ43)^(('Summary, PPI''s'!$P44+'Summary, PPI''s'!$P43)/('Predicted PPIs'!ES44+'Predicted PPIs'!ES43)))</f>
        <v>28.948841634515848</v>
      </c>
      <c r="EW44" s="13">
        <f>EW43*IF(EF$26=".", 1, (EF44/EF43)^(('Summary, PPI''s'!$E44+'Summary, PPI''s'!$E43)/('Predicted PPIs'!ET44+'Predicted PPIs'!ET43)))*IF(EG$26=".", 1, (EG44/EG43)^(('Summary, PPI''s'!$F44+'Summary, PPI''s'!$F43)/('Predicted PPIs'!ET44+'Predicted PPIs'!ET43)))*IF(EH$26=".", 1, (EH44/EH43)^(('Summary, PPI''s'!$G44+'Summary, PPI''s'!$G43)/('Predicted PPIs'!ET44+'Predicted PPIs'!ET43)))*IF(EK$26=".", 1, (EK44/EK43)^(('Summary, PPI''s'!$J44+'Summary, PPI''s'!$J43)/('Predicted PPIs'!ET44+'Predicted PPIs'!ET43)))*IF(EL$26=".", 1, (EL44/EL43)^(('Summary, PPI''s'!$K44+'Summary, PPI''s'!$K43)/('Predicted PPIs'!ET44+'Predicted PPIs'!ET43)))*IF(EM$26=".", 1, (EM44/EM43)^(('Summary, PPI''s'!$L44+'Summary, PPI''s'!$L43)/('Predicted PPIs'!ET44+'Predicted PPIs'!ET43)))*IF(EN$26=".", 1, (EN44/EN43)^(('Summary, PPI''s'!$M44+'Summary, PPI''s'!$M43)/('Predicted PPIs'!ET44+'Predicted PPIs'!ET43)))*IF(EC$26=".", 1, (EC44/EC43)^(('Summary, PPI''s'!$B44+'Summary, PPI''s'!$B43)/('Predicted PPIs'!ET44+'Predicted PPIs'!ET43)))</f>
        <v>30.466124851900542</v>
      </c>
      <c r="EY44" s="2"/>
    </row>
    <row r="45" spans="1:155" x14ac:dyDescent="0.3">
      <c r="A45" s="4">
        <v>1978</v>
      </c>
      <c r="B45" s="10">
        <f>IF(B44=".", ".", IF('Summary, PPI''s'!R45=".",IF(OR('Summary, hourly ad costs'!R45=-9999,'Summary, hourly ad costs'!R45=0), ".", 'Predicted PPIs'!B44*('Summary, hourly ad costs'!B45/'Summary, hourly ad costs'!R45)/('Summary, hourly ad costs'!B44/'Summary, hourly ad costs'!R44)), 'Summary, PPI''s'!R45))</f>
        <v>43.450223349917621</v>
      </c>
      <c r="C45" s="10">
        <f>IF(C44=".", ".", IF('Summary, PPI''s'!S45=".",IF(OR('Summary, hourly ad costs'!S45=-9999,'Summary, hourly ad costs'!S45=0), ".", 'Predicted PPIs'!C44*('Summary, hourly ad costs'!C45/'Summary, hourly ad costs'!S45)/('Summary, hourly ad costs'!C44/'Summary, hourly ad costs'!S44)), 'Summary, PPI''s'!S45))</f>
        <v>43.450223349917621</v>
      </c>
      <c r="D45" s="10">
        <f>IF(D44=".", ".", IF('Summary, PPI''s'!T45=".",IF(OR('Summary, hourly ad costs'!T45=-9999,'Summary, hourly ad costs'!T45=0), ".", 'Predicted PPIs'!D44*('Summary, hourly ad costs'!D45/'Summary, hourly ad costs'!T45)/('Summary, hourly ad costs'!D44/'Summary, hourly ad costs'!T44)), 'Summary, PPI''s'!T45))</f>
        <v>38.55838001878012</v>
      </c>
      <c r="E45" s="10">
        <f>IF(E44=".", ".", IF('Summary, PPI''s'!U45=".",IF(OR('Summary, hourly ad costs'!U45=-9999,'Summary, hourly ad costs'!U45=0), ".", 'Predicted PPIs'!E44*('Summary, hourly ad costs'!E45/'Summary, hourly ad costs'!U45)/('Summary, hourly ad costs'!E44/'Summary, hourly ad costs'!U44)), 'Summary, PPI''s'!U45))</f>
        <v>17.232624714237463</v>
      </c>
      <c r="F45" s="10">
        <f>IF(F44=".", ".", IF('Summary, PPI''s'!V45=".",IF(OR('Summary, hourly ad costs'!V45=-9999,'Summary, hourly ad costs'!V45=0), ".", 'Predicted PPIs'!F44*('Summary, hourly ad costs'!F45/'Summary, hourly ad costs'!V45)/('Summary, hourly ad costs'!F44/'Summary, hourly ad costs'!V44)), 'Summary, PPI''s'!V45))</f>
        <v>17.472766271471549</v>
      </c>
      <c r="G45" s="10">
        <f>IF(G44=".", ".", IF('Summary, PPI''s'!W45=".",IF(OR('Summary, hourly ad costs'!W45=-9999,'Summary, hourly ad costs'!W45=0), ".", 'Predicted PPIs'!G44*('Summary, hourly ad costs'!G45/'Summary, hourly ad costs'!W45)/('Summary, hourly ad costs'!G44/'Summary, hourly ad costs'!W44)), 'Summary, PPI''s'!W45))</f>
        <v>21.276331544500497</v>
      </c>
      <c r="H45" s="10">
        <f>IF(H44=".", ".", IF('Summary, PPI''s'!X45=".",IF(OR('Summary, hourly ad costs'!X45=-9999,'Summary, hourly ad costs'!X45=0), ".", 'Predicted PPIs'!H44*('Summary, hourly ad costs'!H45/'Summary, hourly ad costs'!X45)/('Summary, hourly ad costs'!H44/'Summary, hourly ad costs'!X44)), 'Summary, PPI''s'!X45))</f>
        <v>26.298999999999999</v>
      </c>
      <c r="I45" s="10">
        <f>IF(I44=".", ".", IF('Summary, PPI''s'!Y45=".",IF(OR('Summary, hourly ad costs'!Y45=-9999,'Summary, hourly ad costs'!Y45=0), ".", 'Predicted PPIs'!I44*('Summary, hourly ad costs'!I45/'Summary, hourly ad costs'!Y45)/('Summary, hourly ad costs'!I44/'Summary, hourly ad costs'!Y44)), 'Summary, PPI''s'!Y45))</f>
        <v>26.53353976633537</v>
      </c>
      <c r="J45" s="10">
        <f>IF(J44=".", ".", IF('Summary, PPI''s'!Z45=".",IF(OR('Summary, hourly ad costs'!Z45=-9999,'Summary, hourly ad costs'!Z45=0), ".", 'Predicted PPIs'!J44*('Summary, hourly ad costs'!J45/'Summary, hourly ad costs'!Z45)/('Summary, hourly ad costs'!J44/'Summary, hourly ad costs'!Z44)), 'Summary, PPI''s'!Z45))</f>
        <v>28.445745667993695</v>
      </c>
      <c r="K45" s="10">
        <f>K44*J45/J44</f>
        <v>16.420065397090568</v>
      </c>
      <c r="L45" s="10" t="str">
        <f>IF(L44=".", ".", IF('Summary, PPI''s'!AB45=".",IF(OR('Summary, hourly ad costs'!AB45=-9999,'Summary, hourly ad costs'!AB45=0), ".", 'Predicted PPIs'!L44*('Summary, hourly ad costs'!L45/'Summary, hourly ad costs'!AB45)/('Summary, hourly ad costs'!L44/'Summary, hourly ad costs'!AB44)), 'Summary, PPI''s'!AB45))</f>
        <v>.</v>
      </c>
      <c r="M45" s="10" t="str">
        <f>IF(M44=".", ".", IF('Summary, PPI''s'!AC45=".",IF(OR('Summary, hourly ad costs'!AC45=-9999,'Summary, hourly ad costs'!AC45=0), ".", 'Predicted PPIs'!M44*('Summary, hourly ad costs'!M45/'Summary, hourly ad costs'!AC45)/('Summary, hourly ad costs'!M44/'Summary, hourly ad costs'!AC44)), 'Summary, PPI''s'!AC45))</f>
        <v>.</v>
      </c>
      <c r="N45" s="10" t="str">
        <f>IF(N44=".", ".", IF('Summary, PPI''s'!AD45=".",IF(OR('Summary, hourly ad costs'!AD45=-9999,'Summary, hourly ad costs'!AD45=0), ".", 'Predicted PPIs'!N44*('Summary, hourly ad costs'!N45/'Summary, hourly ad costs'!AD45)/('Summary, hourly ad costs'!N44/'Summary, hourly ad costs'!AD44)), 'Summary, PPI''s'!AD45))</f>
        <v>.</v>
      </c>
      <c r="O45" s="10">
        <f>IF(O44=".", ".", IF('Summary, PPI''s'!AE45=".",IF(OR('Summary, hourly ad costs'!AE45=-9999,'Summary, hourly ad costs'!AE45=0), ".", 'Predicted PPIs'!O44*('Summary, hourly ad costs'!O45/'Summary, hourly ad costs'!AE45)/('Summary, hourly ad costs'!O44/'Summary, hourly ad costs'!AE44)), 'Summary, PPI''s'!AE45))</f>
        <v>25.426470112602839</v>
      </c>
      <c r="P45" s="10" t="str">
        <f>IF(P44=".", ".", IF('Summary, PPI''s'!AF45=".",IF(OR('Summary, hourly ad costs'!AF45=-9999,'Summary, hourly ad costs'!AF45=0), ".", 'Predicted PPIs'!P44*('Summary, hourly ad costs'!P45/'Summary, hourly ad costs'!AF45)/('Summary, hourly ad costs'!P44/'Summary, hourly ad costs'!AF44)), 'Summary, PPI''s'!AF45))</f>
        <v>.</v>
      </c>
      <c r="R45" s="1">
        <f>IF(E$26=".", 0, 'Summary, PPI''s'!E45)+IF(F$26=".", 0, 'Summary, PPI''s'!F45)+IF(G$26=".", 0, 'Summary, PPI''s'!G45)+IF(H$26=".", 0, 'Summary, PPI''s'!H45)+IF(I$26=".", 0, 'Summary, PPI''s'!I45)+IF(J$26=".", 0, 'Summary, PPI''s'!J45)+IF(K$26=".", 0, 'Summary, PPI''s'!K45)+IF(L$26=".", 0, 'Summary, PPI''s'!L45)+IF(M$26=".", 0, 'Summary, PPI''s'!M45)+IF(B$26=".", 0, 'Summary, PPI''s'!B45)+IF(C$26=".", 0, 'Summary, PPI''s'!C45)+IF(D$26=".", 0, 'Summary, PPI''s'!D45)+IF(N$26=".", 0, 'Summary, PPI''s'!N45)+IF(O$26=".", 0, 'Summary, PPI''s'!O45)+IF(P$26=".", 0, 'Summary, PPI''s'!P45)</f>
        <v>43649400.249102257</v>
      </c>
      <c r="S45" s="1">
        <f>IF(E$36=".", 0, 'Summary, PPI''s'!E45)+IF(F$36=".", 0, 'Summary, PPI''s'!F45)+IF(G$36=".", 0, 'Summary, PPI''s'!G45)+IF(H$36=".", 0, 'Summary, PPI''s'!H45)+IF(I$36=".", 0, 'Summary, PPI''s'!I45)+IF(J$36=".", 0, 'Summary, PPI''s'!J45)+IF(K$36=".", 0, 'Summary, PPI''s'!K45)+IF(L$36=".", 0, 'Summary, PPI''s'!L45)+IF(M$36=".", 0, 'Summary, PPI''s'!M45)+IF(B$36=".", 0, 'Summary, PPI''s'!B45)+IF(C$36=".", 0, 'Summary, PPI''s'!C45)+IF(D$36=".", 0, 'Summary, PPI''s'!D45)+IF(N$36=".", 0, 'Summary, PPI''s'!N45)+IF(O$36=".", 0, 'Summary, PPI''s'!O45)+IF(P$36=".", 0, 'Summary, PPI''s'!P45)</f>
        <v>43649400.249102257</v>
      </c>
      <c r="T45" s="1">
        <f>IF(E$46=".", 0, 'Summary, PPI''s'!E45)+IF(F$46=".", 0, 'Summary, PPI''s'!F45)+IF(G$46=".", 0, 'Summary, PPI''s'!G45)+IF(H$46=".", 0, 'Summary, PPI''s'!H45)+IF(I$46=".", 0, 'Summary, PPI''s'!I45)+IF(J$46=".", 0, 'Summary, PPI''s'!J45)+IF(K$46=".", 0, 'Summary, PPI''s'!K45)+IF(L$46=".", 0, 'Summary, PPI''s'!L45)+IF(M$46=".", 0, 'Summary, PPI''s'!M45)+IF(B$46=".", 0, 'Summary, PPI''s'!B45)+IF(C$46=".", 0, 'Summary, PPI''s'!C45)+IF(D$46=".", 0, 'Summary, PPI''s'!D45)+IF(N$46=".", 0, 'Summary, PPI''s'!N45)+IF(O$46=".", 0, 'Summary, PPI''s'!O45)+IF(P$46=".", 0, 'Summary, PPI''s'!P45)</f>
        <v>32017749.576582551</v>
      </c>
      <c r="U45" s="1">
        <f>IF(E$60=".", 0, 'Summary, PPI''s'!E45)+IF(F$60=".", 0, 'Summary, PPI''s'!F45)+IF(G$60=".", 0, 'Summary, PPI''s'!G45)+IF(H$60=".", 0, 'Summary, PPI''s'!H45)+IF(I$60=".", 0, 'Summary, PPI''s'!I45)+IF(J$60=".", 0, 'Summary, PPI''s'!J45)+IF(K$60=".", 0, 'Summary, PPI''s'!K45)+IF(L$60=".", 0, 'Summary, PPI''s'!L45)+IF(M$60=".", 0, 'Summary, PPI''s'!M45)+IF(B$60=".", 0, 'Summary, PPI''s'!B45)+IF(C$60=".", 0, 'Summary, PPI''s'!C45)+IF(D$60=".", 0, 'Summary, PPI''s'!D45)+IF(N$60=".", 0, 'Summary, PPI''s'!N45)+IF(O$60=".", 0, 'Summary, PPI''s'!O45)+IF(P$60=".", 0, 'Summary, PPI''s'!P45)</f>
        <v>28999063.930507436</v>
      </c>
      <c r="V45" s="1">
        <f>IF(E$73=".", 0, 'Summary, PPI''s'!E45)+IF(F$73=".", 0, 'Summary, PPI''s'!F45)+IF(G$73=".", 0, 'Summary, PPI''s'!G45)+IF(H$73=".", 0, 'Summary, PPI''s'!H45)+IF(I$73=".", 0, 'Summary, PPI''s'!I45)+IF(J$73=".", 0, 'Summary, PPI''s'!J45)+IF(K$73=".", 0, 'Summary, PPI''s'!K45)+IF(L$73=".", 0, 'Summary, PPI''s'!L45)+IF(M$73=".", 0, 'Summary, PPI''s'!M45)+IF(B$73=".", 0, 'Summary, PPI''s'!B45)+IF(C$73=".", 0, 'Summary, PPI''s'!C45)+IF(D$73=".", 0, 'Summary, PPI''s'!D45)+IF(N$73=".", 0, 'Summary, PPI''s'!N45)+IF(O$73=".", 0, 'Summary, PPI''s'!O45)+IF(P$73=".", 0, 'Summary, PPI''s'!P45)</f>
        <v>24517535.260713987</v>
      </c>
      <c r="W45" s="1">
        <f>IF(E$94=".",0,'Summary, PPI''s'!E45)+IF(F$94=".",0,'Summary, PPI''s'!F45)+IF(G$94=".",0,'Summary, PPI''s'!G45)+IF(H$94=".",0,'Summary, PPI''s'!H45)+IF(I$94=".",0,'Summary, PPI''s'!I45)+IF(J$94=".",0,'Summary, PPI''s'!J45)+IF(K$94=".",0,'Summary, PPI''s'!K45)+IF(L$94=".",0,'Summary, PPI''s'!L45)+IF(M$94=".",0,'Summary, PPI''s'!M45)+IF(B$94=".",0,'Summary, PPI''s'!B45)+IF(C$94=".",0,'Summary, PPI''s'!C45)+IF(D$94=".",0,'Summary, PPI''s'!D45)+IF(N$94=".",0,'Summary, PPI''s'!N45)+IF(O$94=".",0,'Summary, PPI''s'!O45)+IF(P$94=".",0,'Summary, PPI''s'!P45)</f>
        <v>18013949.56374279</v>
      </c>
      <c r="X45" s="1">
        <f>IF(E$123=".", 0, 'Summary, PPI''s'!E45)+IF(F$123=".", 0, 'Summary, PPI''s'!F45)+IF(G$123=".", 0, 'Summary, PPI''s'!G45)+IF(H$123=".", 0, 'Summary, PPI''s'!H45)+IF(I$123=".", 0, 'Summary, PPI''s'!I45)+IF(J$123=".", 0, 'Summary, PPI''s'!J45)+IF(K$123=".", 0, 'Summary, PPI''s'!K45)+IF(L$123=".", 0, 'Summary, PPI''s'!L45)+IF(M$123=".", 0, 'Summary, PPI''s'!M45)+IF(B$123=".", 0, 'Summary, PPI''s'!B45)+IF(C$123=".", 0, 'Summary, PPI''s'!C45)+IF(D$123=".", 0, 'Summary, PPI''s'!D45)+IF(N$123=".", 0, 'Summary, PPI''s'!N45)+IF(O$123=".", 0, 'Summary, PPI''s'!O45)+IF(P$123=".", 0, 'Summary, PPI''s'!P45)</f>
        <v>15551185.462843889</v>
      </c>
      <c r="Z45" s="4" t="e">
        <f>Z44*IF(E$26=".", 1, (E45/E44)^(('Summary, PPI''s'!$E45+'Summary, PPI''s'!$E44)/('Predicted PPIs'!R45+'Predicted PPIs'!R44)))*IF(F$26=".", 1, (F45/F44)^(('Summary, PPI''s'!$F45+'Summary, PPI''s'!$F44)/('Predicted PPIs'!R45+'Predicted PPIs'!R44)))*IF(G$26=".", 1, (G45/G44)^(('Summary, PPI''s'!$G45+'Summary, PPI''s'!$G44)/('Predicted PPIs'!R45+'Predicted PPIs'!R44)))*IF(H$26=".", 1, (H45/H44)^(('Summary, PPI''s'!$H45+'Summary, PPI''s'!$H44)/('Predicted PPIs'!R45+'Predicted PPIs'!R44)))*IF(I$26=".", 1, (I45/I44)^(('Summary, PPI''s'!$I45+'Summary, PPI''s'!$I44)/('Predicted PPIs'!R45+'Predicted PPIs'!R44)))*IF(J$26=".", 1, (J45/J44)^(('Summary, PPI''s'!$J45+'Summary, PPI''s'!$J44)/('Predicted PPIs'!R45+'Predicted PPIs'!R44)))*IF(K$26=".", 1, (K45/K44)^(('Summary, PPI''s'!$K45+'Summary, PPI''s'!$K44)/('Predicted PPIs'!R45+'Predicted PPIs'!R44)))*IF(L$26=".", 1, (L45/L44)^(('Summary, PPI''s'!$L45+'Summary, PPI''s'!$L44)/('Predicted PPIs'!R45+'Predicted PPIs'!R44)))*IF(M$26=".", 1, (M45/M44)^(('Summary, PPI''s'!$M45+'Summary, PPI''s'!$M44)/('Predicted PPIs'!R45+'Predicted PPIs'!R44)))*IF(B$26=".", 1, (B45/B44)^(('Summary, PPI''s'!$B45+'Summary, PPI''s'!$B44)/('Predicted PPIs'!R45+'Predicted PPIs'!R44)))*IF(C$26=".", 1, (C45/C44)^(('Summary, PPI''s'!$C45+'Summary, PPI''s'!$C44)/('Predicted PPIs'!R45+'Predicted PPIs'!R44)))*IF(D$26=".", 1, (D45/D44)^(('Summary, PPI''s'!$D45+'Summary, PPI''s'!$D44)/('Predicted PPIs'!R45+'Predicted PPIs'!R44)))*IF(N$26=".", 1, (N45/N44)^(('Summary, PPI''s'!$N45+'Summary, PPI''s'!$N44)/('Predicted PPIs'!R45+'Predicted PPIs'!R44)))*IF(O$26=".", 1, (O45/O44)^(('Summary, PPI''s'!$O45+'Summary, PPI''s'!$O44)/('Predicted PPIs'!R45+'Predicted PPIs'!R44)))*IF(P$26=".", 1, (P45/P44)^(('Summary, PPI''s'!$P45+'Summary, PPI''s'!$P44)/('Predicted PPIs'!R45+'Predicted PPIs'!R44)))</f>
        <v>#VALUE!</v>
      </c>
      <c r="AA45" s="4" t="e">
        <f>AA44*IF(E$36=".", 1, (E45/E44)^(('Summary, PPI''s'!$E45+'Summary, PPI''s'!$E44)/('Predicted PPIs'!S45+'Predicted PPIs'!S44)))*IF(F$36=".", 1, (F45/F44)^(('Summary, PPI''s'!$F45+'Summary, PPI''s'!$F44)/('Predicted PPIs'!S45+'Predicted PPIs'!S44)))*IF(G$36=".", 1, (G45/G44)^(('Summary, PPI''s'!$G45+'Summary, PPI''s'!$G44)/('Predicted PPIs'!S45+'Predicted PPIs'!S44)))*IF(H$36=".", 1, (H45/H44)^(('Summary, PPI''s'!$H45+'Summary, PPI''s'!$H44)/('Predicted PPIs'!S45+'Predicted PPIs'!S44)))*IF(I$36=".", 1, (I45/I44)^(('Summary, PPI''s'!$I45+'Summary, PPI''s'!$I44)/('Predicted PPIs'!S45+'Predicted PPIs'!S44)))*IF(J$36=".", 1, (J45/J44)^(('Summary, PPI''s'!$J45+'Summary, PPI''s'!$J44)/('Predicted PPIs'!S45+'Predicted PPIs'!S44)))*IF(K$36=".", 1, (K45/K44)^(('Summary, PPI''s'!$K45+'Summary, PPI''s'!$K44)/('Predicted PPIs'!S45+'Predicted PPIs'!S44)))*IF(L$36=".", 1, (L45/L44)^(('Summary, PPI''s'!$L45+'Summary, PPI''s'!$L44)/('Predicted PPIs'!S45+'Predicted PPIs'!S44)))*IF(M$36=".", 1, (M45/M44)^(('Summary, PPI''s'!$M45+'Summary, PPI''s'!$M44)/('Predicted PPIs'!S45+'Predicted PPIs'!S44)))*IF(B$36=".", 1, (B45/B44)^(('Summary, PPI''s'!$B45+'Summary, PPI''s'!$B44)/('Predicted PPIs'!S45+'Predicted PPIs'!S44)))*IF(C$36=".", 1, (C45/C44)^(('Summary, PPI''s'!$C45+'Summary, PPI''s'!$C44)/('Predicted PPIs'!S45+'Predicted PPIs'!S44)))*IF(D$36=".", 1, (D45/D44)^(('Summary, PPI''s'!$D45+'Summary, PPI''s'!$D44)/('Predicted PPIs'!S45+'Predicted PPIs'!S44)))*IF(N$36=".", 1, (N45/N44)^(('Summary, PPI''s'!$N45+'Summary, PPI''s'!$N44)/('Predicted PPIs'!S45+'Predicted PPIs'!S44)))*IF(O$36=".", 1, (O45/O44)^(('Summary, PPI''s'!$O45+'Summary, PPI''s'!$O44)/('Predicted PPIs'!S45+'Predicted PPIs'!S44)))*IF(P$36=".", 1, (P45/P44)^(('Summary, PPI''s'!$P45+'Summary, PPI''s'!$P44)/('Predicted PPIs'!S45+'Predicted PPIs'!S44)))</f>
        <v>#VALUE!</v>
      </c>
      <c r="AB45" s="4">
        <f>AB44*IF(E$46=".", 1, (E45/E44)^(('Summary, PPI''s'!$E45+'Summary, PPI''s'!$E44)/('Predicted PPIs'!T45+'Predicted PPIs'!T44)))*IF(F$46=".", 1, (F45/F44)^(('Summary, PPI''s'!$F45+'Summary, PPI''s'!$F44)/('Predicted PPIs'!T45+'Predicted PPIs'!T44)))*IF(G$46=".", 1, (G45/G44)^(('Summary, PPI''s'!$G45+'Summary, PPI''s'!$G44)/('Predicted PPIs'!T45+'Predicted PPIs'!T44)))*IF(H$46=".", 1, (H45/H44)^(('Summary, PPI''s'!$H45+'Summary, PPI''s'!$H44)/('Predicted PPIs'!T45+'Predicted PPIs'!T44)))*IF(I$46=".", 1, (I45/I44)^(('Summary, PPI''s'!$I45+'Summary, PPI''s'!$I44)/('Predicted PPIs'!T45+'Predicted PPIs'!T44)))*IF(J$46=".", 1, (J45/J44)^(('Summary, PPI''s'!$J45+'Summary, PPI''s'!$J44)/('Predicted PPIs'!T45+'Predicted PPIs'!T44)))*IF(K$46=".", 1, (K45/K44)^(('Summary, PPI''s'!$K45+'Summary, PPI''s'!$K44)/('Predicted PPIs'!T45+'Predicted PPIs'!T44)))*IF(L$46=".", 1, (L45/L44)^(('Summary, PPI''s'!$L45+'Summary, PPI''s'!$L44)/('Predicted PPIs'!T45+'Predicted PPIs'!T44)))*IF(M$46=".", 1, (M45/M44)^(('Summary, PPI''s'!$M45+'Summary, PPI''s'!$M44)/('Predicted PPIs'!T45+'Predicted PPIs'!T44)))*IF(B$46=".", 1, (B45/B44)^(('Summary, PPI''s'!$B45+'Summary, PPI''s'!$B44)/('Predicted PPIs'!T45+'Predicted PPIs'!T44)))*IF(C$46=".", 1, (C45/C44)^(('Summary, PPI''s'!$C45+'Summary, PPI''s'!$C44)/('Predicted PPIs'!T45+'Predicted PPIs'!T44)))*IF(D$46=".", 1, (D45/D44)^(('Summary, PPI''s'!$D45+'Summary, PPI''s'!$D44)/('Predicted PPIs'!T45+'Predicted PPIs'!T44)))*IF(N$46=".", 1, (N45/N44)^(('Summary, PPI''s'!$N45+'Summary, PPI''s'!$N44)/('Predicted PPIs'!T45+'Predicted PPIs'!T44)))*IF(O$46=".", 1, (O45/O44)^(('Summary, PPI''s'!$O45+'Summary, PPI''s'!$O44)/('Predicted PPIs'!T45+'Predicted PPIs'!T44)))*IF(P$46=".", 1, (P45/P44)^(('Summary, PPI''s'!$P45+'Summary, PPI''s'!$P44)/('Predicted PPIs'!T45+'Predicted PPIs'!T44)))</f>
        <v>23.022383332105274</v>
      </c>
      <c r="AC45" s="4">
        <f>AC44*IF(E$60=".",1,(E45/E44)^(('Summary, PPI''s'!$E45+'Summary, PPI''s'!$E44)/('Predicted PPIs'!U45+'Predicted PPIs'!U44)))*IF(F$60=".",1,(F45/F44)^(('Summary, PPI''s'!$F45+'Summary, PPI''s'!$F44)/('Predicted PPIs'!U45+'Predicted PPIs'!U44)))*IF(G$60=".",1,(G45/G44)^(('Summary, PPI''s'!$G45+'Summary, PPI''s'!$G44)/('Predicted PPIs'!U45+'Predicted PPIs'!U44)))*IF(H$60=".",1,(H45/H44)^(('Summary, PPI''s'!$H45+'Summary, PPI''s'!$H44)/('Predicted PPIs'!U45+'Predicted PPIs'!U44)))*IF(I$60=".",1,(I45/I44)^(('Summary, PPI''s'!$I45+'Summary, PPI''s'!$I44)/('Predicted PPIs'!U45+'Predicted PPIs'!U44)))*IF(J$60=".",1,(J45/J44)^(('Summary, PPI''s'!$J45+'Summary, PPI''s'!$J44)/('Predicted PPIs'!U45+'Predicted PPIs'!U44)))*IF(K$60=".",1,(K45/K44)^(('Summary, PPI''s'!$K45+'Summary, PPI''s'!$K44)/('Predicted PPIs'!U45+'Predicted PPIs'!U44)))*IF(L$60=".",1,(L45/L44)^(('Summary, PPI''s'!$L45+'Summary, PPI''s'!$L44)/('Predicted PPIs'!U45+'Predicted PPIs'!U44)))*IF(M$60=".",1,(M45/M44)^(('Summary, PPI''s'!$M45+'Summary, PPI''s'!$M44)/('Predicted PPIs'!U45+'Predicted PPIs'!U44)))*IF(B$60=".",1,(B45/B44)^(('Summary, PPI''s'!$B45+'Summary, PPI''s'!$B44)/('Predicted PPIs'!U45+'Predicted PPIs'!U44)))*IF(C$60=".",1,(C45/C44)^(('Summary, PPI''s'!$C45+'Summary, PPI''s'!$C44)/('Predicted PPIs'!U45+'Predicted PPIs'!U44)))*IF(D$60=".",1,(D45/D44)^(('Summary, PPI''s'!$D45+'Summary, PPI''s'!$D44)/('Predicted PPIs'!U45+'Predicted PPIs'!U44)))*IF(N$60=".",1,(N45/N44)^(('Summary, PPI''s'!$N45+'Summary, PPI''s'!$N44)/('Predicted PPIs'!U45+'Predicted PPIs'!U44)))*IF(O$60=".",1,(O45/O44)^(('Summary, PPI''s'!$O45+'Summary, PPI''s'!$O44)/('Predicted PPIs'!U45+'Predicted PPIs'!U44)))*IF(P$60=".",1,(P45/P44)^(('Summary, PPI''s'!$P45+'Summary, PPI''s'!$P44)/('Predicted PPIs'!U45+'Predicted PPIs'!U44)))</f>
        <v>24.638429684871564</v>
      </c>
      <c r="AD45" s="4">
        <f>AD44*IF(E$73=".", 1, (E45/E44)^(('Summary, PPI''s'!$E45+'Summary, PPI''s'!$E44)/('Predicted PPIs'!V45+'Predicted PPIs'!V44)))*IF(F$73=".", 1, (F45/F44)^(('Summary, PPI''s'!$F45+'Summary, PPI''s'!$F44)/('Predicted PPIs'!V45+'Predicted PPIs'!V44)))*IF(G$73=".", 1, (G45/G44)^(('Summary, PPI''s'!$G45+'Summary, PPI''s'!$G44)/('Predicted PPIs'!V45+'Predicted PPIs'!V44)))*IF(H$73=".", 1, (H45/H44)^(('Summary, PPI''s'!$H45+'Summary, PPI''s'!$H44)/('Predicted PPIs'!V45+'Predicted PPIs'!V44)))*IF(I$73=".", 1, (I45/I44)^(('Summary, PPI''s'!$I45+'Summary, PPI''s'!$I44)/('Predicted PPIs'!V45+'Predicted PPIs'!V44)))*IF(J$73=".", 1, (J45/J44)^(('Summary, PPI''s'!$J45+'Summary, PPI''s'!$J44)/('Predicted PPIs'!V45+'Predicted PPIs'!V44)))*IF(K$73=".", 1, (K45/K44)^(('Summary, PPI''s'!$K45+'Summary, PPI''s'!$K44)/('Predicted PPIs'!V45+'Predicted PPIs'!V44)))*IF(L$73=".", 1, (L45/L44)^(('Summary, PPI''s'!$L45+'Summary, PPI''s'!$L44)/('Predicted PPIs'!V45+'Predicted PPIs'!V44)))*IF(M$73=".", 1, (M45/M44)^(('Summary, PPI''s'!$M45+'Summary, PPI''s'!$M44)/('Predicted PPIs'!V45+'Predicted PPIs'!V44)))*IF(B$73=".", 1, (B45/B44)^(('Summary, PPI''s'!$B45+'Summary, PPI''s'!$B44)/('Predicted PPIs'!V45+'Predicted PPIs'!V44)))*IF(C$73=".", 1, (C45/C44)^(('Summary, PPI''s'!$C45+'Summary, PPI''s'!$C44)/('Predicted PPIs'!V45+'Predicted PPIs'!V44)))*IF(D$73=".", 1, (D45/D44)^(('Summary, PPI''s'!$D45+'Summary, PPI''s'!$D44)/('Predicted PPIs'!V45+'Predicted PPIs'!V44)))*IF(N$73=".", 1, (N45/N44)^(('Summary, PPI''s'!$N45+'Summary, PPI''s'!$N44)/('Predicted PPIs'!V45+'Predicted PPIs'!V44)))*IF(O$73=".", 1, (O45/O44)^(('Summary, PPI''s'!$O45+'Summary, PPI''s'!$O44)/('Predicted PPIs'!V45+'Predicted PPIs'!V44)))*IF(P$73=".", 1, (P45/P44)^(('Summary, PPI''s'!$P45+'Summary, PPI''s'!$P44)/('Predicted PPIs'!V45+'Predicted PPIs'!V44)))</f>
        <v>23.333193911581791</v>
      </c>
      <c r="AE45" s="4">
        <f>AE44*IF(E$94=".", 1, (E45/E44)^(('Summary, PPI''s'!$E45+'Summary, PPI''s'!$E44)/('Predicted PPIs'!W45+'Predicted PPIs'!W44)))*IF(F$94=".", 1, (F45/F44)^(('Summary, PPI''s'!$F45+'Summary, PPI''s'!$F44)/('Predicted PPIs'!W45+'Predicted PPIs'!W44)))*IF(G$94=".", 1, (G45/G44)^(('Summary, PPI''s'!$G45+'Summary, PPI''s'!$G44)/('Predicted PPIs'!W45+'Predicted PPIs'!W44)))*IF(H$94=".", 1, (H45/H44)^(('Summary, PPI''s'!$H45+'Summary, PPI''s'!$H44)/('Predicted PPIs'!W45+'Predicted PPIs'!W44)))*IF(I$94=".", 1, (I45/I44)^(('Summary, PPI''s'!$I45+'Summary, PPI''s'!$I44)/('Predicted PPIs'!W45+'Predicted PPIs'!W44)))*IF(J$94=".", 1, (J45/J44)^(('Summary, PPI''s'!$J45+'Summary, PPI''s'!$J44)/('Predicted PPIs'!W45+'Predicted PPIs'!W44)))*IF(K$94=".", 1, (K45/K44)^(('Summary, PPI''s'!$K45+'Summary, PPI''s'!$K44)/('Predicted PPIs'!W45+'Predicted PPIs'!W44)))*IF(L$94=".", 1, (L45/L44)^(('Summary, PPI''s'!$L45+'Summary, PPI''s'!$L44)/('Predicted PPIs'!W45+'Predicted PPIs'!W44)))*IF(M$94=".", 1, (M45/M44)^(('Summary, PPI''s'!$M45+'Summary, PPI''s'!$M44)/('Predicted PPIs'!W45+'Predicted PPIs'!W44)))*IF(B$94=".", 1, (B45/B44)^(('Summary, PPI''s'!$B45+'Summary, PPI''s'!$B44)/('Predicted PPIs'!W45+'Predicted PPIs'!W44)))*IF(C$94=".", 1, (C45/C44)^(('Summary, PPI''s'!$C45+'Summary, PPI''s'!$C44)/('Predicted PPIs'!W45+'Predicted PPIs'!W44)))*IF(D$94=".", 1, (D45/D44)^(('Summary, PPI''s'!$D45+'Summary, PPI''s'!$D44)/('Predicted PPIs'!W45+'Predicted PPIs'!W44)))*IF(N$94=".", 1, (N45/N44)^(('Summary, PPI''s'!$N45+'Summary, PPI''s'!$N44)/('Predicted PPIs'!W45+'Predicted PPIs'!W44)))*IF(O$94=".", 1, (O45/O44)^(('Summary, PPI''s'!$O45+'Summary, PPI''s'!$O44)/('Predicted PPIs'!W45+'Predicted PPIs'!W44)))*IF(P$94=".", 1, (P45/P44)^(('Summary, PPI''s'!$P45+'Summary, PPI''s'!$P44)/('Predicted PPIs'!W45+'Predicted PPIs'!W44)))</f>
        <v>20.606701185213684</v>
      </c>
      <c r="AF45" s="4">
        <f>AF44*IF(E$123=".", 1, (E45/E44)^(('Summary, PPI''s'!$E45+'Summary, PPI''s'!$E44)/('Predicted PPIs'!X45+'Predicted PPIs'!X44)))*IF(F$123=".", 1, (F45/F44)^(('Summary, PPI''s'!$F45+'Summary, PPI''s'!$F44)/('Predicted PPIs'!X45+'Predicted PPIs'!X44)))*IF(G$123=".", 1, (G45/G44)^(('Summary, PPI''s'!$G45+'Summary, PPI''s'!$G44)/('Predicted PPIs'!X45+'Predicted PPIs'!X44)))*IF(H$123=".", 1, (H45/H44)^(('Summary, PPI''s'!$H45+'Summary, PPI''s'!$H44)/('Predicted PPIs'!X45+'Predicted PPIs'!X44)))*IF(I$123=".", 1, (I45/I44)^(('Summary, PPI''s'!$I45+'Summary, PPI''s'!$I44)/('Predicted PPIs'!X45+'Predicted PPIs'!X44)))*IF(J$123=".", 1, (J45/J44)^(('Summary, PPI''s'!$J45+'Summary, PPI''s'!$J44)/('Predicted PPIs'!X45+'Predicted PPIs'!X44)))*IF(K$123=".", 1, (K45/K44)^(('Summary, PPI''s'!$K45+'Summary, PPI''s'!$K44)/('Predicted PPIs'!X45+'Predicted PPIs'!X44)))*IF(L$123=".", 1, (L45/L44)^(('Summary, PPI''s'!$L45+'Summary, PPI''s'!$L44)/('Predicted PPIs'!X45+'Predicted PPIs'!X44)))*IF(M$123=".", 1, (M45/M44)^(('Summary, PPI''s'!$M45+'Summary, PPI''s'!$M44)/('Predicted PPIs'!X45+'Predicted PPIs'!X44)))*IF(B$123=".", 1, (B45/B44)^(('Summary, PPI''s'!$B45+'Summary, PPI''s'!$B44)/('Predicted PPIs'!X45+'Predicted PPIs'!X44)))*IF(C$123=".", 1, (C45/C44)^(('Summary, PPI''s'!$C45+'Summary, PPI''s'!$C44)/('Predicted PPIs'!X45+'Predicted PPIs'!X44)))*IF(D$123=".", 1, (D45/D44)^(('Summary, PPI''s'!$D45+'Summary, PPI''s'!$D44)/('Predicted PPIs'!X45+'Predicted PPIs'!X44)))*IF(N$123=".", 1, (N45/N44)^(('Summary, PPI''s'!$N45+'Summary, PPI''s'!$N44)/('Predicted PPIs'!X45+'Predicted PPIs'!X44)))*IF(O$123=".", 1, (O45/O44)^(('Summary, PPI''s'!$O45+'Summary, PPI''s'!$O44)/('Predicted PPIs'!X45+'Predicted PPIs'!X44)))*IF(P$123=".", 1, (P45/P44)^(('Summary, PPI''s'!$P45+'Summary, PPI''s'!$P44)/('Predicted PPIs'!X45+'Predicted PPIs'!X44)))</f>
        <v>18.917029495054727</v>
      </c>
      <c r="AH45" s="13">
        <f t="shared" si="91"/>
        <v>27.257633995944072</v>
      </c>
      <c r="AJ45" s="4">
        <v>1422.3</v>
      </c>
      <c r="AK45" s="4">
        <v>-1.2150000000000001</v>
      </c>
      <c r="AL45" s="4">
        <v>-138.12299999999999</v>
      </c>
      <c r="AM45" s="4">
        <v>-4.6840000000000002</v>
      </c>
      <c r="AN45" s="4">
        <v>1890.4</v>
      </c>
      <c r="AO45" s="4">
        <v>448.8</v>
      </c>
      <c r="AP45" s="4">
        <f>('[3]1978'!$I$14+'[3]1978'!$I$69+'[3]1978'!$I$71-'[3]1978'!$I$73)*0.001</f>
        <v>-21.135000000000002</v>
      </c>
      <c r="AQ45" s="4">
        <f>('[3]1978'!$AY$56+'[3]1978'!$AY$69+'[3]1978'!$AY$71-'[3]1978'!$AY$73)*0.001</f>
        <v>-65.400000000000006</v>
      </c>
      <c r="AR45" s="4">
        <f>AR$38*6345/23762</f>
        <v>-2.9874530763403753</v>
      </c>
      <c r="AS45" s="4">
        <v>-9.0719999999999992</v>
      </c>
      <c r="AT45" s="4">
        <v>34.145000000000003</v>
      </c>
      <c r="AU45" s="4">
        <v>54.692</v>
      </c>
      <c r="AV45" s="4">
        <v>26.657</v>
      </c>
      <c r="AW45" s="4">
        <v>26.402999999999999</v>
      </c>
      <c r="AX45" s="4">
        <v>35.997999999999998</v>
      </c>
      <c r="AY45" s="4">
        <v>50.444000000000003</v>
      </c>
      <c r="AZ45" s="4">
        <v>23.468</v>
      </c>
      <c r="BA45" s="4">
        <v>35.264000000000003</v>
      </c>
      <c r="BB45" s="4">
        <f>BB$38*171.528/184.05</f>
        <v>95.973667155664216</v>
      </c>
      <c r="BC45" s="4">
        <v>43.396000000000001</v>
      </c>
      <c r="BG45" s="4">
        <f t="shared" si="50"/>
        <v>40.544184500637932</v>
      </c>
      <c r="BI45" s="4">
        <f>BI$13*'[2]Ordinary Experience'!$D$381/'[2]Ordinary Experience'!$D$413</f>
        <v>221884558.8650659</v>
      </c>
      <c r="BJ45" s="4">
        <f>'[2]Ordinary Experience'!$E$381</f>
        <v>23.673132196804787</v>
      </c>
      <c r="BL45" s="4">
        <f t="shared" si="90"/>
        <v>60.403176318276614</v>
      </c>
      <c r="BM45" s="4">
        <f t="shared" si="34"/>
        <v>3.4734104793811893E-2</v>
      </c>
      <c r="BO45" s="4">
        <f>IF(OR('Summary, hourly ad costs'!R45=-9999,'Summary, PPI''s'!R45="."),".",(('Summary, hourly ad costs'!B45/'Summary, hourly ad costs'!R45)*100/('Summary, hourly ad costs'!B$11/'Summary, hourly ad costs'!R$11))/('Summary, PPI''s'!R45))</f>
        <v>1.0700376351601522</v>
      </c>
      <c r="BP45" s="4" t="str">
        <f>IF(OR('Summary, hourly ad costs'!S45=-9999,'Summary, PPI''s'!S45="."),".",(('Summary, hourly ad costs'!C45/'Summary, hourly ad costs'!S45)*100/('Summary, hourly ad costs'!C$11/'Summary, hourly ad costs'!S$11))/('Summary, PPI''s'!S45))</f>
        <v>.</v>
      </c>
      <c r="BQ45" s="4" t="str">
        <f>IF(OR('Summary, hourly ad costs'!T45=-9999,'Summary, PPI''s'!T45="."),".",(('Summary, hourly ad costs'!D45/'Summary, hourly ad costs'!T45)*100/('Summary, hourly ad costs'!D$11/'Summary, hourly ad costs'!T$11))/('Summary, PPI''s'!T45))</f>
        <v>.</v>
      </c>
      <c r="BR45" s="4">
        <f>IF(OR('Summary, hourly ad costs'!U45=-9999,'Summary, PPI''s'!U45="."),".",(('Summary, hourly ad costs'!E45/'Summary, hourly ad costs'!U45)*100/('Summary, hourly ad costs'!E$11/'Summary, hourly ad costs'!U$11))/('Summary, PPI''s'!U45))</f>
        <v>2.1130168234149411</v>
      </c>
      <c r="BS45" s="4">
        <f>IF(OR('Summary, hourly ad costs'!V45=-9999,'Summary, PPI''s'!V45="."),".",(('Summary, hourly ad costs'!F45/'Summary, hourly ad costs'!V45)*100/('Summary, hourly ad costs'!F$11/'Summary, hourly ad costs'!V$11))/('Summary, PPI''s'!V45))</f>
        <v>2.3692743797871985</v>
      </c>
      <c r="BT45" s="4" t="str">
        <f>IF(OR('Summary, hourly ad costs'!W45=-9999,'Summary, PPI''s'!W45="."),".",(('Summary, hourly ad costs'!G45/'Summary, hourly ad costs'!W45)*100/('Summary, hourly ad costs'!G$11/'Summary, hourly ad costs'!W$11))/('Summary, PPI''s'!W45))</f>
        <v>.</v>
      </c>
      <c r="BU45" s="4">
        <f>IF(OR('Summary, hourly ad costs'!X45=-9999,'Summary, PPI''s'!X45="."),".",(('Summary, hourly ad costs'!H45/'Summary, hourly ad costs'!X45)*100/('Summary, hourly ad costs'!H$11/'Summary, hourly ad costs'!X$11))/('Summary, PPI''s'!X45))</f>
        <v>1.1131426307142469</v>
      </c>
      <c r="BV45" s="4">
        <f>IF(OR('Summary, hourly ad costs'!Y45=-9999,'Summary, PPI''s'!Y45="."),".",(('Summary, hourly ad costs'!I45/'Summary, hourly ad costs'!Y45)*100/('Summary, hourly ad costs'!I$11/'Summary, hourly ad costs'!Y$11))/('Summary, PPI''s'!Y45))</f>
        <v>0.74053138406986208</v>
      </c>
      <c r="BW45" s="4">
        <f>IF(OR('Summary, hourly ad costs'!Z45=-9999,'Summary, PPI''s'!Z45="."),".",(('Summary, hourly ad costs'!J45/'Summary, hourly ad costs'!Z45)*100/('Summary, hourly ad costs'!J$11/'Summary, hourly ad costs'!Z$11))/('Summary, PPI''s'!Z45))</f>
        <v>0.60775397440178525</v>
      </c>
      <c r="BX45" s="4" t="str">
        <f>IF(OR('Summary, hourly ad costs'!AA45=-9999,'Summary, PPI''s'!AA45="."),".",(('Summary, hourly ad costs'!K45/'Summary, hourly ad costs'!AA45)*100/('Summary, hourly ad costs'!K$11/'Summary, hourly ad costs'!AA$11))/('Summary, PPI''s'!AA45))</f>
        <v>.</v>
      </c>
      <c r="BY45" s="4" t="str">
        <f>IF(OR('Summary, hourly ad costs'!AB45=-9999,'Summary, PPI''s'!AB45="."),".",(('Summary, hourly ad costs'!L45/'Summary, hourly ad costs'!AB45)*100/('Summary, hourly ad costs'!L$11/'Summary, hourly ad costs'!AB$11))/('Summary, PPI''s'!AB45))</f>
        <v>.</v>
      </c>
      <c r="BZ45" s="4" t="str">
        <f>IF(OR('Summary, hourly ad costs'!AC45=-9999,'Summary, PPI''s'!AC45="."),".",(('Summary, hourly ad costs'!M45/'Summary, hourly ad costs'!AC45)*100/('Summary, hourly ad costs'!M$11/'Summary, hourly ad costs'!AC$11))/('Summary, PPI''s'!AC45))</f>
        <v>.</v>
      </c>
      <c r="CA45" s="4" t="str">
        <f>IF(OR('Summary, hourly ad costs'!AD45=-9999,'Summary, PPI''s'!AD45="."),".",(('Summary, hourly ad costs'!N45/'Summary, hourly ad costs'!AD45)*100/('Summary, hourly ad costs'!N$11/'Summary, hourly ad costs'!AD$11))/('Summary, PPI''s'!AD45))</f>
        <v>.</v>
      </c>
      <c r="CB45" s="4" t="str">
        <f>IF(OR('Summary, hourly ad costs'!AE45=-9999,'Summary, PPI''s'!AE45="."),".",(('Summary, hourly ad costs'!O45/'Summary, hourly ad costs'!AE45)*100/('Summary, hourly ad costs'!O$11/'Summary, hourly ad costs'!AE$11))/('Summary, PPI''s'!AE45))</f>
        <v>.</v>
      </c>
      <c r="CC45" s="4" t="str">
        <f>IF(OR('Summary, hourly ad costs'!AF45=-9999,'Summary, PPI''s'!AF45="."),".",(('Summary, hourly ad costs'!P45/'Summary, hourly ad costs'!AF45)*100/('Summary, hourly ad costs'!P$11/'Summary, hourly ad costs'!AF$11))/('Summary, PPI''s'!AF45))</f>
        <v>.</v>
      </c>
      <c r="CE45" s="4">
        <f t="shared" si="80"/>
        <v>-8.1959387742940315E-2</v>
      </c>
      <c r="CF45" s="4" t="str">
        <f t="shared" si="81"/>
        <v>.</v>
      </c>
      <c r="CG45" s="4" t="str">
        <f t="shared" si="82"/>
        <v>.</v>
      </c>
      <c r="CH45" s="4">
        <f t="shared" si="83"/>
        <v>5.0665072002872957E-2</v>
      </c>
      <c r="CI45" s="4">
        <f t="shared" si="84"/>
        <v>0.13650473384200801</v>
      </c>
      <c r="CJ45" s="4" t="str">
        <f t="shared" si="85"/>
        <v>.</v>
      </c>
      <c r="CK45" s="4">
        <f t="shared" si="86"/>
        <v>6.7523971480909495E-6</v>
      </c>
      <c r="CL45" s="4">
        <f t="shared" si="87"/>
        <v>2.2905746161546503E-2</v>
      </c>
      <c r="CM45" s="4">
        <f t="shared" si="88"/>
        <v>3.2549759523113453E-2</v>
      </c>
      <c r="CN45" s="4">
        <f t="shared" si="89"/>
        <v>5.4764625564253586E-3</v>
      </c>
      <c r="CO45" s="4">
        <f t="shared" si="79"/>
        <v>0.22235683656319258</v>
      </c>
      <c r="CP45" s="4">
        <f t="shared" si="79"/>
        <v>9.8915165962531582E-2</v>
      </c>
      <c r="CQ45" s="4" t="str">
        <f t="shared" ref="CQ45:CQ76" si="110">IF(OR(CA45=".",CA46="."), ".", CA45/CA46-1)</f>
        <v>.</v>
      </c>
      <c r="CR45" s="4" t="str">
        <f t="shared" ref="CR45:CR76" si="111">IF(OR(CB45=".",CB46="."), ".", CB45/CB46-1)</f>
        <v>.</v>
      </c>
      <c r="CS45" s="4" t="str">
        <f t="shared" ref="CS45:CS76" si="112">IF(OR(CC45=".",CC46="."), ".", CC45/CC46-1)</f>
        <v>.</v>
      </c>
      <c r="CU45" s="5">
        <f>IF(CU44=".", ".", IF('Summary, PPI''s'!R45=".",IF(OR('Summary, hourly ad costs'!R45=-9999,'Summary, hourly ad costs'!R45=0), ".", 'Predicted PPIs'!CU44*('Summary, hourly ad costs'!B45/'Summary, hourly ad costs'!R45)/('Summary, hourly ad costs'!B44/'Summary, hourly ad costs'!R44)/(1-CE44)), 'Summary, PPI''s'!R45))</f>
        <v>43.450223349917621</v>
      </c>
      <c r="CV45" s="5">
        <f>IF(CV44=".", ".", IF('Summary, PPI''s'!S45=".",IF(OR('Summary, hourly ad costs'!S45=-9999,'Summary, hourly ad costs'!S45=0), ".", 'Predicted PPIs'!CV44*('Summary, hourly ad costs'!C45/'Summary, hourly ad costs'!S45)/('Summary, hourly ad costs'!C44/'Summary, hourly ad costs'!S44)/(1-CF44)), 'Summary, PPI''s'!S45))</f>
        <v>43.450223349917621</v>
      </c>
      <c r="CW45" s="5">
        <f>IF(CW44=".", ".", IF('Summary, PPI''s'!T45=".",IF(OR('Summary, hourly ad costs'!T45=-9999,'Summary, hourly ad costs'!T45=0), ".", 'Predicted PPIs'!CW44*('Summary, hourly ad costs'!D45/'Summary, hourly ad costs'!T45)/('Summary, hourly ad costs'!D44/'Summary, hourly ad costs'!T44)/(1-CG44)), 'Summary, PPI''s'!T45))</f>
        <v>38.55838001878012</v>
      </c>
      <c r="CX45" s="5">
        <f>IF(CX44=".", ".", IF('Summary, PPI''s'!U45=".",IF(OR('Summary, hourly ad costs'!U45=-9999,'Summary, hourly ad costs'!U45=0), ".", 'Predicted PPIs'!CX44*('Summary, hourly ad costs'!E45/'Summary, hourly ad costs'!U45)/('Summary, hourly ad costs'!E44/'Summary, hourly ad costs'!U44)/(1-CH44)), 'Summary, PPI''s'!U45))</f>
        <v>17.232624714237463</v>
      </c>
      <c r="CY45" s="5">
        <f>IF(CY44=".", ".", IF('Summary, PPI''s'!V45=".",IF(OR('Summary, hourly ad costs'!V45=-9999,'Summary, hourly ad costs'!V45=0), ".", 'Predicted PPIs'!CY44*('Summary, hourly ad costs'!F45/'Summary, hourly ad costs'!V45)/('Summary, hourly ad costs'!F44/'Summary, hourly ad costs'!V44)/(1-CI44)), 'Summary, PPI''s'!V45))</f>
        <v>17.472766271471549</v>
      </c>
      <c r="CZ45" s="5">
        <f>IF(CZ44=".", ".", IF('Summary, PPI''s'!W45=".",IF(OR('Summary, hourly ad costs'!W45=-9999,'Summary, hourly ad costs'!W45=0), ".", 'Predicted PPIs'!CZ44*('Summary, hourly ad costs'!G45/'Summary, hourly ad costs'!W45)/('Summary, hourly ad costs'!G44/'Summary, hourly ad costs'!W44)/(1-CJ44)), 'Summary, PPI''s'!W45))</f>
        <v>21.276331544500497</v>
      </c>
      <c r="DA45" s="5">
        <f>IF(DA44=".", ".", IF('Summary, PPI''s'!X45=".",IF(OR('Summary, hourly ad costs'!X45=-9999,'Summary, hourly ad costs'!X45=0), ".", 'Predicted PPIs'!DA44*('Summary, hourly ad costs'!H45/'Summary, hourly ad costs'!X45)/('Summary, hourly ad costs'!H44/'Summary, hourly ad costs'!X44)/(1-CK44)), 'Summary, PPI''s'!X45))</f>
        <v>26.298999999999999</v>
      </c>
      <c r="DB45" s="5">
        <f>IF(DB44=".", ".", IF('Summary, PPI''s'!Y45=".",IF(OR('Summary, hourly ad costs'!Y45=-9999,'Summary, hourly ad costs'!Y45=0), ".", 'Predicted PPIs'!DB44*('Summary, hourly ad costs'!I45/'Summary, hourly ad costs'!Y45)/('Summary, hourly ad costs'!I44/'Summary, hourly ad costs'!Y44)/(1-CL44)), 'Summary, PPI''s'!Y45))</f>
        <v>26.53353976633537</v>
      </c>
      <c r="DC45" s="5">
        <f>IF(DC44=".", ".", IF('Summary, PPI''s'!Z45=".",IF(OR('Summary, hourly ad costs'!Z45=-9999,'Summary, hourly ad costs'!Z45=0), ".", 'Predicted PPIs'!DC44*('Summary, hourly ad costs'!J45/'Summary, hourly ad costs'!Z45)/('Summary, hourly ad costs'!J44/'Summary, hourly ad costs'!Z44)/(1-CM44)), 'Summary, PPI''s'!Z45))</f>
        <v>28.445745667993695</v>
      </c>
      <c r="DD45" s="10">
        <f>DD44*DC45/DC44</f>
        <v>13.206782184255482</v>
      </c>
      <c r="DE45" s="5" t="str">
        <f>IF(DE44=".", ".", IF('Summary, PPI''s'!AB45=".",IF(OR('Summary, hourly ad costs'!AB45=-9999,'Summary, hourly ad costs'!AB45=0), ".", 'Predicted PPIs'!DE44*('Summary, hourly ad costs'!L45/'Summary, hourly ad costs'!AB45)/('Summary, hourly ad costs'!L44/'Summary, hourly ad costs'!AB44)/(1-CO44)), 'Summary, PPI''s'!AB45))</f>
        <v>.</v>
      </c>
      <c r="DF45" s="5" t="str">
        <f>IF(DF44=".", ".", IF('Summary, PPI''s'!AC45=".",IF(OR('Summary, hourly ad costs'!AC45=-9999,'Summary, hourly ad costs'!AC45=0), ".", 'Predicted PPIs'!DF44*('Summary, hourly ad costs'!M45/'Summary, hourly ad costs'!AC45)/('Summary, hourly ad costs'!M44/'Summary, hourly ad costs'!AC44)/(1-CP44)), 'Summary, PPI''s'!AC45))</f>
        <v>.</v>
      </c>
      <c r="DG45" s="5" t="str">
        <f>IF(DG44=".", ".", IF('Summary, PPI''s'!AD45=".",IF(OR('Summary, hourly ad costs'!AD45=-9999,'Summary, hourly ad costs'!AD45=0), ".", 'Predicted PPIs'!DG44*('Summary, hourly ad costs'!N45/'Summary, hourly ad costs'!AD45)/('Summary, hourly ad costs'!N44/'Summary, hourly ad costs'!AD44)/(1-CQ44)), 'Summary, PPI''s'!AD45))</f>
        <v>.</v>
      </c>
      <c r="DH45" s="5">
        <f>IF(DH44=".", ".", IF('Summary, PPI''s'!AE45=".",IF(OR('Summary, hourly ad costs'!AE45=-9999,'Summary, hourly ad costs'!AE45=0), ".", 'Predicted PPIs'!DH44*('Summary, hourly ad costs'!O45/'Summary, hourly ad costs'!AE45)/('Summary, hourly ad costs'!O44/'Summary, hourly ad costs'!AE44)/(1-CR44)), 'Summary, PPI''s'!AE45))</f>
        <v>25.426470112602839</v>
      </c>
      <c r="DI45" s="5" t="str">
        <f>IF(DI44=".", ".", IF('Summary, PPI''s'!AF45=".",IF(OR('Summary, hourly ad costs'!AF45=-9999,'Summary, hourly ad costs'!AF45=0), ".", 'Predicted PPIs'!DI44*('Summary, hourly ad costs'!P45/'Summary, hourly ad costs'!AF45)/('Summary, hourly ad costs'!P44/'Summary, hourly ad costs'!AF44)/(1-CS44)), 'Summary, PPI''s'!AF45))</f>
        <v>.</v>
      </c>
      <c r="DK45" s="4">
        <v>15.737</v>
      </c>
      <c r="DM45" s="5">
        <f t="shared" si="65"/>
        <v>-1.3837752168922579E-3</v>
      </c>
      <c r="DN45" s="5">
        <f t="shared" si="66"/>
        <v>-1.3837752168922579E-3</v>
      </c>
      <c r="DO45" s="5">
        <f t="shared" si="67"/>
        <v>8.1319361236822374E-3</v>
      </c>
      <c r="DP45" s="5">
        <f t="shared" si="68"/>
        <v>2.5439332171885987E-3</v>
      </c>
      <c r="DQ45" s="5">
        <f t="shared" si="69"/>
        <v>-4.8724614870308547E-2</v>
      </c>
      <c r="DR45" s="5">
        <f t="shared" si="70"/>
        <v>-3.5928405656902362E-2</v>
      </c>
      <c r="DS45" s="5">
        <f t="shared" si="71"/>
        <v>-9.5750357620765225E-3</v>
      </c>
      <c r="DT45" s="5">
        <f t="shared" si="72"/>
        <v>2.8358988380669414E-2</v>
      </c>
      <c r="DU45" s="5">
        <f t="shared" si="73"/>
        <v>2.8358988380669636E-2</v>
      </c>
      <c r="DV45" s="5">
        <f t="shared" si="74"/>
        <v>2.8358988380669414E-2</v>
      </c>
      <c r="DW45" s="4">
        <f t="shared" si="78"/>
        <v>-0.11878219136705531</v>
      </c>
      <c r="DX45" s="4">
        <f t="shared" si="78"/>
        <v>4.4493264212175587E-2</v>
      </c>
      <c r="DY45" s="4">
        <f t="shared" si="108"/>
        <v>-1.5709711178686032E-2</v>
      </c>
      <c r="DZ45" s="5">
        <f t="shared" si="92"/>
        <v>-3.8145683020923693E-3</v>
      </c>
      <c r="EA45" s="4">
        <f t="shared" si="109"/>
        <v>-9.2018938238617419E-3</v>
      </c>
      <c r="EC45" s="1">
        <f t="shared" si="93"/>
        <v>43.450223349917621</v>
      </c>
      <c r="ED45" s="1">
        <f t="shared" si="94"/>
        <v>43.450223349917621</v>
      </c>
      <c r="EE45" s="1">
        <f t="shared" si="95"/>
        <v>38.55838001878012</v>
      </c>
      <c r="EF45" s="1">
        <f t="shared" si="96"/>
        <v>17.232624714237463</v>
      </c>
      <c r="EG45" s="1">
        <f t="shared" si="97"/>
        <v>17.472766271471549</v>
      </c>
      <c r="EH45" s="1">
        <f t="shared" si="98"/>
        <v>21.276331544500497</v>
      </c>
      <c r="EI45" s="1">
        <f t="shared" si="99"/>
        <v>26.298999999999999</v>
      </c>
      <c r="EJ45" s="1">
        <f t="shared" si="100"/>
        <v>26.53353976633537</v>
      </c>
      <c r="EK45" s="1">
        <f t="shared" si="101"/>
        <v>28.445745667993695</v>
      </c>
      <c r="EL45" s="1">
        <f t="shared" si="102"/>
        <v>13.206782184255482</v>
      </c>
      <c r="EM45" s="1">
        <f t="shared" si="103"/>
        <v>24.85078893709143</v>
      </c>
      <c r="EN45" s="1">
        <f t="shared" si="104"/>
        <v>13.608811167443482</v>
      </c>
      <c r="EO45" s="1">
        <f t="shared" si="105"/>
        <v>21.524193432558135</v>
      </c>
      <c r="EP45" s="1">
        <f t="shared" si="106"/>
        <v>25.426470112602839</v>
      </c>
      <c r="EQ45" s="1">
        <f t="shared" si="107"/>
        <v>19.638640946465749</v>
      </c>
      <c r="ES45" s="1">
        <f>IF(EF$26=".", 0, 'Summary, PPI''s'!E45)+IF(EG$26=".", 0, 'Summary, PPI''s'!F45)+IF(EH$26=".", 0, 'Summary, PPI''s'!G45)+IF(EI$26=".", 0, 'Summary, PPI''s'!H45)+IF(EJ$26=".", 0, 'Summary, PPI''s'!I45)+IF(EK$26=".", 0, 'Summary, PPI''s'!J45)+IF(EL$26=".", 0, 'Summary, PPI''s'!K45)+IF(EM$26=".", 0, 'Summary, PPI''s'!L45)+IF(EN$26=".", 0, 'Summary, PPI''s'!M45)+IF(EC$26=".", 0, 'Summary, PPI''s'!B45)+IF(ED$26=".", 0, 'Summary, PPI''s'!C45)+IF(EE$26=".", 0, 'Summary, PPI''s'!D45)+IF(EO$26=".", 0, 'Summary, PPI''s'!N45)+IF(EP$26=".", 0, 'Summary, PPI''s'!O45)+IF(EQ$26=".", 0, 'Summary, PPI''s'!P45)</f>
        <v>43649400.249102257</v>
      </c>
      <c r="ET45" s="1">
        <f>'Summary, hourly ad costs'!E45+'Summary, hourly ad costs'!F45+'Summary, hourly ad costs'!H45+'Summary, hourly ad costs'!I45+'Summary, hourly ad costs'!J45+'Summary, hourly ad costs'!K45+'Summary, hourly ad costs'!L45+'Summary, hourly ad costs'!M45+'Summary, hourly ad costs'!B45</f>
        <v>24517535.260713987</v>
      </c>
      <c r="EV45" s="13">
        <f>EV44*IF(EF$26=".", 1, (EF45/EF44)^(('Summary, PPI''s'!$E45+'Summary, PPI''s'!$E44)/('Predicted PPIs'!ES45+'Predicted PPIs'!ES44)))*IF(EG$26=".", 1, (EG45/EG44)^(('Summary, PPI''s'!$F45+'Summary, PPI''s'!$F44)/('Predicted PPIs'!ES45+'Predicted PPIs'!ES44)))*IF(EH$26=".", 1, (EH45/EH44)^(('Summary, PPI''s'!$G45+'Summary, PPI''s'!$G44)/('Predicted PPIs'!ES45+'Predicted PPIs'!ES44)))*IF(EI$26=".", 1, (EI45/EI44)^(('Summary, PPI''s'!$H45+'Summary, PPI''s'!$H44)/('Predicted PPIs'!ES45+'Predicted PPIs'!ES44)))*IF(EJ$26=".", 1, (EJ45/EJ44)^(('Summary, PPI''s'!$I45+'Summary, PPI''s'!$I44)/('Predicted PPIs'!ES45+'Predicted PPIs'!ES44)))*IF(EK$26=".", 1, (EK45/EK44)^(('Summary, PPI''s'!$J45+'Summary, PPI''s'!$J44)/('Predicted PPIs'!ES45+'Predicted PPIs'!ES44)))*IF(EL$26=".", 1, (EL45/EL44)^(('Summary, PPI''s'!$K45+'Summary, PPI''s'!$K44)/('Predicted PPIs'!ES45+'Predicted PPIs'!ES44)))*IF(EM$26=".", 1, (EM45/EM44)^(('Summary, PPI''s'!$L45+'Summary, PPI''s'!$L44)/('Predicted PPIs'!ES45+'Predicted PPIs'!ES44)))*IF(EN$26=".", 1, (EN45/EN44)^(('Summary, PPI''s'!$M45+'Summary, PPI''s'!$M44)/('Predicted PPIs'!ES45+'Predicted PPIs'!ES44)))*IF(EC$26=".", 1, (EC45/EC44)^(('Summary, PPI''s'!$B45+'Summary, PPI''s'!$B44)/('Predicted PPIs'!ES45+'Predicted PPIs'!ES44)))*IF(ED$26=".", 1, (ED45/ED44)^(('Summary, PPI''s'!$C45+'Summary, PPI''s'!$C44)/('Predicted PPIs'!ES45+'Predicted PPIs'!ES44)))*IF(EE$26=".", 1, (EE45/EE44)^(('Summary, PPI''s'!$D45+'Summary, PPI''s'!$D44)/('Predicted PPIs'!ES45+'Predicted PPIs'!ES44)))*IF(EO$26=".", 1, (EO45/EO44)^(('Summary, PPI''s'!$N45+'Summary, PPI''s'!$N44)/('Predicted PPIs'!ES45+'Predicted PPIs'!ES44)))*IF(EP$26=".", 1, (EP45/EP44)^(('Summary, PPI''s'!$O45+'Summary, PPI''s'!$O44)/('Predicted PPIs'!ES45+'Predicted PPIs'!ES44)))*IF(EQ$26=".", 1, (EQ45/EQ44)^(('Summary, PPI''s'!$P45+'Summary, PPI''s'!$P44)/('Predicted PPIs'!ES45+'Predicted PPIs'!ES44)))</f>
        <v>26.443311552102038</v>
      </c>
      <c r="EW45" s="13">
        <f>EW44*IF(EF$26=".", 1, (EF45/EF44)^(('Summary, PPI''s'!$E45+'Summary, PPI''s'!$E44)/('Predicted PPIs'!ET45+'Predicted PPIs'!ET44)))*IF(EG$26=".", 1, (EG45/EG44)^(('Summary, PPI''s'!$F45+'Summary, PPI''s'!$F44)/('Predicted PPIs'!ET45+'Predicted PPIs'!ET44)))*IF(EH$26=".", 1, (EH45/EH44)^(('Summary, PPI''s'!$G45+'Summary, PPI''s'!$G44)/('Predicted PPIs'!ET45+'Predicted PPIs'!ET44)))*IF(EK$26=".", 1, (EK45/EK44)^(('Summary, PPI''s'!$J45+'Summary, PPI''s'!$J44)/('Predicted PPIs'!ET45+'Predicted PPIs'!ET44)))*IF(EL$26=".", 1, (EL45/EL44)^(('Summary, PPI''s'!$K45+'Summary, PPI''s'!$K44)/('Predicted PPIs'!ET45+'Predicted PPIs'!ET44)))*IF(EM$26=".", 1, (EM45/EM44)^(('Summary, PPI''s'!$L45+'Summary, PPI''s'!$L44)/('Predicted PPIs'!ET45+'Predicted PPIs'!ET44)))*IF(EN$26=".", 1, (EN45/EN44)^(('Summary, PPI''s'!$M45+'Summary, PPI''s'!$M44)/('Predicted PPIs'!ET45+'Predicted PPIs'!ET44)))*IF(EC$26=".", 1, (EC45/EC44)^(('Summary, PPI''s'!$B45+'Summary, PPI''s'!$B44)/('Predicted PPIs'!ET45+'Predicted PPIs'!ET44)))</f>
        <v>28.023259550180594</v>
      </c>
      <c r="EY45" s="2"/>
    </row>
    <row r="46" spans="1:155" x14ac:dyDescent="0.3">
      <c r="A46" s="4">
        <v>1977</v>
      </c>
      <c r="B46" s="10">
        <f>IF(B45=".", ".", IF('Summary, PPI''s'!R46=".",IF(OR('Summary, hourly ad costs'!R46=-9999,'Summary, hourly ad costs'!R46=0), ".", 'Predicted PPIs'!B45*('Summary, hourly ad costs'!B46/'Summary, hourly ad costs'!R46)/('Summary, hourly ad costs'!B45/'Summary, hourly ad costs'!R45)), 'Summary, PPI''s'!R46))</f>
        <v>40.709639758342902</v>
      </c>
      <c r="C46" s="10">
        <f>IF(C45=".", ".", IF('Summary, PPI''s'!S46=".",IF(OR('Summary, hourly ad costs'!S46=-9999,'Summary, hourly ad costs'!S46=0), ".", 'Predicted PPIs'!C45*('Summary, hourly ad costs'!C46/'Summary, hourly ad costs'!S46)/('Summary, hourly ad costs'!C45/'Summary, hourly ad costs'!S45)), 'Summary, PPI''s'!S46))</f>
        <v>40.709639758342902</v>
      </c>
      <c r="D46" s="10">
        <f>IF(D45=".", ".", IF('Summary, PPI''s'!T46=".",IF(OR('Summary, hourly ad costs'!T46=-9999,'Summary, hourly ad costs'!T46=0), ".", 'Predicted PPIs'!D45*('Summary, hourly ad costs'!D46/'Summary, hourly ad costs'!T46)/('Summary, hourly ad costs'!D45/'Summary, hourly ad costs'!T45)), 'Summary, PPI''s'!T46))</f>
        <v>35.785350104641616</v>
      </c>
      <c r="E46" s="10">
        <f>IF(E45=".", ".", IF('Summary, PPI''s'!U46=".",IF(OR('Summary, hourly ad costs'!U46=-9999,'Summary, hourly ad costs'!U46=0), ".", 'Predicted PPIs'!E45*('Summary, hourly ad costs'!E46/'Summary, hourly ad costs'!U46)/('Summary, hourly ad costs'!E45/'Summary, hourly ad costs'!U45)), 'Summary, PPI''s'!U46))</f>
        <v>16.082437818790698</v>
      </c>
      <c r="F46" s="10">
        <f>IF(F45=".", ".", IF('Summary, PPI''s'!V46=".",IF(OR('Summary, hourly ad costs'!V46=-9999,'Summary, hourly ad costs'!V46=0), ".", 'Predicted PPIs'!F45*('Summary, hourly ad costs'!F46/'Summary, hourly ad costs'!V46)/('Summary, hourly ad costs'!F45/'Summary, hourly ad costs'!V45)), 'Summary, PPI''s'!V46))</f>
        <v>17.185385247269714</v>
      </c>
      <c r="G46" s="10">
        <f>IF(G45=".", ".", IF('Summary, PPI''s'!W46=".",IF(OR('Summary, hourly ad costs'!W46=-9999,'Summary, hourly ad costs'!W46=0), ".", 'Predicted PPIs'!G45*('Summary, hourly ad costs'!G46/'Summary, hourly ad costs'!W46)/('Summary, hourly ad costs'!G45/'Summary, hourly ad costs'!W45)), 'Summary, PPI''s'!W46))</f>
        <v>20.648633994324701</v>
      </c>
      <c r="H46" s="10">
        <f>IF(H45=".", ".", IF('Summary, PPI''s'!X46=".",IF(OR('Summary, hourly ad costs'!X46=-9999,'Summary, hourly ad costs'!X46=0), ".", 'Predicted PPIs'!H45*('Summary, hourly ad costs'!H46/'Summary, hourly ad costs'!X46)/('Summary, hourly ad costs'!H45/'Summary, hourly ad costs'!X45)), 'Summary, PPI''s'!X46))</f>
        <v>24.844000000000001</v>
      </c>
      <c r="I46" s="10">
        <f>IF(I45=".", ".", IF('Summary, PPI''s'!Y46=".",IF(OR('Summary, hourly ad costs'!Y46=-9999,'Summary, hourly ad costs'!Y46=0), ".", 'Predicted PPIs'!I45*('Summary, hourly ad costs'!I46/'Summary, hourly ad costs'!Y46)/('Summary, hourly ad costs'!I45/'Summary, hourly ad costs'!Y45)), 'Summary, PPI''s'!Y46))</f>
        <v>24.14094727118778</v>
      </c>
      <c r="J46" s="10">
        <f>IF(J45=".", ".", IF('Summary, PPI''s'!Z46=".",IF(OR('Summary, hourly ad costs'!Z46=-9999,'Summary, hourly ad costs'!Z46=0), ".", 'Predicted PPIs'!J45*('Summary, hourly ad costs'!J46/'Summary, hourly ad costs'!Z46)/('Summary, hourly ad costs'!J45/'Summary, hourly ad costs'!Z45)), 'Summary, PPI''s'!Z46))</f>
        <v>25.880725010988506</v>
      </c>
      <c r="K46" s="10">
        <f>K45*J46/J45</f>
        <v>14.93942898050673</v>
      </c>
      <c r="L46" s="10" t="str">
        <f>IF(L45=".", ".", IF('Summary, PPI''s'!AB46=".",IF(OR('Summary, hourly ad costs'!AB46=-9999,'Summary, hourly ad costs'!AB46=0), ".", 'Predicted PPIs'!L45*('Summary, hourly ad costs'!L46/'Summary, hourly ad costs'!AB46)/('Summary, hourly ad costs'!L45/'Summary, hourly ad costs'!AB45)), 'Summary, PPI''s'!AB46))</f>
        <v>.</v>
      </c>
      <c r="M46" s="10" t="str">
        <f>IF(M45=".", ".", IF('Summary, PPI''s'!AC46=".",IF(OR('Summary, hourly ad costs'!AC46=-9999,'Summary, hourly ad costs'!AC46=0), ".", 'Predicted PPIs'!M45*('Summary, hourly ad costs'!M46/'Summary, hourly ad costs'!AC46)/('Summary, hourly ad costs'!M45/'Summary, hourly ad costs'!AC45)), 'Summary, PPI''s'!AC46))</f>
        <v>.</v>
      </c>
      <c r="N46" s="10" t="str">
        <f>IF(N45=".", ".", IF('Summary, PPI''s'!AD46=".",IF(OR('Summary, hourly ad costs'!AD46=-9999,'Summary, hourly ad costs'!AD46=0), ".", 'Predicted PPIs'!N45*('Summary, hourly ad costs'!N46/'Summary, hourly ad costs'!AD46)/('Summary, hourly ad costs'!N45/'Summary, hourly ad costs'!AD45)), 'Summary, PPI''s'!AD46))</f>
        <v>.</v>
      </c>
      <c r="O46" s="10">
        <f>IF(O45=".", ".", IF('Summary, PPI''s'!AE46=".",IF(OR('Summary, hourly ad costs'!AE46=-9999,'Summary, hourly ad costs'!AE46=0), ".", 'Predicted PPIs'!O45*('Summary, hourly ad costs'!O46/'Summary, hourly ad costs'!AE46)/('Summary, hourly ad costs'!O45/'Summary, hourly ad costs'!AE45)), 'Summary, PPI''s'!AE46))</f>
        <v>23.88084831618373</v>
      </c>
      <c r="P46" s="10" t="str">
        <f>IF(P45=".", ".", IF('Summary, PPI''s'!AF46=".",IF(OR('Summary, hourly ad costs'!AF46=-9999,'Summary, hourly ad costs'!AF46=0), ".", 'Predicted PPIs'!P45*('Summary, hourly ad costs'!P46/'Summary, hourly ad costs'!AF46)/('Summary, hourly ad costs'!P45/'Summary, hourly ad costs'!AF45)), 'Summary, PPI''s'!AF46))</f>
        <v>.</v>
      </c>
      <c r="R46" s="1">
        <f>IF(E$26=".", 0, 'Summary, PPI''s'!E46)+IF(F$26=".", 0, 'Summary, PPI''s'!F46)+IF(G$26=".", 0, 'Summary, PPI''s'!G46)+IF(H$26=".", 0, 'Summary, PPI''s'!H46)+IF(I$26=".", 0, 'Summary, PPI''s'!I46)+IF(J$26=".", 0, 'Summary, PPI''s'!J46)+IF(K$26=".", 0, 'Summary, PPI''s'!K46)+IF(L$26=".", 0, 'Summary, PPI''s'!L46)+IF(M$26=".", 0, 'Summary, PPI''s'!M46)+IF(B$26=".", 0, 'Summary, PPI''s'!B46)+IF(C$26=".", 0, 'Summary, PPI''s'!C46)+IF(D$26=".", 0, 'Summary, PPI''s'!D46)+IF(N$26=".", 0, 'Summary, PPI''s'!N46)+IF(O$26=".", 0, 'Summary, PPI''s'!O46)+IF(P$26=".", 0, 'Summary, PPI''s'!P46)</f>
        <v>37619458.915163048</v>
      </c>
      <c r="S46" s="1">
        <f>IF(E$36=".", 0, 'Summary, PPI''s'!E46)+IF(F$36=".", 0, 'Summary, PPI''s'!F46)+IF(G$36=".", 0, 'Summary, PPI''s'!G46)+IF(H$36=".", 0, 'Summary, PPI''s'!H46)+IF(I$36=".", 0, 'Summary, PPI''s'!I46)+IF(J$36=".", 0, 'Summary, PPI''s'!J46)+IF(K$36=".", 0, 'Summary, PPI''s'!K46)+IF(L$36=".", 0, 'Summary, PPI''s'!L46)+IF(M$36=".", 0, 'Summary, PPI''s'!M46)+IF(B$36=".", 0, 'Summary, PPI''s'!B46)+IF(C$36=".", 0, 'Summary, PPI''s'!C46)+IF(D$36=".", 0, 'Summary, PPI''s'!D46)+IF(N$36=".", 0, 'Summary, PPI''s'!N46)+IF(O$36=".", 0, 'Summary, PPI''s'!O46)+IF(P$36=".", 0, 'Summary, PPI''s'!P46)</f>
        <v>37619458.915163048</v>
      </c>
      <c r="T46" s="1">
        <f>IF(E$46=".", 0, 'Summary, PPI''s'!E46)+IF(F$46=".", 0, 'Summary, PPI''s'!F46)+IF(G$46=".", 0, 'Summary, PPI''s'!G46)+IF(H$46=".", 0, 'Summary, PPI''s'!H46)+IF(I$46=".", 0, 'Summary, PPI''s'!I46)+IF(J$46=".", 0, 'Summary, PPI''s'!J46)+IF(K$46=".", 0, 'Summary, PPI''s'!K46)+IF(L$46=".", 0, 'Summary, PPI''s'!L46)+IF(M$46=".", 0, 'Summary, PPI''s'!M46)+IF(B$46=".", 0, 'Summary, PPI''s'!B46)+IF(C$46=".", 0, 'Summary, PPI''s'!C46)+IF(D$46=".", 0, 'Summary, PPI''s'!D46)+IF(N$46=".", 0, 'Summary, PPI''s'!N46)+IF(O$46=".", 0, 'Summary, PPI''s'!O46)+IF(P$46=".", 0, 'Summary, PPI''s'!P46)</f>
        <v>27719357.584949628</v>
      </c>
      <c r="U46" s="1">
        <f>IF(E$60=".", 0, 'Summary, PPI''s'!E46)+IF(F$60=".", 0, 'Summary, PPI''s'!F46)+IF(G$60=".", 0, 'Summary, PPI''s'!G46)+IF(H$60=".", 0, 'Summary, PPI''s'!H46)+IF(I$60=".", 0, 'Summary, PPI''s'!I46)+IF(J$60=".", 0, 'Summary, PPI''s'!J46)+IF(K$60=".", 0, 'Summary, PPI''s'!K46)+IF(L$60=".", 0, 'Summary, PPI''s'!L46)+IF(M$60=".", 0, 'Summary, PPI''s'!M46)+IF(B$60=".", 0, 'Summary, PPI''s'!B46)+IF(C$60=".", 0, 'Summary, PPI''s'!C46)+IF(D$60=".", 0, 'Summary, PPI''s'!D46)+IF(N$60=".", 0, 'Summary, PPI''s'!N46)+IF(O$60=".", 0, 'Summary, PPI''s'!O46)+IF(P$60=".", 0, 'Summary, PPI''s'!P46)</f>
        <v>25083023.171548523</v>
      </c>
      <c r="V46" s="1">
        <f>IF(E$73=".", 0, 'Summary, PPI''s'!E46)+IF(F$73=".", 0, 'Summary, PPI''s'!F46)+IF(G$73=".", 0, 'Summary, PPI''s'!G46)+IF(H$73=".", 0, 'Summary, PPI''s'!H46)+IF(I$73=".", 0, 'Summary, PPI''s'!I46)+IF(J$73=".", 0, 'Summary, PPI''s'!J46)+IF(K$73=".", 0, 'Summary, PPI''s'!K46)+IF(L$73=".", 0, 'Summary, PPI''s'!L46)+IF(M$73=".", 0, 'Summary, PPI''s'!M46)+IF(B$73=".", 0, 'Summary, PPI''s'!B46)+IF(C$73=".", 0, 'Summary, PPI''s'!C46)+IF(D$73=".", 0, 'Summary, PPI''s'!D46)+IF(N$73=".", 0, 'Summary, PPI''s'!N46)+IF(O$73=".", 0, 'Summary, PPI''s'!O46)+IF(P$73=".", 0, 'Summary, PPI''s'!P46)</f>
        <v>21203938.5229389</v>
      </c>
      <c r="W46" s="1">
        <f>IF(E$94=".",0,'Summary, PPI''s'!E46)+IF(F$94=".",0,'Summary, PPI''s'!F46)+IF(G$94=".",0,'Summary, PPI''s'!G46)+IF(H$94=".",0,'Summary, PPI''s'!H46)+IF(I$94=".",0,'Summary, PPI''s'!I46)+IF(J$94=".",0,'Summary, PPI''s'!J46)+IF(K$94=".",0,'Summary, PPI''s'!K46)+IF(L$94=".",0,'Summary, PPI''s'!L46)+IF(M$94=".",0,'Summary, PPI''s'!M46)+IF(B$94=".",0,'Summary, PPI''s'!B46)+IF(C$94=".",0,'Summary, PPI''s'!C46)+IF(D$94=".",0,'Summary, PPI''s'!D46)+IF(N$94=".",0,'Summary, PPI''s'!N46)+IF(O$94=".",0,'Summary, PPI''s'!O46)+IF(P$94=".",0,'Summary, PPI''s'!P46)</f>
        <v>15680920.002982054</v>
      </c>
      <c r="X46" s="1">
        <f>IF(E$123=".", 0, 'Summary, PPI''s'!E46)+IF(F$123=".", 0, 'Summary, PPI''s'!F46)+IF(G$123=".", 0, 'Summary, PPI''s'!G46)+IF(H$123=".", 0, 'Summary, PPI''s'!H46)+IF(I$123=".", 0, 'Summary, PPI''s'!I46)+IF(J$123=".", 0, 'Summary, PPI''s'!J46)+IF(K$123=".", 0, 'Summary, PPI''s'!K46)+IF(L$123=".", 0, 'Summary, PPI''s'!L46)+IF(M$123=".", 0, 'Summary, PPI''s'!M46)+IF(B$123=".", 0, 'Summary, PPI''s'!B46)+IF(C$123=".", 0, 'Summary, PPI''s'!C46)+IF(D$123=".", 0, 'Summary, PPI''s'!D46)+IF(N$123=".", 0, 'Summary, PPI''s'!N46)+IF(O$123=".", 0, 'Summary, PPI''s'!O46)+IF(P$123=".", 0, 'Summary, PPI''s'!P46)</f>
        <v>13554624.621750556</v>
      </c>
      <c r="Z46" s="4" t="e">
        <f>Z45*IF(E$26=".", 1, (E46/E45)^(('Summary, PPI''s'!$E46+'Summary, PPI''s'!$E45)/('Predicted PPIs'!R46+'Predicted PPIs'!R45)))*IF(F$26=".", 1, (F46/F45)^(('Summary, PPI''s'!$F46+'Summary, PPI''s'!$F45)/('Predicted PPIs'!R46+'Predicted PPIs'!R45)))*IF(G$26=".", 1, (G46/G45)^(('Summary, PPI''s'!$G46+'Summary, PPI''s'!$G45)/('Predicted PPIs'!R46+'Predicted PPIs'!R45)))*IF(H$26=".", 1, (H46/H45)^(('Summary, PPI''s'!$H46+'Summary, PPI''s'!$H45)/('Predicted PPIs'!R46+'Predicted PPIs'!R45)))*IF(I$26=".", 1, (I46/I45)^(('Summary, PPI''s'!$I46+'Summary, PPI''s'!$I45)/('Predicted PPIs'!R46+'Predicted PPIs'!R45)))*IF(J$26=".", 1, (J46/J45)^(('Summary, PPI''s'!$J46+'Summary, PPI''s'!$J45)/('Predicted PPIs'!R46+'Predicted PPIs'!R45)))*IF(K$26=".", 1, (K46/K45)^(('Summary, PPI''s'!$K46+'Summary, PPI''s'!$K45)/('Predicted PPIs'!R46+'Predicted PPIs'!R45)))*IF(L$26=".", 1, (L46/L45)^(('Summary, PPI''s'!$L46+'Summary, PPI''s'!$L45)/('Predicted PPIs'!R46+'Predicted PPIs'!R45)))*IF(M$26=".", 1, (M46/M45)^(('Summary, PPI''s'!$M46+'Summary, PPI''s'!$M45)/('Predicted PPIs'!R46+'Predicted PPIs'!R45)))*IF(B$26=".", 1, (B46/B45)^(('Summary, PPI''s'!$B46+'Summary, PPI''s'!$B45)/('Predicted PPIs'!R46+'Predicted PPIs'!R45)))*IF(C$26=".", 1, (C46/C45)^(('Summary, PPI''s'!$C46+'Summary, PPI''s'!$C45)/('Predicted PPIs'!R46+'Predicted PPIs'!R45)))*IF(D$26=".", 1, (D46/D45)^(('Summary, PPI''s'!$D46+'Summary, PPI''s'!$D45)/('Predicted PPIs'!R46+'Predicted PPIs'!R45)))*IF(N$26=".", 1, (N46/N45)^(('Summary, PPI''s'!$N46+'Summary, PPI''s'!$N45)/('Predicted PPIs'!R46+'Predicted PPIs'!R45)))*IF(O$26=".", 1, (O46/O45)^(('Summary, PPI''s'!$O46+'Summary, PPI''s'!$O45)/('Predicted PPIs'!R46+'Predicted PPIs'!R45)))*IF(P$26=".", 1, (P46/P45)^(('Summary, PPI''s'!$P46+'Summary, PPI''s'!$P45)/('Predicted PPIs'!R46+'Predicted PPIs'!R45)))</f>
        <v>#VALUE!</v>
      </c>
      <c r="AA46" s="4" t="e">
        <f>AA45*IF(E$36=".", 1, (E46/E45)^(('Summary, PPI''s'!$E46+'Summary, PPI''s'!$E45)/('Predicted PPIs'!S46+'Predicted PPIs'!S45)))*IF(F$36=".", 1, (F46/F45)^(('Summary, PPI''s'!$F46+'Summary, PPI''s'!$F45)/('Predicted PPIs'!S46+'Predicted PPIs'!S45)))*IF(G$36=".", 1, (G46/G45)^(('Summary, PPI''s'!$G46+'Summary, PPI''s'!$G45)/('Predicted PPIs'!S46+'Predicted PPIs'!S45)))*IF(H$36=".", 1, (H46/H45)^(('Summary, PPI''s'!$H46+'Summary, PPI''s'!$H45)/('Predicted PPIs'!S46+'Predicted PPIs'!S45)))*IF(I$36=".", 1, (I46/I45)^(('Summary, PPI''s'!$I46+'Summary, PPI''s'!$I45)/('Predicted PPIs'!S46+'Predicted PPIs'!S45)))*IF(J$36=".", 1, (J46/J45)^(('Summary, PPI''s'!$J46+'Summary, PPI''s'!$J45)/('Predicted PPIs'!S46+'Predicted PPIs'!S45)))*IF(K$36=".", 1, (K46/K45)^(('Summary, PPI''s'!$K46+'Summary, PPI''s'!$K45)/('Predicted PPIs'!S46+'Predicted PPIs'!S45)))*IF(L$36=".", 1, (L46/L45)^(('Summary, PPI''s'!$L46+'Summary, PPI''s'!$L45)/('Predicted PPIs'!S46+'Predicted PPIs'!S45)))*IF(M$36=".", 1, (M46/M45)^(('Summary, PPI''s'!$M46+'Summary, PPI''s'!$M45)/('Predicted PPIs'!S46+'Predicted PPIs'!S45)))*IF(B$36=".", 1, (B46/B45)^(('Summary, PPI''s'!$B46+'Summary, PPI''s'!$B45)/('Predicted PPIs'!S46+'Predicted PPIs'!S45)))*IF(C$36=".", 1, (C46/C45)^(('Summary, PPI''s'!$C46+'Summary, PPI''s'!$C45)/('Predicted PPIs'!S46+'Predicted PPIs'!S45)))*IF(D$36=".", 1, (D46/D45)^(('Summary, PPI''s'!$D46+'Summary, PPI''s'!$D45)/('Predicted PPIs'!S46+'Predicted PPIs'!S45)))*IF(N$36=".", 1, (N46/N45)^(('Summary, PPI''s'!$N46+'Summary, PPI''s'!$N45)/('Predicted PPIs'!S46+'Predicted PPIs'!S45)))*IF(O$36=".", 1, (O46/O45)^(('Summary, PPI''s'!$O46+'Summary, PPI''s'!$O45)/('Predicted PPIs'!S46+'Predicted PPIs'!S45)))*IF(P$36=".", 1, (P46/P45)^(('Summary, PPI''s'!$P46+'Summary, PPI''s'!$P45)/('Predicted PPIs'!S46+'Predicted PPIs'!S45)))</f>
        <v>#VALUE!</v>
      </c>
      <c r="AB46" s="4">
        <f>AB45*IF(E$46=".", 1, (E46/E45)^(('Summary, PPI''s'!$E46+'Summary, PPI''s'!$E45)/('Predicted PPIs'!T46+'Predicted PPIs'!T45)))*IF(F$46=".", 1, (F46/F45)^(('Summary, PPI''s'!$F46+'Summary, PPI''s'!$F45)/('Predicted PPIs'!T46+'Predicted PPIs'!T45)))*IF(G$46=".", 1, (G46/G45)^(('Summary, PPI''s'!$G46+'Summary, PPI''s'!$G45)/('Predicted PPIs'!T46+'Predicted PPIs'!T45)))*IF(H$46=".", 1, (H46/H45)^(('Summary, PPI''s'!$H46+'Summary, PPI''s'!$H45)/('Predicted PPIs'!T46+'Predicted PPIs'!T45)))*IF(I$46=".", 1, (I46/I45)^(('Summary, PPI''s'!$I46+'Summary, PPI''s'!$I45)/('Predicted PPIs'!T46+'Predicted PPIs'!T45)))*IF(J$46=".", 1, (J46/J45)^(('Summary, PPI''s'!$J46+'Summary, PPI''s'!$J45)/('Predicted PPIs'!T46+'Predicted PPIs'!T45)))*IF(K$46=".", 1, (K46/K45)^(('Summary, PPI''s'!$K46+'Summary, PPI''s'!$K45)/('Predicted PPIs'!T46+'Predicted PPIs'!T45)))*IF(L$46=".", 1, (L46/L45)^(('Summary, PPI''s'!$L46+'Summary, PPI''s'!$L45)/('Predicted PPIs'!T46+'Predicted PPIs'!T45)))*IF(M$46=".", 1, (M46/M45)^(('Summary, PPI''s'!$M46+'Summary, PPI''s'!$M45)/('Predicted PPIs'!T46+'Predicted PPIs'!T45)))*IF(B$46=".", 1, (B46/B45)^(('Summary, PPI''s'!$B46+'Summary, PPI''s'!$B45)/('Predicted PPIs'!T46+'Predicted PPIs'!T45)))*IF(C$46=".", 1, (C46/C45)^(('Summary, PPI''s'!$C46+'Summary, PPI''s'!$C45)/('Predicted PPIs'!T46+'Predicted PPIs'!T45)))*IF(D$46=".", 1, (D46/D45)^(('Summary, PPI''s'!$D46+'Summary, PPI''s'!$D45)/('Predicted PPIs'!T46+'Predicted PPIs'!T45)))*IF(N$46=".", 1, (N46/N45)^(('Summary, PPI''s'!$N46+'Summary, PPI''s'!$N45)/('Predicted PPIs'!T46+'Predicted PPIs'!T45)))*IF(O$46=".", 1, (O46/O45)^(('Summary, PPI''s'!$O46+'Summary, PPI''s'!$O45)/('Predicted PPIs'!T46+'Predicted PPIs'!T45)))*IF(P$46=".", 1, (P46/P45)^(('Summary, PPI''s'!$P46+'Summary, PPI''s'!$P45)/('Predicted PPIs'!T46+'Predicted PPIs'!T45)))</f>
        <v>21.572241814533829</v>
      </c>
      <c r="AC46" s="4">
        <f>AC45*IF(E$60=".",1,(E46/E45)^(('Summary, PPI''s'!$E46+'Summary, PPI''s'!$E45)/('Predicted PPIs'!U46+'Predicted PPIs'!U45)))*IF(F$60=".",1,(F46/F45)^(('Summary, PPI''s'!$F46+'Summary, PPI''s'!$F45)/('Predicted PPIs'!U46+'Predicted PPIs'!U45)))*IF(G$60=".",1,(G46/G45)^(('Summary, PPI''s'!$G46+'Summary, PPI''s'!$G45)/('Predicted PPIs'!U46+'Predicted PPIs'!U45)))*IF(H$60=".",1,(H46/H45)^(('Summary, PPI''s'!$H46+'Summary, PPI''s'!$H45)/('Predicted PPIs'!U46+'Predicted PPIs'!U45)))*IF(I$60=".",1,(I46/I45)^(('Summary, PPI''s'!$I46+'Summary, PPI''s'!$I45)/('Predicted PPIs'!U46+'Predicted PPIs'!U45)))*IF(J$60=".",1,(J46/J45)^(('Summary, PPI''s'!$J46+'Summary, PPI''s'!$J45)/('Predicted PPIs'!U46+'Predicted PPIs'!U45)))*IF(K$60=".",1,(K46/K45)^(('Summary, PPI''s'!$K46+'Summary, PPI''s'!$K45)/('Predicted PPIs'!U46+'Predicted PPIs'!U45)))*IF(L$60=".",1,(L46/L45)^(('Summary, PPI''s'!$L46+'Summary, PPI''s'!$L45)/('Predicted PPIs'!U46+'Predicted PPIs'!U45)))*IF(M$60=".",1,(M46/M45)^(('Summary, PPI''s'!$M46+'Summary, PPI''s'!$M45)/('Predicted PPIs'!U46+'Predicted PPIs'!U45)))*IF(B$60=".",1,(B46/B45)^(('Summary, PPI''s'!$B46+'Summary, PPI''s'!$B45)/('Predicted PPIs'!U46+'Predicted PPIs'!U45)))*IF(C$60=".",1,(C46/C45)^(('Summary, PPI''s'!$C46+'Summary, PPI''s'!$C45)/('Predicted PPIs'!U46+'Predicted PPIs'!U45)))*IF(D$60=".",1,(D46/D45)^(('Summary, PPI''s'!$D46+'Summary, PPI''s'!$D45)/('Predicted PPIs'!U46+'Predicted PPIs'!U45)))*IF(N$60=".",1,(N46/N45)^(('Summary, PPI''s'!$N46+'Summary, PPI''s'!$N45)/('Predicted PPIs'!U46+'Predicted PPIs'!U45)))*IF(O$60=".",1,(O46/O45)^(('Summary, PPI''s'!$O46+'Summary, PPI''s'!$O45)/('Predicted PPIs'!U46+'Predicted PPIs'!U45)))*IF(P$60=".",1,(P46/P45)^(('Summary, PPI''s'!$P46+'Summary, PPI''s'!$P45)/('Predicted PPIs'!U46+'Predicted PPIs'!U45)))</f>
        <v>23.09854934333547</v>
      </c>
      <c r="AD46" s="4">
        <f>AD45*IF(E$73=".", 1, (E46/E45)^(('Summary, PPI''s'!$E46+'Summary, PPI''s'!$E45)/('Predicted PPIs'!V46+'Predicted PPIs'!V45)))*IF(F$73=".", 1, (F46/F45)^(('Summary, PPI''s'!$F46+'Summary, PPI''s'!$F45)/('Predicted PPIs'!V46+'Predicted PPIs'!V45)))*IF(G$73=".", 1, (G46/G45)^(('Summary, PPI''s'!$G46+'Summary, PPI''s'!$G45)/('Predicted PPIs'!V46+'Predicted PPIs'!V45)))*IF(H$73=".", 1, (H46/H45)^(('Summary, PPI''s'!$H46+'Summary, PPI''s'!$H45)/('Predicted PPIs'!V46+'Predicted PPIs'!V45)))*IF(I$73=".", 1, (I46/I45)^(('Summary, PPI''s'!$I46+'Summary, PPI''s'!$I45)/('Predicted PPIs'!V46+'Predicted PPIs'!V45)))*IF(J$73=".", 1, (J46/J45)^(('Summary, PPI''s'!$J46+'Summary, PPI''s'!$J45)/('Predicted PPIs'!V46+'Predicted PPIs'!V45)))*IF(K$73=".", 1, (K46/K45)^(('Summary, PPI''s'!$K46+'Summary, PPI''s'!$K45)/('Predicted PPIs'!V46+'Predicted PPIs'!V45)))*IF(L$73=".", 1, (L46/L45)^(('Summary, PPI''s'!$L46+'Summary, PPI''s'!$L45)/('Predicted PPIs'!V46+'Predicted PPIs'!V45)))*IF(M$73=".", 1, (M46/M45)^(('Summary, PPI''s'!$M46+'Summary, PPI''s'!$M45)/('Predicted PPIs'!V46+'Predicted PPIs'!V45)))*IF(B$73=".", 1, (B46/B45)^(('Summary, PPI''s'!$B46+'Summary, PPI''s'!$B45)/('Predicted PPIs'!V46+'Predicted PPIs'!V45)))*IF(C$73=".", 1, (C46/C45)^(('Summary, PPI''s'!$C46+'Summary, PPI''s'!$C45)/('Predicted PPIs'!V46+'Predicted PPIs'!V45)))*IF(D$73=".", 1, (D46/D45)^(('Summary, PPI''s'!$D46+'Summary, PPI''s'!$D45)/('Predicted PPIs'!V46+'Predicted PPIs'!V45)))*IF(N$73=".", 1, (N46/N45)^(('Summary, PPI''s'!$N46+'Summary, PPI''s'!$N45)/('Predicted PPIs'!V46+'Predicted PPIs'!V45)))*IF(O$73=".", 1, (O46/O45)^(('Summary, PPI''s'!$O46+'Summary, PPI''s'!$O45)/('Predicted PPIs'!V46+'Predicted PPIs'!V45)))*IF(P$73=".", 1, (P46/P45)^(('Summary, PPI''s'!$P46+'Summary, PPI''s'!$P45)/('Predicted PPIs'!V46+'Predicted PPIs'!V45)))</f>
        <v>21.811114504528941</v>
      </c>
      <c r="AE46" s="4">
        <f>AE45*IF(E$94=".", 1, (E46/E45)^(('Summary, PPI''s'!$E46+'Summary, PPI''s'!$E45)/('Predicted PPIs'!W46+'Predicted PPIs'!W45)))*IF(F$94=".", 1, (F46/F45)^(('Summary, PPI''s'!$F46+'Summary, PPI''s'!$F45)/('Predicted PPIs'!W46+'Predicted PPIs'!W45)))*IF(G$94=".", 1, (G46/G45)^(('Summary, PPI''s'!$G46+'Summary, PPI''s'!$G45)/('Predicted PPIs'!W46+'Predicted PPIs'!W45)))*IF(H$94=".", 1, (H46/H45)^(('Summary, PPI''s'!$H46+'Summary, PPI''s'!$H45)/('Predicted PPIs'!W46+'Predicted PPIs'!W45)))*IF(I$94=".", 1, (I46/I45)^(('Summary, PPI''s'!$I46+'Summary, PPI''s'!$I45)/('Predicted PPIs'!W46+'Predicted PPIs'!W45)))*IF(J$94=".", 1, (J46/J45)^(('Summary, PPI''s'!$J46+'Summary, PPI''s'!$J45)/('Predicted PPIs'!W46+'Predicted PPIs'!W45)))*IF(K$94=".", 1, (K46/K45)^(('Summary, PPI''s'!$K46+'Summary, PPI''s'!$K45)/('Predicted PPIs'!W46+'Predicted PPIs'!W45)))*IF(L$94=".", 1, (L46/L45)^(('Summary, PPI''s'!$L46+'Summary, PPI''s'!$L45)/('Predicted PPIs'!W46+'Predicted PPIs'!W45)))*IF(M$94=".", 1, (M46/M45)^(('Summary, PPI''s'!$M46+'Summary, PPI''s'!$M45)/('Predicted PPIs'!W46+'Predicted PPIs'!W45)))*IF(B$94=".", 1, (B46/B45)^(('Summary, PPI''s'!$B46+'Summary, PPI''s'!$B45)/('Predicted PPIs'!W46+'Predicted PPIs'!W45)))*IF(C$94=".", 1, (C46/C45)^(('Summary, PPI''s'!$C46+'Summary, PPI''s'!$C45)/('Predicted PPIs'!W46+'Predicted PPIs'!W45)))*IF(D$94=".", 1, (D46/D45)^(('Summary, PPI''s'!$D46+'Summary, PPI''s'!$D45)/('Predicted PPIs'!W46+'Predicted PPIs'!W45)))*IF(N$94=".", 1, (N46/N45)^(('Summary, PPI''s'!$N46+'Summary, PPI''s'!$N45)/('Predicted PPIs'!W46+'Predicted PPIs'!W45)))*IF(O$94=".", 1, (O46/O45)^(('Summary, PPI''s'!$O46+'Summary, PPI''s'!$O45)/('Predicted PPIs'!W46+'Predicted PPIs'!W45)))*IF(P$94=".", 1, (P46/P45)^(('Summary, PPI''s'!$P46+'Summary, PPI''s'!$P45)/('Predicted PPIs'!W46+'Predicted PPIs'!W45)))</f>
        <v>19.449305006769674</v>
      </c>
      <c r="AF46" s="4">
        <f>AF45*IF(E$123=".", 1, (E46/E45)^(('Summary, PPI''s'!$E46+'Summary, PPI''s'!$E45)/('Predicted PPIs'!X46+'Predicted PPIs'!X45)))*IF(F$123=".", 1, (F46/F45)^(('Summary, PPI''s'!$F46+'Summary, PPI''s'!$F45)/('Predicted PPIs'!X46+'Predicted PPIs'!X45)))*IF(G$123=".", 1, (G46/G45)^(('Summary, PPI''s'!$G46+'Summary, PPI''s'!$G45)/('Predicted PPIs'!X46+'Predicted PPIs'!X45)))*IF(H$123=".", 1, (H46/H45)^(('Summary, PPI''s'!$H46+'Summary, PPI''s'!$H45)/('Predicted PPIs'!X46+'Predicted PPIs'!X45)))*IF(I$123=".", 1, (I46/I45)^(('Summary, PPI''s'!$I46+'Summary, PPI''s'!$I45)/('Predicted PPIs'!X46+'Predicted PPIs'!X45)))*IF(J$123=".", 1, (J46/J45)^(('Summary, PPI''s'!$J46+'Summary, PPI''s'!$J45)/('Predicted PPIs'!X46+'Predicted PPIs'!X45)))*IF(K$123=".", 1, (K46/K45)^(('Summary, PPI''s'!$K46+'Summary, PPI''s'!$K45)/('Predicted PPIs'!X46+'Predicted PPIs'!X45)))*IF(L$123=".", 1, (L46/L45)^(('Summary, PPI''s'!$L46+'Summary, PPI''s'!$L45)/('Predicted PPIs'!X46+'Predicted PPIs'!X45)))*IF(M$123=".", 1, (M46/M45)^(('Summary, PPI''s'!$M46+'Summary, PPI''s'!$M45)/('Predicted PPIs'!X46+'Predicted PPIs'!X45)))*IF(B$123=".", 1, (B46/B45)^(('Summary, PPI''s'!$B46+'Summary, PPI''s'!$B45)/('Predicted PPIs'!X46+'Predicted PPIs'!X45)))*IF(C$123=".", 1, (C46/C45)^(('Summary, PPI''s'!$C46+'Summary, PPI''s'!$C45)/('Predicted PPIs'!X46+'Predicted PPIs'!X45)))*IF(D$123=".", 1, (D46/D45)^(('Summary, PPI''s'!$D46+'Summary, PPI''s'!$D45)/('Predicted PPIs'!X46+'Predicted PPIs'!X45)))*IF(N$123=".", 1, (N46/N45)^(('Summary, PPI''s'!$N46+'Summary, PPI''s'!$N45)/('Predicted PPIs'!X46+'Predicted PPIs'!X45)))*IF(O$123=".", 1, (O46/O45)^(('Summary, PPI''s'!$O46+'Summary, PPI''s'!$O45)/('Predicted PPIs'!X46+'Predicted PPIs'!X45)))*IF(P$123=".", 1, (P46/P45)^(('Summary, PPI''s'!$P46+'Summary, PPI''s'!$P45)/('Predicted PPIs'!X46+'Predicted PPIs'!X45)))</f>
        <v>17.958135032344444</v>
      </c>
      <c r="AH46" s="13">
        <f t="shared" si="91"/>
        <v>25.540721104776832</v>
      </c>
      <c r="AJ46" s="4">
        <v>1274</v>
      </c>
      <c r="AK46" s="4">
        <v>-1.161</v>
      </c>
      <c r="AL46" s="4">
        <v>-121.336</v>
      </c>
      <c r="AM46" s="4">
        <v>-4.3689999999999998</v>
      </c>
      <c r="AN46" s="4">
        <v>1679.2</v>
      </c>
      <c r="AO46" s="4">
        <v>371.5</v>
      </c>
      <c r="AP46" s="4">
        <f>('[3]1977'!$I$14+'[3]1977'!$I$69+'[3]1977'!$I$71-'[3]1977'!$I$73)*0.001</f>
        <v>-19.385999999999999</v>
      </c>
      <c r="AQ46" s="4">
        <f>('[3]1977'!$AY$56+'[3]1977'!$AY$69+'[3]1977'!$AY$71-'[3]1977'!$AY$73)*0.001</f>
        <v>-57.622</v>
      </c>
      <c r="AR46" s="4">
        <f>AR$38*5476/23762</f>
        <v>-2.5782967763656259</v>
      </c>
      <c r="AS46" s="4">
        <v>-8.5839999999999996</v>
      </c>
      <c r="AT46" s="4">
        <v>31.922999999999998</v>
      </c>
      <c r="AU46" s="4">
        <v>42.725999999999999</v>
      </c>
      <c r="AV46" s="4">
        <v>24.940999999999999</v>
      </c>
      <c r="AW46" s="4">
        <v>24.821000000000002</v>
      </c>
      <c r="AX46" s="4">
        <v>33.500999999999998</v>
      </c>
      <c r="AY46" s="4">
        <v>46.55</v>
      </c>
      <c r="AZ46" s="4">
        <v>21.401</v>
      </c>
      <c r="BA46" s="4">
        <v>33.168999999999997</v>
      </c>
      <c r="BB46" s="4">
        <f>BB$38*175.408/184.05</f>
        <v>98.144612007606625</v>
      </c>
      <c r="BC46" s="4">
        <v>40.378</v>
      </c>
      <c r="BG46" s="4">
        <f t="shared" si="50"/>
        <v>38.479189140154453</v>
      </c>
      <c r="BI46" s="4">
        <f>BI$13*'[2]Ordinary Experience'!$D$380/'[2]Ordinary Experience'!$D$413</f>
        <v>219495514.48959294</v>
      </c>
      <c r="BJ46" s="4">
        <f>'[2]Ordinary Experience'!$E$380</f>
        <v>24.228658319039003</v>
      </c>
      <c r="BL46" s="4">
        <f t="shared" si="90"/>
        <v>58.375553718037509</v>
      </c>
      <c r="BM46" s="4">
        <f t="shared" si="34"/>
        <v>5.4723358515473386E-2</v>
      </c>
      <c r="BO46" s="4">
        <f>IF(OR('Summary, hourly ad costs'!R46=-9999,'Summary, PPI''s'!R46="."),".",(('Summary, hourly ad costs'!B46/'Summary, hourly ad costs'!R46)*100/('Summary, hourly ad costs'!B$11/'Summary, hourly ad costs'!R$11))/('Summary, PPI''s'!R46))</f>
        <v>1.1655667743602305</v>
      </c>
      <c r="BP46" s="4" t="str">
        <f>IF(OR('Summary, hourly ad costs'!S46=-9999,'Summary, PPI''s'!S46="."),".",(('Summary, hourly ad costs'!C46/'Summary, hourly ad costs'!S46)*100/('Summary, hourly ad costs'!C$11/'Summary, hourly ad costs'!S$11))/('Summary, PPI''s'!S46))</f>
        <v>.</v>
      </c>
      <c r="BQ46" s="4" t="str">
        <f>IF(OR('Summary, hourly ad costs'!T46=-9999,'Summary, PPI''s'!T46="."),".",(('Summary, hourly ad costs'!D46/'Summary, hourly ad costs'!T46)*100/('Summary, hourly ad costs'!D$11/'Summary, hourly ad costs'!T$11))/('Summary, PPI''s'!T46))</f>
        <v>.</v>
      </c>
      <c r="BR46" s="4">
        <f>IF(OR('Summary, hourly ad costs'!U46=-9999,'Summary, PPI''s'!U46="."),".",(('Summary, hourly ad costs'!E46/'Summary, hourly ad costs'!U46)*100/('Summary, hourly ad costs'!E$11/'Summary, hourly ad costs'!U$11))/('Summary, PPI''s'!U46))</f>
        <v>2.0111231254570185</v>
      </c>
      <c r="BS46" s="4">
        <f>IF(OR('Summary, hourly ad costs'!V46=-9999,'Summary, PPI''s'!V46="."),".",(('Summary, hourly ad costs'!F46/'Summary, hourly ad costs'!V46)*100/('Summary, hourly ad costs'!F$11/'Summary, hourly ad costs'!V$11))/('Summary, PPI''s'!V46))</f>
        <v>2.0847026054856403</v>
      </c>
      <c r="BT46" s="4" t="str">
        <f>IF(OR('Summary, hourly ad costs'!W46=-9999,'Summary, PPI''s'!W46="."),".",(('Summary, hourly ad costs'!G46/'Summary, hourly ad costs'!W46)*100/('Summary, hourly ad costs'!G$11/'Summary, hourly ad costs'!W$11))/('Summary, PPI''s'!W46))</f>
        <v>.</v>
      </c>
      <c r="BU46" s="4">
        <f>IF(OR('Summary, hourly ad costs'!X46=-9999,'Summary, PPI''s'!X46="."),".",(('Summary, hourly ad costs'!H46/'Summary, hourly ad costs'!X46)*100/('Summary, hourly ad costs'!H$11/'Summary, hourly ad costs'!X$11))/('Summary, PPI''s'!X46))</f>
        <v>1.113135114383875</v>
      </c>
      <c r="BV46" s="4">
        <f>IF(OR('Summary, hourly ad costs'!Y46=-9999,'Summary, PPI''s'!Y46="."),".",(('Summary, hourly ad costs'!I46/'Summary, hourly ad costs'!Y46)*100/('Summary, hourly ad costs'!I$11/'Summary, hourly ad costs'!Y$11))/('Summary, PPI''s'!Y46))</f>
        <v>0.72394879669872403</v>
      </c>
      <c r="BW46" s="4">
        <f>IF(OR('Summary, hourly ad costs'!Z46=-9999,'Summary, PPI''s'!Z46="."),".",(('Summary, hourly ad costs'!J46/'Summary, hourly ad costs'!Z46)*100/('Summary, hourly ad costs'!J$11/'Summary, hourly ad costs'!Z$11))/('Summary, PPI''s'!Z46))</f>
        <v>0.58859533770312289</v>
      </c>
      <c r="BX46" s="4" t="str">
        <f>IF(OR('Summary, hourly ad costs'!AA46=-9999,'Summary, PPI''s'!AA46="."),".",(('Summary, hourly ad costs'!K46/'Summary, hourly ad costs'!AA46)*100/('Summary, hourly ad costs'!K$11/'Summary, hourly ad costs'!AA$11))/('Summary, PPI''s'!AA46))</f>
        <v>.</v>
      </c>
      <c r="BY46" s="4" t="str">
        <f>IF(OR('Summary, hourly ad costs'!AB46=-9999,'Summary, PPI''s'!AB46="."),".",(('Summary, hourly ad costs'!L46/'Summary, hourly ad costs'!AB46)*100/('Summary, hourly ad costs'!L$11/'Summary, hourly ad costs'!AB$11))/('Summary, PPI''s'!AB46))</f>
        <v>.</v>
      </c>
      <c r="BZ46" s="4" t="str">
        <f>IF(OR('Summary, hourly ad costs'!AC46=-9999,'Summary, PPI''s'!AC46="."),".",(('Summary, hourly ad costs'!M46/'Summary, hourly ad costs'!AC46)*100/('Summary, hourly ad costs'!M$11/'Summary, hourly ad costs'!AC$11))/('Summary, PPI''s'!AC46))</f>
        <v>.</v>
      </c>
      <c r="CA46" s="4" t="str">
        <f>IF(OR('Summary, hourly ad costs'!AD46=-9999,'Summary, PPI''s'!AD46="."),".",(('Summary, hourly ad costs'!N46/'Summary, hourly ad costs'!AD46)*100/('Summary, hourly ad costs'!N$11/'Summary, hourly ad costs'!AD$11))/('Summary, PPI''s'!AD46))</f>
        <v>.</v>
      </c>
      <c r="CB46" s="4" t="str">
        <f>IF(OR('Summary, hourly ad costs'!AE46=-9999,'Summary, PPI''s'!AE46="."),".",(('Summary, hourly ad costs'!O46/'Summary, hourly ad costs'!AE46)*100/('Summary, hourly ad costs'!O$11/'Summary, hourly ad costs'!AE$11))/('Summary, PPI''s'!AE46))</f>
        <v>.</v>
      </c>
      <c r="CC46" s="4" t="str">
        <f>IF(OR('Summary, hourly ad costs'!AF46=-9999,'Summary, PPI''s'!AF46="."),".",(('Summary, hourly ad costs'!P46/'Summary, hourly ad costs'!AF46)*100/('Summary, hourly ad costs'!P$11/'Summary, hourly ad costs'!AF$11))/('Summary, PPI''s'!AF46))</f>
        <v>.</v>
      </c>
      <c r="CE46" s="4">
        <f t="shared" ref="CE46:CE59" si="113">IF(OR(BO46=".",BO47="."), ".", BO46/BO47-1)</f>
        <v>-8.3954207331725539E-2</v>
      </c>
      <c r="CF46" s="4" t="str">
        <f t="shared" ref="CF46:CF59" si="114">IF(OR(BP46=".",BP47="."), ".", BP46/BP47-1)</f>
        <v>.</v>
      </c>
      <c r="CG46" s="4" t="str">
        <f t="shared" ref="CG46:CG59" si="115">IF(OR(BQ46=".",BQ47="."), ".", BQ46/BQ47-1)</f>
        <v>.</v>
      </c>
      <c r="CH46" s="4">
        <f t="shared" ref="CH46:CH59" si="116">IF(OR(BR46=".",BR47="."), ".", BR46/BR47-1)</f>
        <v>1.8594832633053837E-2</v>
      </c>
      <c r="CI46" s="4">
        <f t="shared" ref="CI46:CI59" si="117">IF(OR(BS46=".",BS47="."), ".", BS46/BS47-1)</f>
        <v>0.14054418800512858</v>
      </c>
      <c r="CJ46" s="4" t="str">
        <f t="shared" ref="CJ46:CJ59" si="118">IF(OR(BT46=".",BT47="."), ".", BT46/BT47-1)</f>
        <v>.</v>
      </c>
      <c r="CK46" s="4">
        <f t="shared" ref="CK46:CK59" si="119">IF(OR(BU46=".",BU47="."), ".", BU46/BU47-1)</f>
        <v>-1.7947937129281222E-5</v>
      </c>
      <c r="CL46" s="4">
        <f>_xlfn.FORECAST.LINEAR($BM46,CL$24:CL$45,$BM$24:$BM$45)</f>
        <v>4.0205791466246754E-2</v>
      </c>
      <c r="CM46" s="4">
        <f>_xlfn.FORECAST.LINEAR($BM46,CM$24:CM$45,$BM$24:$BM$45)</f>
        <v>3.2501928715007608E-2</v>
      </c>
      <c r="CN46" s="4">
        <f t="shared" si="89"/>
        <v>2.6162799535038424E-2</v>
      </c>
      <c r="CO46" s="4">
        <f t="shared" ref="CO46:CP77" si="120">_xlfn.FORECAST.LINEAR($BM46,CO$4:CO$12,$BM$4:$BM$12)</f>
        <v>0.35368942964898015</v>
      </c>
      <c r="CP46" s="4">
        <f t="shared" si="120"/>
        <v>4.5983943331735611E-2</v>
      </c>
      <c r="CQ46" s="4" t="str">
        <f t="shared" si="110"/>
        <v>.</v>
      </c>
      <c r="CR46" s="4" t="str">
        <f t="shared" si="111"/>
        <v>.</v>
      </c>
      <c r="CS46" s="4" t="str">
        <f t="shared" si="112"/>
        <v>.</v>
      </c>
      <c r="CU46" s="5">
        <f>IF(CU45=".", ".", IF('Summary, PPI''s'!R46=".",IF(OR('Summary, hourly ad costs'!R46=-9999,'Summary, hourly ad costs'!R46=0), ".", 'Predicted PPIs'!CU45*('Summary, hourly ad costs'!B46/'Summary, hourly ad costs'!R46)/('Summary, hourly ad costs'!B45/'Summary, hourly ad costs'!R45)/(1-CE45)), 'Summary, PPI''s'!R46))</f>
        <v>40.709639758342902</v>
      </c>
      <c r="CV46" s="5">
        <f>IF(CV45=".", ".", IF('Summary, PPI''s'!S46=".",IF(OR('Summary, hourly ad costs'!S46=-9999,'Summary, hourly ad costs'!S46=0), ".", 'Predicted PPIs'!CV45*('Summary, hourly ad costs'!C46/'Summary, hourly ad costs'!S46)/('Summary, hourly ad costs'!C45/'Summary, hourly ad costs'!S45)/(1-CF45)), 'Summary, PPI''s'!S46))</f>
        <v>40.709639758342902</v>
      </c>
      <c r="CW46" s="5">
        <f>IF(CW45=".", ".", IF('Summary, PPI''s'!T46=".",IF(OR('Summary, hourly ad costs'!T46=-9999,'Summary, hourly ad costs'!T46=0), ".", 'Predicted PPIs'!CW45*('Summary, hourly ad costs'!D46/'Summary, hourly ad costs'!T46)/('Summary, hourly ad costs'!D45/'Summary, hourly ad costs'!T45)/(1-CG45)), 'Summary, PPI''s'!T46))</f>
        <v>35.785350104641616</v>
      </c>
      <c r="CX46" s="5">
        <f>IF(CX45=".", ".", IF('Summary, PPI''s'!U46=".",IF(OR('Summary, hourly ad costs'!U46=-9999,'Summary, hourly ad costs'!U46=0), ".", 'Predicted PPIs'!CX45*('Summary, hourly ad costs'!E46/'Summary, hourly ad costs'!U46)/('Summary, hourly ad costs'!E45/'Summary, hourly ad costs'!U45)/(1-CH45)), 'Summary, PPI''s'!U46))</f>
        <v>16.082437818790698</v>
      </c>
      <c r="CY46" s="5">
        <f>IF(CY45=".", ".", IF('Summary, PPI''s'!V46=".",IF(OR('Summary, hourly ad costs'!V46=-9999,'Summary, hourly ad costs'!V46=0), ".", 'Predicted PPIs'!CY45*('Summary, hourly ad costs'!F46/'Summary, hourly ad costs'!V46)/('Summary, hourly ad costs'!F45/'Summary, hourly ad costs'!V45)/(1-CI45)), 'Summary, PPI''s'!V46))</f>
        <v>17.185385247269714</v>
      </c>
      <c r="CZ46" s="5">
        <f>IF(CZ45=".", ".", IF('Summary, PPI''s'!W46=".",IF(OR('Summary, hourly ad costs'!W46=-9999,'Summary, hourly ad costs'!W46=0), ".", 'Predicted PPIs'!CZ45*('Summary, hourly ad costs'!G46/'Summary, hourly ad costs'!W46)/('Summary, hourly ad costs'!G45/'Summary, hourly ad costs'!W45)/(1-CJ45)), 'Summary, PPI''s'!W46))</f>
        <v>20.648633994324701</v>
      </c>
      <c r="DA46" s="5">
        <f>IF(DA45=".", ".", IF('Summary, PPI''s'!X46=".",IF(OR('Summary, hourly ad costs'!X46=-9999,'Summary, hourly ad costs'!X46=0), ".", 'Predicted PPIs'!DA45*('Summary, hourly ad costs'!H46/'Summary, hourly ad costs'!X46)/('Summary, hourly ad costs'!H45/'Summary, hourly ad costs'!X45)/(1-CK45)), 'Summary, PPI''s'!X46))</f>
        <v>24.844000000000001</v>
      </c>
      <c r="DB46" s="5">
        <f>IF(DB45=".", ".", IF('Summary, PPI''s'!Y46=".",IF(OR('Summary, hourly ad costs'!Y46=-9999,'Summary, hourly ad costs'!Y46=0), ".", 'Predicted PPIs'!DB45*('Summary, hourly ad costs'!I46/'Summary, hourly ad costs'!Y46)/('Summary, hourly ad costs'!I45/'Summary, hourly ad costs'!Y45)/(1-CL45)), 'Summary, PPI''s'!Y46))</f>
        <v>24.14094727118778</v>
      </c>
      <c r="DC46" s="5">
        <f>IF(DC45=".", ".", IF('Summary, PPI''s'!Z46=".",IF(OR('Summary, hourly ad costs'!Z46=-9999,'Summary, hourly ad costs'!Z46=0), ".", 'Predicted PPIs'!DC45*('Summary, hourly ad costs'!J46/'Summary, hourly ad costs'!Z46)/('Summary, hourly ad costs'!J45/'Summary, hourly ad costs'!Z45)/(1-CM45)), 'Summary, PPI''s'!Z46))</f>
        <v>25.880725010988506</v>
      </c>
      <c r="DD46" s="10">
        <f>DD45*DC46/DC45</f>
        <v>12.015895170409356</v>
      </c>
      <c r="DE46" s="5" t="str">
        <f>IF(DE45=".", ".", IF('Summary, PPI''s'!AB46=".",IF(OR('Summary, hourly ad costs'!AB46=-9999,'Summary, hourly ad costs'!AB46=0), ".", 'Predicted PPIs'!DE45*('Summary, hourly ad costs'!L46/'Summary, hourly ad costs'!AB46)/('Summary, hourly ad costs'!L45/'Summary, hourly ad costs'!AB45)/(1-CO45)), 'Summary, PPI''s'!AB46))</f>
        <v>.</v>
      </c>
      <c r="DF46" s="5" t="str">
        <f>IF(DF45=".", ".", IF('Summary, PPI''s'!AC46=".",IF(OR('Summary, hourly ad costs'!AC46=-9999,'Summary, hourly ad costs'!AC46=0), ".", 'Predicted PPIs'!DF45*('Summary, hourly ad costs'!M46/'Summary, hourly ad costs'!AC46)/('Summary, hourly ad costs'!M45/'Summary, hourly ad costs'!AC45)/(1-CP45)), 'Summary, PPI''s'!AC46))</f>
        <v>.</v>
      </c>
      <c r="DG46" s="5" t="str">
        <f>IF(DG45=".", ".", IF('Summary, PPI''s'!AD46=".",IF(OR('Summary, hourly ad costs'!AD46=-9999,'Summary, hourly ad costs'!AD46=0), ".", 'Predicted PPIs'!DG45*('Summary, hourly ad costs'!N46/'Summary, hourly ad costs'!AD46)/('Summary, hourly ad costs'!N45/'Summary, hourly ad costs'!AD45)/(1-CQ45)), 'Summary, PPI''s'!AD46))</f>
        <v>.</v>
      </c>
      <c r="DH46" s="5">
        <f>IF(DH45=".", ".", IF('Summary, PPI''s'!AE46=".",IF(OR('Summary, hourly ad costs'!AE46=-9999,'Summary, hourly ad costs'!AE46=0), ".", 'Predicted PPIs'!DH45*('Summary, hourly ad costs'!O46/'Summary, hourly ad costs'!AE46)/('Summary, hourly ad costs'!O45/'Summary, hourly ad costs'!AE45)/(1-CR45)), 'Summary, PPI''s'!AE46))</f>
        <v>23.88084831618373</v>
      </c>
      <c r="DI46" s="5" t="str">
        <f>IF(DI45=".", ".", IF('Summary, PPI''s'!AF46=".",IF(OR('Summary, hourly ad costs'!AF46=-9999,'Summary, hourly ad costs'!AF46=0), ".", 'Predicted PPIs'!DI45*('Summary, hourly ad costs'!P46/'Summary, hourly ad costs'!AF46)/('Summary, hourly ad costs'!P45/'Summary, hourly ad costs'!AF45)/(1-CS45)), 'Summary, PPI''s'!AF46))</f>
        <v>.</v>
      </c>
      <c r="DK46" s="4">
        <v>14.724</v>
      </c>
      <c r="DM46" s="5">
        <f t="shared" ref="DM46:DM59" si="121">IF(OR(CU46=".", CU47="."), ".",(CU46/$DK46)/(CU47/$DK47)-1)</f>
        <v>1.2020622348143384E-3</v>
      </c>
      <c r="DN46" s="5">
        <f t="shared" ref="DN46:DN59" si="122">IF(OR(CV46=".", CV47="."), ".",(CV46/$DK46)/(CV47/$DK47)-1)</f>
        <v>1.2020622348143384E-3</v>
      </c>
      <c r="DO46" s="4">
        <f t="shared" ref="DO46:DO77" si="123">_xlfn.FORECAST.LINEAR($BM46,DO$4:DO$45,$BM$4:$BM$45)</f>
        <v>-2.2466997719908493E-2</v>
      </c>
      <c r="DP46" s="5">
        <f t="shared" ref="DP46:DP59" si="124">IF(OR(CX46=".", CX47="."), ".",(CX46/$DK46)/(CX47/$DK47)-1)</f>
        <v>2.1736930878783367E-2</v>
      </c>
      <c r="DQ46" s="5">
        <f t="shared" ref="DQ46:DQ59" si="125">IF(OR(CY46=".", CY47="."), ".",(CY46/$DK46)/(CY47/$DK47)-1)</f>
        <v>-3.7782876154112577E-2</v>
      </c>
      <c r="DR46" s="5">
        <f t="shared" ref="DR46:DR59" si="126">IF(OR(CZ46=".", CZ47="."), ".",(CZ46/$DK46)/(CZ47/$DK47)-1)</f>
        <v>4.5842831043123589E-3</v>
      </c>
      <c r="DS46" s="5">
        <f t="shared" ref="DS46:DS59" si="127">IF(OR(DA46=".", DA47="."), ".",(DA46/$DK46)/(DA47/$DK47)-1)</f>
        <v>-2.0981889974387991E-2</v>
      </c>
      <c r="DT46" s="5">
        <f t="shared" ref="DT46:DT59" si="128">IF(OR(DB46=".", DB47="."), ".",(DB46/$DK46)/(DB47/$DK47)-1)</f>
        <v>-1.299604955703082E-2</v>
      </c>
      <c r="DU46" s="5">
        <f t="shared" ref="DU46:DU59" si="129">IF(OR(DC46=".", DC47="."), ".",(DC46/$DK46)/(DC47/$DK47)-1)</f>
        <v>-1.367402074087698E-2</v>
      </c>
      <c r="DV46" s="4">
        <f>_xlfn.FORECAST.LINEAR($BM46,DV$4:DV$45,$BM$4:$BM$45)</f>
        <v>-1.1896929753143666E-3</v>
      </c>
      <c r="DW46" s="4">
        <f t="shared" si="78"/>
        <v>-0.17677191224911359</v>
      </c>
      <c r="DX46" s="4">
        <f t="shared" si="78"/>
        <v>0.15208029472380052</v>
      </c>
      <c r="DY46" s="4">
        <f t="shared" si="108"/>
        <v>-1.313910548892994E-2</v>
      </c>
      <c r="DZ46" s="4">
        <f>_xlfn.FORECAST.LINEAR($BM46,DZ$4:DZ$45,$BM$4:$BM$45)</f>
        <v>-6.1267659978722017E-3</v>
      </c>
      <c r="EA46" s="4">
        <f t="shared" si="109"/>
        <v>-7.595824076533822E-3</v>
      </c>
      <c r="EC46" s="1">
        <f t="shared" si="93"/>
        <v>40.709639758342902</v>
      </c>
      <c r="ED46" s="1">
        <f t="shared" si="94"/>
        <v>40.709639758342902</v>
      </c>
      <c r="EE46" s="1">
        <f t="shared" si="95"/>
        <v>35.785350104641616</v>
      </c>
      <c r="EF46" s="1">
        <f t="shared" si="96"/>
        <v>16.082437818790698</v>
      </c>
      <c r="EG46" s="1">
        <f t="shared" si="97"/>
        <v>17.185385247269714</v>
      </c>
      <c r="EH46" s="1">
        <f t="shared" si="98"/>
        <v>20.648633994324701</v>
      </c>
      <c r="EI46" s="1">
        <f t="shared" si="99"/>
        <v>24.844000000000001</v>
      </c>
      <c r="EJ46" s="1">
        <f t="shared" si="100"/>
        <v>24.14094727118778</v>
      </c>
      <c r="EK46" s="1">
        <f t="shared" si="101"/>
        <v>25.880725010988506</v>
      </c>
      <c r="EL46" s="1">
        <f t="shared" si="102"/>
        <v>12.015895170409356</v>
      </c>
      <c r="EM46" s="1">
        <f t="shared" si="103"/>
        <v>20.782534018608015</v>
      </c>
      <c r="EN46" s="1">
        <f t="shared" si="104"/>
        <v>13.325708197265712</v>
      </c>
      <c r="EO46" s="1">
        <f t="shared" si="105"/>
        <v>19.827188955625999</v>
      </c>
      <c r="EP46" s="1">
        <f t="shared" si="106"/>
        <v>23.88084831618373</v>
      </c>
      <c r="EQ46" s="1">
        <f t="shared" si="107"/>
        <v>18.206951575281312</v>
      </c>
      <c r="ES46" s="1">
        <f>IF(EF$26=".", 0, 'Summary, PPI''s'!E46)+IF(EG$26=".", 0, 'Summary, PPI''s'!F46)+IF(EH$26=".", 0, 'Summary, PPI''s'!G46)+IF(EI$26=".", 0, 'Summary, PPI''s'!H46)+IF(EJ$26=".", 0, 'Summary, PPI''s'!I46)+IF(EK$26=".", 0, 'Summary, PPI''s'!J46)+IF(EL$26=".", 0, 'Summary, PPI''s'!K46)+IF(EM$26=".", 0, 'Summary, PPI''s'!L46)+IF(EN$26=".", 0, 'Summary, PPI''s'!M46)+IF(EC$26=".", 0, 'Summary, PPI''s'!B46)+IF(ED$26=".", 0, 'Summary, PPI''s'!C46)+IF(EE$26=".", 0, 'Summary, PPI''s'!D46)+IF(EO$26=".", 0, 'Summary, PPI''s'!N46)+IF(EP$26=".", 0, 'Summary, PPI''s'!O46)+IF(EQ$26=".", 0, 'Summary, PPI''s'!P46)</f>
        <v>37619458.915163048</v>
      </c>
      <c r="ET46" s="1">
        <f>'Summary, hourly ad costs'!E46+'Summary, hourly ad costs'!F46+'Summary, hourly ad costs'!H46+'Summary, hourly ad costs'!I46+'Summary, hourly ad costs'!J46+'Summary, hourly ad costs'!K46+'Summary, hourly ad costs'!L46+'Summary, hourly ad costs'!M46+'Summary, hourly ad costs'!B46</f>
        <v>21203938.5229389</v>
      </c>
      <c r="EV46" s="13">
        <f>EV45*IF(EF$26=".", 1, (EF46/EF45)^(('Summary, PPI''s'!$E46+'Summary, PPI''s'!$E45)/('Predicted PPIs'!ES46+'Predicted PPIs'!ES45)))*IF(EG$26=".", 1, (EG46/EG45)^(('Summary, PPI''s'!$F46+'Summary, PPI''s'!$F45)/('Predicted PPIs'!ES46+'Predicted PPIs'!ES45)))*IF(EH$26=".", 1, (EH46/EH45)^(('Summary, PPI''s'!$G46+'Summary, PPI''s'!$G45)/('Predicted PPIs'!ES46+'Predicted PPIs'!ES45)))*IF(EI$26=".", 1, (EI46/EI45)^(('Summary, PPI''s'!$H46+'Summary, PPI''s'!$H45)/('Predicted PPIs'!ES46+'Predicted PPIs'!ES45)))*IF(EJ$26=".", 1, (EJ46/EJ45)^(('Summary, PPI''s'!$I46+'Summary, PPI''s'!$I45)/('Predicted PPIs'!ES46+'Predicted PPIs'!ES45)))*IF(EK$26=".", 1, (EK46/EK45)^(('Summary, PPI''s'!$J46+'Summary, PPI''s'!$J45)/('Predicted PPIs'!ES46+'Predicted PPIs'!ES45)))*IF(EL$26=".", 1, (EL46/EL45)^(('Summary, PPI''s'!$K46+'Summary, PPI''s'!$K45)/('Predicted PPIs'!ES46+'Predicted PPIs'!ES45)))*IF(EM$26=".", 1, (EM46/EM45)^(('Summary, PPI''s'!$L46+'Summary, PPI''s'!$L45)/('Predicted PPIs'!ES46+'Predicted PPIs'!ES45)))*IF(EN$26=".", 1, (EN46/EN45)^(('Summary, PPI''s'!$M46+'Summary, PPI''s'!$M45)/('Predicted PPIs'!ES46+'Predicted PPIs'!ES45)))*IF(EC$26=".", 1, (EC46/EC45)^(('Summary, PPI''s'!$B46+'Summary, PPI''s'!$B45)/('Predicted PPIs'!ES46+'Predicted PPIs'!ES45)))*IF(ED$26=".", 1, (ED46/ED45)^(('Summary, PPI''s'!$C46+'Summary, PPI''s'!$C45)/('Predicted PPIs'!ES46+'Predicted PPIs'!ES45)))*IF(EE$26=".", 1, (EE46/EE45)^(('Summary, PPI''s'!$D46+'Summary, PPI''s'!$D45)/('Predicted PPIs'!ES46+'Predicted PPIs'!ES45)))*IF(EO$26=".", 1, (EO46/EO45)^(('Summary, PPI''s'!$N46+'Summary, PPI''s'!$N45)/('Predicted PPIs'!ES46+'Predicted PPIs'!ES45)))*IF(EP$26=".", 1, (EP46/EP45)^(('Summary, PPI''s'!$O46+'Summary, PPI''s'!$O45)/('Predicted PPIs'!ES46+'Predicted PPIs'!ES45)))*IF(EQ$26=".", 1, (EQ46/EQ45)^(('Summary, PPI''s'!$P46+'Summary, PPI''s'!$P45)/('Predicted PPIs'!ES46+'Predicted PPIs'!ES45)))</f>
        <v>24.666558448401496</v>
      </c>
      <c r="EW46" s="13">
        <f>EW45*IF(EF$26=".", 1, (EF46/EF45)^(('Summary, PPI''s'!$E46+'Summary, PPI''s'!$E45)/('Predicted PPIs'!ET46+'Predicted PPIs'!ET45)))*IF(EG$26=".", 1, (EG46/EG45)^(('Summary, PPI''s'!$F46+'Summary, PPI''s'!$F45)/('Predicted PPIs'!ET46+'Predicted PPIs'!ET45)))*IF(EH$26=".", 1, (EH46/EH45)^(('Summary, PPI''s'!$G46+'Summary, PPI''s'!$G45)/('Predicted PPIs'!ET46+'Predicted PPIs'!ET45)))*IF(EK$26=".", 1, (EK46/EK45)^(('Summary, PPI''s'!$J46+'Summary, PPI''s'!$J45)/('Predicted PPIs'!ET46+'Predicted PPIs'!ET45)))*IF(EL$26=".", 1, (EL46/EL45)^(('Summary, PPI''s'!$K46+'Summary, PPI''s'!$K45)/('Predicted PPIs'!ET46+'Predicted PPIs'!ET45)))*IF(EM$26=".", 1, (EM46/EM45)^(('Summary, PPI''s'!$L46+'Summary, PPI''s'!$L45)/('Predicted PPIs'!ET46+'Predicted PPIs'!ET45)))*IF(EN$26=".", 1, (EN46/EN45)^(('Summary, PPI''s'!$M46+'Summary, PPI''s'!$M45)/('Predicted PPIs'!ET46+'Predicted PPIs'!ET45)))*IF(EC$26=".", 1, (EC46/EC45)^(('Summary, PPI''s'!$B46+'Summary, PPI''s'!$B45)/('Predicted PPIs'!ET46+'Predicted PPIs'!ET45)))</f>
        <v>26.379169770420884</v>
      </c>
      <c r="EY46" s="2"/>
    </row>
    <row r="47" spans="1:155" x14ac:dyDescent="0.3">
      <c r="A47" s="4">
        <v>1976</v>
      </c>
      <c r="B47" s="10">
        <f>IF(B46=".", ".", IF('Summary, PPI''s'!R47=".",IF(OR('Summary, hourly ad costs'!R47=-9999,'Summary, hourly ad costs'!R47=0), ".", 'Predicted PPIs'!B46*('Summary, hourly ad costs'!B47/'Summary, hourly ad costs'!R47)/('Summary, hourly ad costs'!B46/'Summary, hourly ad costs'!R46)), 'Summary, PPI''s'!R47))</f>
        <v>38.2085246359349</v>
      </c>
      <c r="C47" s="10">
        <f>IF(C46=".", ".", IF('Summary, PPI''s'!S47=".",IF(OR('Summary, hourly ad costs'!S47=-9999,'Summary, hourly ad costs'!S47=0), ".", 'Predicted PPIs'!C46*('Summary, hourly ad costs'!C47/'Summary, hourly ad costs'!S47)/('Summary, hourly ad costs'!C46/'Summary, hourly ad costs'!S46)), 'Summary, PPI''s'!S47))</f>
        <v>38.2085246359349</v>
      </c>
      <c r="D47" s="10" t="str">
        <f>IF(D46=".", ".", IF('Summary, PPI''s'!T47=".",IF(OR('Summary, hourly ad costs'!T47=-9999,'Summary, hourly ad costs'!T47=0), ".", 'Predicted PPIs'!D46*('Summary, hourly ad costs'!D47/'Summary, hourly ad costs'!T47)/('Summary, hourly ad costs'!D46/'Summary, hourly ad costs'!T46)), 'Summary, PPI''s'!T47))</f>
        <v>.</v>
      </c>
      <c r="E47" s="10">
        <f>IF(E46=".", ".", IF('Summary, PPI''s'!U47=".",IF(OR('Summary, hourly ad costs'!U47=-9999,'Summary, hourly ad costs'!U47=0), ".", 'Predicted PPIs'!E46*('Summary, hourly ad costs'!E47/'Summary, hourly ad costs'!U47)/('Summary, hourly ad costs'!E46/'Summary, hourly ad costs'!U46)), 'Summary, PPI''s'!U47))</f>
        <v>14.79099990109609</v>
      </c>
      <c r="F47" s="10">
        <f>IF(F46=".", ".", IF('Summary, PPI''s'!V47=".",IF(OR('Summary, hourly ad costs'!V47=-9999,'Summary, hourly ad costs'!V47=0), ".", 'Predicted PPIs'!F46*('Summary, hourly ad costs'!F47/'Summary, hourly ad costs'!V47)/('Summary, hourly ad costs'!F46/'Summary, hourly ad costs'!V46)), 'Summary, PPI''s'!V47))</f>
        <v>16.783051813387146</v>
      </c>
      <c r="G47" s="10">
        <f>IF(G46=".", ".", IF('Summary, PPI''s'!W47=".",IF(OR('Summary, hourly ad costs'!W47=-9999,'Summary, hourly ad costs'!W47=0), ".", 'Predicted PPIs'!G46*('Summary, hourly ad costs'!G47/'Summary, hourly ad costs'!W47)/('Summary, hourly ad costs'!G46/'Summary, hourly ad costs'!W46)), 'Summary, PPI''s'!W47))</f>
        <v>19.314776700201126</v>
      </c>
      <c r="H47" s="10">
        <f>IF(H46=".", ".", IF('Summary, PPI''s'!X47=".",IF(OR('Summary, hourly ad costs'!X47=-9999,'Summary, hourly ad costs'!X47=0), ".", 'Predicted PPIs'!H46*('Summary, hourly ad costs'!H47/'Summary, hourly ad costs'!X47)/('Summary, hourly ad costs'!H46/'Summary, hourly ad costs'!X46)), 'Summary, PPI''s'!X47))</f>
        <v>23.846</v>
      </c>
      <c r="I47" s="10">
        <f>IF(I46=".", ".", IF('Summary, PPI''s'!Y47=".",IF(OR('Summary, hourly ad costs'!Y47=-9999,'Summary, hourly ad costs'!Y47=0), ".", 'Predicted PPIs'!I46*('Summary, hourly ad costs'!I47/'Summary, hourly ad costs'!Y47)/('Summary, hourly ad costs'!I46/'Summary, hourly ad costs'!Y46)), 'Summary, PPI''s'!Y47))</f>
        <v>22.059633163598399</v>
      </c>
      <c r="J47" s="10">
        <f>IF(J46=".", ".", IF('Summary, PPI''s'!Z47=".",IF(OR('Summary, hourly ad costs'!Z47=-9999,'Summary, hourly ad costs'!Z47=0), ".", 'Predicted PPIs'!J46*('Summary, hourly ad costs'!J47/'Summary, hourly ad costs'!Z47)/('Summary, hourly ad costs'!J46/'Summary, hourly ad costs'!Z46)), 'Summary, PPI''s'!Z47))</f>
        <v>23.855626054817726</v>
      </c>
      <c r="K47" s="10" t="str">
        <f>IF(K46=".", ".", IF('Summary, PPI''s'!AA47=".",IF(OR('Summary, hourly ad costs'!AA47=-9999,'Summary, hourly ad costs'!AA47=0), ".", 'Predicted PPIs'!K46*('Summary, hourly ad costs'!K47/'Summary, hourly ad costs'!AA47)/('Summary, hourly ad costs'!K46/'Summary, hourly ad costs'!AA46)), 'Summary, PPI''s'!AA47))</f>
        <v>.</v>
      </c>
      <c r="L47" s="10" t="str">
        <f>IF(L46=".", ".", IF('Summary, PPI''s'!AB47=".",IF(OR('Summary, hourly ad costs'!AB47=-9999,'Summary, hourly ad costs'!AB47=0), ".", 'Predicted PPIs'!L46*('Summary, hourly ad costs'!L47/'Summary, hourly ad costs'!AB47)/('Summary, hourly ad costs'!L46/'Summary, hourly ad costs'!AB46)), 'Summary, PPI''s'!AB47))</f>
        <v>.</v>
      </c>
      <c r="M47" s="10" t="str">
        <f>IF(M46=".", ".", IF('Summary, PPI''s'!AC47=".",IF(OR('Summary, hourly ad costs'!AC47=-9999,'Summary, hourly ad costs'!AC47=0), ".", 'Predicted PPIs'!M46*('Summary, hourly ad costs'!M47/'Summary, hourly ad costs'!AC47)/('Summary, hourly ad costs'!M46/'Summary, hourly ad costs'!AC46)), 'Summary, PPI''s'!AC47))</f>
        <v>.</v>
      </c>
      <c r="N47" s="10" t="str">
        <f>IF(N46=".", ".", IF('Summary, PPI''s'!AD47=".",IF(OR('Summary, hourly ad costs'!AD47=-9999,'Summary, hourly ad costs'!AD47=0), ".", 'Predicted PPIs'!N46*('Summary, hourly ad costs'!N47/'Summary, hourly ad costs'!AD47)/('Summary, hourly ad costs'!N46/'Summary, hourly ad costs'!AD46)), 'Summary, PPI''s'!AD47))</f>
        <v>.</v>
      </c>
      <c r="O47" s="10" t="str">
        <f>IF(O46=".", ".", IF('Summary, PPI''s'!AE47=".",IF(OR('Summary, hourly ad costs'!AE47=-9999,'Summary, hourly ad costs'!AE47=0), ".", 'Predicted PPIs'!O46*('Summary, hourly ad costs'!O47/'Summary, hourly ad costs'!AE47)/('Summary, hourly ad costs'!O46/'Summary, hourly ad costs'!AE46)), 'Summary, PPI''s'!AE47))</f>
        <v>.</v>
      </c>
      <c r="P47" s="10" t="str">
        <f>IF(P46=".", ".", IF('Summary, PPI''s'!AF47=".",IF(OR('Summary, hourly ad costs'!AF47=-9999,'Summary, hourly ad costs'!AF47=0), ".", 'Predicted PPIs'!P46*('Summary, hourly ad costs'!P47/'Summary, hourly ad costs'!AF47)/('Summary, hourly ad costs'!P46/'Summary, hourly ad costs'!AF46)), 'Summary, PPI''s'!AF47))</f>
        <v>.</v>
      </c>
      <c r="R47" s="1">
        <f>IF(E$26=".", 0, 'Summary, PPI''s'!E47)+IF(F$26=".", 0, 'Summary, PPI''s'!F47)+IF(G$26=".", 0, 'Summary, PPI''s'!G47)+IF(H$26=".", 0, 'Summary, PPI''s'!H47)+IF(I$26=".", 0, 'Summary, PPI''s'!I47)+IF(J$26=".", 0, 'Summary, PPI''s'!J47)+IF(K$26=".", 0, 'Summary, PPI''s'!K47)+IF(L$26=".", 0, 'Summary, PPI''s'!L47)+IF(M$26=".", 0, 'Summary, PPI''s'!M47)+IF(B$26=".", 0, 'Summary, PPI''s'!B47)+IF(C$26=".", 0, 'Summary, PPI''s'!C47)+IF(D$26=".", 0, 'Summary, PPI''s'!D47)+IF(N$26=".", 0, 'Summary, PPI''s'!N47)+IF(O$26=".", 0, 'Summary, PPI''s'!O47)+IF(P$26=".", 0, 'Summary, PPI''s'!P47)</f>
        <v>33402967.899684791</v>
      </c>
      <c r="S47" s="1">
        <f>IF(E$36=".", 0, 'Summary, PPI''s'!E47)+IF(F$36=".", 0, 'Summary, PPI''s'!F47)+IF(G$36=".", 0, 'Summary, PPI''s'!G47)+IF(H$36=".", 0, 'Summary, PPI''s'!H47)+IF(I$36=".", 0, 'Summary, PPI''s'!I47)+IF(J$36=".", 0, 'Summary, PPI''s'!J47)+IF(K$36=".", 0, 'Summary, PPI''s'!K47)+IF(L$36=".", 0, 'Summary, PPI''s'!L47)+IF(M$36=".", 0, 'Summary, PPI''s'!M47)+IF(B$36=".", 0, 'Summary, PPI''s'!B47)+IF(C$36=".", 0, 'Summary, PPI''s'!C47)+IF(D$36=".", 0, 'Summary, PPI''s'!D47)+IF(N$36=".", 0, 'Summary, PPI''s'!N47)+IF(O$36=".", 0, 'Summary, PPI''s'!O47)+IF(P$36=".", 0, 'Summary, PPI''s'!P47)</f>
        <v>33402967.899684791</v>
      </c>
      <c r="T47" s="1">
        <f>IF(E$46=".", 0, 'Summary, PPI''s'!E47)+IF(F$46=".", 0, 'Summary, PPI''s'!F47)+IF(G$46=".", 0, 'Summary, PPI''s'!G47)+IF(H$46=".", 0, 'Summary, PPI''s'!H47)+IF(I$46=".", 0, 'Summary, PPI''s'!I47)+IF(J$46=".", 0, 'Summary, PPI''s'!J47)+IF(K$46=".", 0, 'Summary, PPI''s'!K47)+IF(L$46=".", 0, 'Summary, PPI''s'!L47)+IF(M$46=".", 0, 'Summary, PPI''s'!M47)+IF(B$46=".", 0, 'Summary, PPI''s'!B47)+IF(C$46=".", 0, 'Summary, PPI''s'!C47)+IF(D$46=".", 0, 'Summary, PPI''s'!D47)+IF(N$46=".", 0, 'Summary, PPI''s'!N47)+IF(O$46=".", 0, 'Summary, PPI''s'!O47)+IF(P$46=".", 0, 'Summary, PPI''s'!P47)</f>
        <v>24663715.443040691</v>
      </c>
      <c r="U47" s="1">
        <f>IF(E$60=".", 0, 'Summary, PPI''s'!E47)+IF(F$60=".", 0, 'Summary, PPI''s'!F47)+IF(G$60=".", 0, 'Summary, PPI''s'!G47)+IF(H$60=".", 0, 'Summary, PPI''s'!H47)+IF(I$60=".", 0, 'Summary, PPI''s'!I47)+IF(J$60=".", 0, 'Summary, PPI''s'!J47)+IF(K$60=".", 0, 'Summary, PPI''s'!K47)+IF(L$60=".", 0, 'Summary, PPI''s'!L47)+IF(M$60=".", 0, 'Summary, PPI''s'!M47)+IF(B$60=".", 0, 'Summary, PPI''s'!B47)+IF(C$60=".", 0, 'Summary, PPI''s'!C47)+IF(D$60=".", 0, 'Summary, PPI''s'!D47)+IF(N$60=".", 0, 'Summary, PPI''s'!N47)+IF(O$60=".", 0, 'Summary, PPI''s'!O47)+IF(P$60=".", 0, 'Summary, PPI''s'!P47)</f>
        <v>22310937.131582528</v>
      </c>
      <c r="V47" s="1">
        <f>IF(E$73=".", 0, 'Summary, PPI''s'!E47)+IF(F$73=".", 0, 'Summary, PPI''s'!F47)+IF(G$73=".", 0, 'Summary, PPI''s'!G47)+IF(H$73=".", 0, 'Summary, PPI''s'!H47)+IF(I$73=".", 0, 'Summary, PPI''s'!I47)+IF(J$73=".", 0, 'Summary, PPI''s'!J47)+IF(K$73=".", 0, 'Summary, PPI''s'!K47)+IF(L$73=".", 0, 'Summary, PPI''s'!L47)+IF(M$73=".", 0, 'Summary, PPI''s'!M47)+IF(B$73=".", 0, 'Summary, PPI''s'!B47)+IF(C$73=".", 0, 'Summary, PPI''s'!C47)+IF(D$73=".", 0, 'Summary, PPI''s'!D47)+IF(N$73=".", 0, 'Summary, PPI''s'!N47)+IF(O$73=".", 0, 'Summary, PPI''s'!O47)+IF(P$73=".", 0, 'Summary, PPI''s'!P47)</f>
        <v>18839398.374917123</v>
      </c>
      <c r="W47" s="1">
        <f>IF(E$94=".",0,'Summary, PPI''s'!E47)+IF(F$94=".",0,'Summary, PPI''s'!F47)+IF(G$94=".",0,'Summary, PPI''s'!G47)+IF(H$94=".",0,'Summary, PPI''s'!H47)+IF(I$94=".",0,'Summary, PPI''s'!I47)+IF(J$94=".",0,'Summary, PPI''s'!J47)+IF(K$94=".",0,'Summary, PPI''s'!K47)+IF(L$94=".",0,'Summary, PPI''s'!L47)+IF(M$94=".",0,'Summary, PPI''s'!M47)+IF(B$94=".",0,'Summary, PPI''s'!B47)+IF(C$94=".",0,'Summary, PPI''s'!C47)+IF(D$94=".",0,'Summary, PPI''s'!D47)+IF(N$94=".",0,'Summary, PPI''s'!N47)+IF(O$94=".",0,'Summary, PPI''s'!O47)+IF(P$94=".",0,'Summary, PPI''s'!P47)</f>
        <v>13872716.988733944</v>
      </c>
      <c r="X47" s="1">
        <f>IF(E$123=".", 0, 'Summary, PPI''s'!E47)+IF(F$123=".", 0, 'Summary, PPI''s'!F47)+IF(G$123=".", 0, 'Summary, PPI''s'!G47)+IF(H$123=".", 0, 'Summary, PPI''s'!H47)+IF(I$123=".", 0, 'Summary, PPI''s'!I47)+IF(J$123=".", 0, 'Summary, PPI''s'!J47)+IF(K$123=".", 0, 'Summary, PPI''s'!K47)+IF(L$123=".", 0, 'Summary, PPI''s'!L47)+IF(M$123=".", 0, 'Summary, PPI''s'!M47)+IF(B$123=".", 0, 'Summary, PPI''s'!B47)+IF(C$123=".", 0, 'Summary, PPI''s'!C47)+IF(D$123=".", 0, 'Summary, PPI''s'!D47)+IF(N$123=".", 0, 'Summary, PPI''s'!N47)+IF(O$123=".", 0, 'Summary, PPI''s'!O47)+IF(P$123=".", 0, 'Summary, PPI''s'!P47)</f>
        <v>11985688.252599264</v>
      </c>
      <c r="Z47" s="4" t="e">
        <f>Z46*IF(E$26=".", 1, (E47/E46)^(('Summary, PPI''s'!$E47+'Summary, PPI''s'!$E46)/('Predicted PPIs'!R47+'Predicted PPIs'!R46)))*IF(F$26=".", 1, (F47/F46)^(('Summary, PPI''s'!$F47+'Summary, PPI''s'!$F46)/('Predicted PPIs'!R47+'Predicted PPIs'!R46)))*IF(G$26=".", 1, (G47/G46)^(('Summary, PPI''s'!$G47+'Summary, PPI''s'!$G46)/('Predicted PPIs'!R47+'Predicted PPIs'!R46)))*IF(H$26=".", 1, (H47/H46)^(('Summary, PPI''s'!$H47+'Summary, PPI''s'!$H46)/('Predicted PPIs'!R47+'Predicted PPIs'!R46)))*IF(I$26=".", 1, (I47/I46)^(('Summary, PPI''s'!$I47+'Summary, PPI''s'!$I46)/('Predicted PPIs'!R47+'Predicted PPIs'!R46)))*IF(J$26=".", 1, (J47/J46)^(('Summary, PPI''s'!$J47+'Summary, PPI''s'!$J46)/('Predicted PPIs'!R47+'Predicted PPIs'!R46)))*IF(K$26=".", 1, (K47/K46)^(('Summary, PPI''s'!$K47+'Summary, PPI''s'!$K46)/('Predicted PPIs'!R47+'Predicted PPIs'!R46)))*IF(L$26=".", 1, (L47/L46)^(('Summary, PPI''s'!$L47+'Summary, PPI''s'!$L46)/('Predicted PPIs'!R47+'Predicted PPIs'!R46)))*IF(M$26=".", 1, (M47/M46)^(('Summary, PPI''s'!$M47+'Summary, PPI''s'!$M46)/('Predicted PPIs'!R47+'Predicted PPIs'!R46)))*IF(B$26=".", 1, (B47/B46)^(('Summary, PPI''s'!$B47+'Summary, PPI''s'!$B46)/('Predicted PPIs'!R47+'Predicted PPIs'!R46)))*IF(C$26=".", 1, (C47/C46)^(('Summary, PPI''s'!$C47+'Summary, PPI''s'!$C46)/('Predicted PPIs'!R47+'Predicted PPIs'!R46)))*IF(D$26=".", 1, (D47/D46)^(('Summary, PPI''s'!$D47+'Summary, PPI''s'!$D46)/('Predicted PPIs'!R47+'Predicted PPIs'!R46)))*IF(N$26=".", 1, (N47/N46)^(('Summary, PPI''s'!$N47+'Summary, PPI''s'!$N46)/('Predicted PPIs'!R47+'Predicted PPIs'!R46)))*IF(O$26=".", 1, (O47/O46)^(('Summary, PPI''s'!$O47+'Summary, PPI''s'!$O46)/('Predicted PPIs'!R47+'Predicted PPIs'!R46)))*IF(P$26=".", 1, (P47/P46)^(('Summary, PPI''s'!$P47+'Summary, PPI''s'!$P46)/('Predicted PPIs'!R47+'Predicted PPIs'!R46)))</f>
        <v>#VALUE!</v>
      </c>
      <c r="AA47" s="4" t="e">
        <f>AA46*IF(E$36=".", 1, (E47/E46)^(('Summary, PPI''s'!$E47+'Summary, PPI''s'!$E46)/('Predicted PPIs'!S47+'Predicted PPIs'!S46)))*IF(F$36=".", 1, (F47/F46)^(('Summary, PPI''s'!$F47+'Summary, PPI''s'!$F46)/('Predicted PPIs'!S47+'Predicted PPIs'!S46)))*IF(G$36=".", 1, (G47/G46)^(('Summary, PPI''s'!$G47+'Summary, PPI''s'!$G46)/('Predicted PPIs'!S47+'Predicted PPIs'!S46)))*IF(H$36=".", 1, (H47/H46)^(('Summary, PPI''s'!$H47+'Summary, PPI''s'!$H46)/('Predicted PPIs'!S47+'Predicted PPIs'!S46)))*IF(I$36=".", 1, (I47/I46)^(('Summary, PPI''s'!$I47+'Summary, PPI''s'!$I46)/('Predicted PPIs'!S47+'Predicted PPIs'!S46)))*IF(J$36=".", 1, (J47/J46)^(('Summary, PPI''s'!$J47+'Summary, PPI''s'!$J46)/('Predicted PPIs'!S47+'Predicted PPIs'!S46)))*IF(K$36=".", 1, (K47/K46)^(('Summary, PPI''s'!$K47+'Summary, PPI''s'!$K46)/('Predicted PPIs'!S47+'Predicted PPIs'!S46)))*IF(L$36=".", 1, (L47/L46)^(('Summary, PPI''s'!$L47+'Summary, PPI''s'!$L46)/('Predicted PPIs'!S47+'Predicted PPIs'!S46)))*IF(M$36=".", 1, (M47/M46)^(('Summary, PPI''s'!$M47+'Summary, PPI''s'!$M46)/('Predicted PPIs'!S47+'Predicted PPIs'!S46)))*IF(B$36=".", 1, (B47/B46)^(('Summary, PPI''s'!$B47+'Summary, PPI''s'!$B46)/('Predicted PPIs'!S47+'Predicted PPIs'!S46)))*IF(C$36=".", 1, (C47/C46)^(('Summary, PPI''s'!$C47+'Summary, PPI''s'!$C46)/('Predicted PPIs'!S47+'Predicted PPIs'!S46)))*IF(D$36=".", 1, (D47/D46)^(('Summary, PPI''s'!$D47+'Summary, PPI''s'!$D46)/('Predicted PPIs'!S47+'Predicted PPIs'!S46)))*IF(N$36=".", 1, (N47/N46)^(('Summary, PPI''s'!$N47+'Summary, PPI''s'!$N46)/('Predicted PPIs'!S47+'Predicted PPIs'!S46)))*IF(O$36=".", 1, (O47/O46)^(('Summary, PPI''s'!$O47+'Summary, PPI''s'!$O46)/('Predicted PPIs'!S47+'Predicted PPIs'!S46)))*IF(P$36=".", 1, (P47/P46)^(('Summary, PPI''s'!$P47+'Summary, PPI''s'!$P46)/('Predicted PPIs'!S47+'Predicted PPIs'!S46)))</f>
        <v>#VALUE!</v>
      </c>
      <c r="AB47" s="4" t="e">
        <f>AB46*IF(E$46=".", 1, (E47/E46)^(('Summary, PPI''s'!$E47+'Summary, PPI''s'!$E46)/('Predicted PPIs'!T47+'Predicted PPIs'!T46)))*IF(F$46=".", 1, (F47/F46)^(('Summary, PPI''s'!$F47+'Summary, PPI''s'!$F46)/('Predicted PPIs'!T47+'Predicted PPIs'!T46)))*IF(G$46=".", 1, (G47/G46)^(('Summary, PPI''s'!$G47+'Summary, PPI''s'!$G46)/('Predicted PPIs'!T47+'Predicted PPIs'!T46)))*IF(H$46=".", 1, (H47/H46)^(('Summary, PPI''s'!$H47+'Summary, PPI''s'!$H46)/('Predicted PPIs'!T47+'Predicted PPIs'!T46)))*IF(I$46=".", 1, (I47/I46)^(('Summary, PPI''s'!$I47+'Summary, PPI''s'!$I46)/('Predicted PPIs'!T47+'Predicted PPIs'!T46)))*IF(J$46=".", 1, (J47/J46)^(('Summary, PPI''s'!$J47+'Summary, PPI''s'!$J46)/('Predicted PPIs'!T47+'Predicted PPIs'!T46)))*IF(K$46=".", 1, (K47/K46)^(('Summary, PPI''s'!$K47+'Summary, PPI''s'!$K46)/('Predicted PPIs'!T47+'Predicted PPIs'!T46)))*IF(L$46=".", 1, (L47/L46)^(('Summary, PPI''s'!$L47+'Summary, PPI''s'!$L46)/('Predicted PPIs'!T47+'Predicted PPIs'!T46)))*IF(M$46=".", 1, (M47/M46)^(('Summary, PPI''s'!$M47+'Summary, PPI''s'!$M46)/('Predicted PPIs'!T47+'Predicted PPIs'!T46)))*IF(B$46=".", 1, (B47/B46)^(('Summary, PPI''s'!$B47+'Summary, PPI''s'!$B46)/('Predicted PPIs'!T47+'Predicted PPIs'!T46)))*IF(C$46=".", 1, (C47/C46)^(('Summary, PPI''s'!$C47+'Summary, PPI''s'!$C46)/('Predicted PPIs'!T47+'Predicted PPIs'!T46)))*IF(D$46=".", 1, (D47/D46)^(('Summary, PPI''s'!$D47+'Summary, PPI''s'!$D46)/('Predicted PPIs'!T47+'Predicted PPIs'!T46)))*IF(N$46=".", 1, (N47/N46)^(('Summary, PPI''s'!$N47+'Summary, PPI''s'!$N46)/('Predicted PPIs'!T47+'Predicted PPIs'!T46)))*IF(O$46=".", 1, (O47/O46)^(('Summary, PPI''s'!$O47+'Summary, PPI''s'!$O46)/('Predicted PPIs'!T47+'Predicted PPIs'!T46)))*IF(P$46=".", 1, (P47/P46)^(('Summary, PPI''s'!$P47+'Summary, PPI''s'!$P46)/('Predicted PPIs'!T47+'Predicted PPIs'!T46)))</f>
        <v>#VALUE!</v>
      </c>
      <c r="AC47" s="4">
        <f>AC46*IF(E$60=".",1,(E47/E46)^(('Summary, PPI''s'!$E47+'Summary, PPI''s'!$E46)/('Predicted PPIs'!U47+'Predicted PPIs'!U46)))*IF(F$60=".",1,(F47/F46)^(('Summary, PPI''s'!$F47+'Summary, PPI''s'!$F46)/('Predicted PPIs'!U47+'Predicted PPIs'!U46)))*IF(G$60=".",1,(G47/G46)^(('Summary, PPI''s'!$G47+'Summary, PPI''s'!$G46)/('Predicted PPIs'!U47+'Predicted PPIs'!U46)))*IF(H$60=".",1,(H47/H46)^(('Summary, PPI''s'!$H47+'Summary, PPI''s'!$H46)/('Predicted PPIs'!U47+'Predicted PPIs'!U46)))*IF(I$60=".",1,(I47/I46)^(('Summary, PPI''s'!$I47+'Summary, PPI''s'!$I46)/('Predicted PPIs'!U47+'Predicted PPIs'!U46)))*IF(J$60=".",1,(J47/J46)^(('Summary, PPI''s'!$J47+'Summary, PPI''s'!$J46)/('Predicted PPIs'!U47+'Predicted PPIs'!U46)))*IF(K$60=".",1,(K47/K46)^(('Summary, PPI''s'!$K47+'Summary, PPI''s'!$K46)/('Predicted PPIs'!U47+'Predicted PPIs'!U46)))*IF(L$60=".",1,(L47/L46)^(('Summary, PPI''s'!$L47+'Summary, PPI''s'!$L46)/('Predicted PPIs'!U47+'Predicted PPIs'!U46)))*IF(M$60=".",1,(M47/M46)^(('Summary, PPI''s'!$M47+'Summary, PPI''s'!$M46)/('Predicted PPIs'!U47+'Predicted PPIs'!U46)))*IF(B$60=".",1,(B47/B46)^(('Summary, PPI''s'!$B47+'Summary, PPI''s'!$B46)/('Predicted PPIs'!U47+'Predicted PPIs'!U46)))*IF(C$60=".",1,(C47/C46)^(('Summary, PPI''s'!$C47+'Summary, PPI''s'!$C46)/('Predicted PPIs'!U47+'Predicted PPIs'!U46)))*IF(D$60=".",1,(D47/D46)^(('Summary, PPI''s'!$D47+'Summary, PPI''s'!$D46)/('Predicted PPIs'!U47+'Predicted PPIs'!U46)))*IF(N$60=".",1,(N47/N46)^(('Summary, PPI''s'!$N47+'Summary, PPI''s'!$N46)/('Predicted PPIs'!U47+'Predicted PPIs'!U46)))*IF(O$60=".",1,(O47/O46)^(('Summary, PPI''s'!$O47+'Summary, PPI''s'!$O46)/('Predicted PPIs'!U47+'Predicted PPIs'!U46)))*IF(P$60=".",1,(P47/P46)^(('Summary, PPI''s'!$P47+'Summary, PPI''s'!$P46)/('Predicted PPIs'!U47+'Predicted PPIs'!U46)))</f>
        <v>21.538328778712938</v>
      </c>
      <c r="AD47" s="4">
        <f>AD46*IF(E$73=".", 1, (E47/E46)^(('Summary, PPI''s'!$E47+'Summary, PPI''s'!$E46)/('Predicted PPIs'!V47+'Predicted PPIs'!V46)))*IF(F$73=".", 1, (F47/F46)^(('Summary, PPI''s'!$F47+'Summary, PPI''s'!$F46)/('Predicted PPIs'!V47+'Predicted PPIs'!V46)))*IF(G$73=".", 1, (G47/G46)^(('Summary, PPI''s'!$G47+'Summary, PPI''s'!$G46)/('Predicted PPIs'!V47+'Predicted PPIs'!V46)))*IF(H$73=".", 1, (H47/H46)^(('Summary, PPI''s'!$H47+'Summary, PPI''s'!$H46)/('Predicted PPIs'!V47+'Predicted PPIs'!V46)))*IF(I$73=".", 1, (I47/I46)^(('Summary, PPI''s'!$I47+'Summary, PPI''s'!$I46)/('Predicted PPIs'!V47+'Predicted PPIs'!V46)))*IF(J$73=".", 1, (J47/J46)^(('Summary, PPI''s'!$J47+'Summary, PPI''s'!$J46)/('Predicted PPIs'!V47+'Predicted PPIs'!V46)))*IF(K$73=".", 1, (K47/K46)^(('Summary, PPI''s'!$K47+'Summary, PPI''s'!$K46)/('Predicted PPIs'!V47+'Predicted PPIs'!V46)))*IF(L$73=".", 1, (L47/L46)^(('Summary, PPI''s'!$L47+'Summary, PPI''s'!$L46)/('Predicted PPIs'!V47+'Predicted PPIs'!V46)))*IF(M$73=".", 1, (M47/M46)^(('Summary, PPI''s'!$M47+'Summary, PPI''s'!$M46)/('Predicted PPIs'!V47+'Predicted PPIs'!V46)))*IF(B$73=".", 1, (B47/B46)^(('Summary, PPI''s'!$B47+'Summary, PPI''s'!$B46)/('Predicted PPIs'!V47+'Predicted PPIs'!V46)))*IF(C$73=".", 1, (C47/C46)^(('Summary, PPI''s'!$C47+'Summary, PPI''s'!$C46)/('Predicted PPIs'!V47+'Predicted PPIs'!V46)))*IF(D$73=".", 1, (D47/D46)^(('Summary, PPI''s'!$D47+'Summary, PPI''s'!$D46)/('Predicted PPIs'!V47+'Predicted PPIs'!V46)))*IF(N$73=".", 1, (N47/N46)^(('Summary, PPI''s'!$N47+'Summary, PPI''s'!$N46)/('Predicted PPIs'!V47+'Predicted PPIs'!V46)))*IF(O$73=".", 1, (O47/O46)^(('Summary, PPI''s'!$O47+'Summary, PPI''s'!$O46)/('Predicted PPIs'!V47+'Predicted PPIs'!V46)))*IF(P$73=".", 1, (P47/P46)^(('Summary, PPI''s'!$P47+'Summary, PPI''s'!$P46)/('Predicted PPIs'!V47+'Predicted PPIs'!V46)))</f>
        <v>20.319309431503417</v>
      </c>
      <c r="AE47" s="4">
        <f>AE46*IF(E$94=".", 1, (E47/E46)^(('Summary, PPI''s'!$E47+'Summary, PPI''s'!$E46)/('Predicted PPIs'!W47+'Predicted PPIs'!W46)))*IF(F$94=".", 1, (F47/F46)^(('Summary, PPI''s'!$F47+'Summary, PPI''s'!$F46)/('Predicted PPIs'!W47+'Predicted PPIs'!W46)))*IF(G$94=".", 1, (G47/G46)^(('Summary, PPI''s'!$G47+'Summary, PPI''s'!$G46)/('Predicted PPIs'!W47+'Predicted PPIs'!W46)))*IF(H$94=".", 1, (H47/H46)^(('Summary, PPI''s'!$H47+'Summary, PPI''s'!$H46)/('Predicted PPIs'!W47+'Predicted PPIs'!W46)))*IF(I$94=".", 1, (I47/I46)^(('Summary, PPI''s'!$I47+'Summary, PPI''s'!$I46)/('Predicted PPIs'!W47+'Predicted PPIs'!W46)))*IF(J$94=".", 1, (J47/J46)^(('Summary, PPI''s'!$J47+'Summary, PPI''s'!$J46)/('Predicted PPIs'!W47+'Predicted PPIs'!W46)))*IF(K$94=".", 1, (K47/K46)^(('Summary, PPI''s'!$K47+'Summary, PPI''s'!$K46)/('Predicted PPIs'!W47+'Predicted PPIs'!W46)))*IF(L$94=".", 1, (L47/L46)^(('Summary, PPI''s'!$L47+'Summary, PPI''s'!$L46)/('Predicted PPIs'!W47+'Predicted PPIs'!W46)))*IF(M$94=".", 1, (M47/M46)^(('Summary, PPI''s'!$M47+'Summary, PPI''s'!$M46)/('Predicted PPIs'!W47+'Predicted PPIs'!W46)))*IF(B$94=".", 1, (B47/B46)^(('Summary, PPI''s'!$B47+'Summary, PPI''s'!$B46)/('Predicted PPIs'!W47+'Predicted PPIs'!W46)))*IF(C$94=".", 1, (C47/C46)^(('Summary, PPI''s'!$C47+'Summary, PPI''s'!$C46)/('Predicted PPIs'!W47+'Predicted PPIs'!W46)))*IF(D$94=".", 1, (D47/D46)^(('Summary, PPI''s'!$D47+'Summary, PPI''s'!$D46)/('Predicted PPIs'!W47+'Predicted PPIs'!W46)))*IF(N$94=".", 1, (N47/N46)^(('Summary, PPI''s'!$N47+'Summary, PPI''s'!$N46)/('Predicted PPIs'!W47+'Predicted PPIs'!W46)))*IF(O$94=".", 1, (O47/O46)^(('Summary, PPI''s'!$O47+'Summary, PPI''s'!$O46)/('Predicted PPIs'!W47+'Predicted PPIs'!W46)))*IF(P$94=".", 1, (P47/P46)^(('Summary, PPI''s'!$P47+'Summary, PPI''s'!$P46)/('Predicted PPIs'!W47+'Predicted PPIs'!W46)))</f>
        <v>18.187533923126676</v>
      </c>
      <c r="AF47" s="4">
        <f>AF46*IF(E$123=".", 1, (E47/E46)^(('Summary, PPI''s'!$E47+'Summary, PPI''s'!$E46)/('Predicted PPIs'!X47+'Predicted PPIs'!X46)))*IF(F$123=".", 1, (F47/F46)^(('Summary, PPI''s'!$F47+'Summary, PPI''s'!$F46)/('Predicted PPIs'!X47+'Predicted PPIs'!X46)))*IF(G$123=".", 1, (G47/G46)^(('Summary, PPI''s'!$G47+'Summary, PPI''s'!$G46)/('Predicted PPIs'!X47+'Predicted PPIs'!X46)))*IF(H$123=".", 1, (H47/H46)^(('Summary, PPI''s'!$H47+'Summary, PPI''s'!$H46)/('Predicted PPIs'!X47+'Predicted PPIs'!X46)))*IF(I$123=".", 1, (I47/I46)^(('Summary, PPI''s'!$I47+'Summary, PPI''s'!$I46)/('Predicted PPIs'!X47+'Predicted PPIs'!X46)))*IF(J$123=".", 1, (J47/J46)^(('Summary, PPI''s'!$J47+'Summary, PPI''s'!$J46)/('Predicted PPIs'!X47+'Predicted PPIs'!X46)))*IF(K$123=".", 1, (K47/K46)^(('Summary, PPI''s'!$K47+'Summary, PPI''s'!$K46)/('Predicted PPIs'!X47+'Predicted PPIs'!X46)))*IF(L$123=".", 1, (L47/L46)^(('Summary, PPI''s'!$L47+'Summary, PPI''s'!$L46)/('Predicted PPIs'!X47+'Predicted PPIs'!X46)))*IF(M$123=".", 1, (M47/M46)^(('Summary, PPI''s'!$M47+'Summary, PPI''s'!$M46)/('Predicted PPIs'!X47+'Predicted PPIs'!X46)))*IF(B$123=".", 1, (B47/B46)^(('Summary, PPI''s'!$B47+'Summary, PPI''s'!$B46)/('Predicted PPIs'!X47+'Predicted PPIs'!X46)))*IF(C$123=".", 1, (C47/C46)^(('Summary, PPI''s'!$C47+'Summary, PPI''s'!$C46)/('Predicted PPIs'!X47+'Predicted PPIs'!X46)))*IF(D$123=".", 1, (D47/D46)^(('Summary, PPI''s'!$D47+'Summary, PPI''s'!$D46)/('Predicted PPIs'!X47+'Predicted PPIs'!X46)))*IF(N$123=".", 1, (N47/N46)^(('Summary, PPI''s'!$N47+'Summary, PPI''s'!$N46)/('Predicted PPIs'!X47+'Predicted PPIs'!X46)))*IF(O$123=".", 1, (O47/O46)^(('Summary, PPI''s'!$O47+'Summary, PPI''s'!$O46)/('Predicted PPIs'!X47+'Predicted PPIs'!X46)))*IF(P$123=".", 1, (P47/P46)^(('Summary, PPI''s'!$P47+'Summary, PPI''s'!$P46)/('Predicted PPIs'!X47+'Predicted PPIs'!X46)))</f>
        <v>16.854131456359262</v>
      </c>
      <c r="AH47" s="13">
        <f t="shared" si="91"/>
        <v>23.815540977200595</v>
      </c>
      <c r="AJ47" s="4">
        <v>1147.7</v>
      </c>
      <c r="AK47" s="4">
        <v>-1.1850000000000001</v>
      </c>
      <c r="AL47" s="4">
        <v>-108.67</v>
      </c>
      <c r="AM47" s="4">
        <v>-4.1150000000000002</v>
      </c>
      <c r="AN47" s="4">
        <v>1461.2</v>
      </c>
      <c r="AO47" s="4">
        <v>304.10000000000002</v>
      </c>
      <c r="AP47" s="4">
        <f>('[3]1976'!$I$14+'[3]1976'!$I$69+'[3]1976'!$I$71-'[3]1976'!$I$73)*0.001</f>
        <v>-17.628</v>
      </c>
      <c r="AQ47" s="4">
        <f>('[3]1976'!$AY$56+'[3]1976'!$AY$69+'[3]1976'!$AY$71-'[3]1976'!$AY$73)*0.001</f>
        <v>-52.423999999999999</v>
      </c>
      <c r="AR47" s="4">
        <f>AR$38*5204/23762</f>
        <v>-2.4502294419661648</v>
      </c>
      <c r="AS47" s="4">
        <v>-7.3869999999999996</v>
      </c>
      <c r="AT47" s="4">
        <v>29.974</v>
      </c>
      <c r="AU47" s="4">
        <v>42.561999999999998</v>
      </c>
      <c r="AV47" s="4">
        <v>22.981000000000002</v>
      </c>
      <c r="AW47" s="4">
        <v>23.628</v>
      </c>
      <c r="AX47" s="4">
        <v>31.523</v>
      </c>
      <c r="AY47" s="4">
        <v>43.231999999999999</v>
      </c>
      <c r="AZ47" s="4">
        <v>19.692</v>
      </c>
      <c r="BA47" s="4">
        <v>31.475000000000001</v>
      </c>
      <c r="BB47" s="4">
        <f>BB$38*173.718/184.05</f>
        <v>97.199020048899754</v>
      </c>
      <c r="BC47" s="4">
        <v>38.768999999999998</v>
      </c>
      <c r="BG47" s="4">
        <f t="shared" si="50"/>
        <v>35.819113290906984</v>
      </c>
      <c r="BI47" s="4">
        <f>BI$13*'[2]Ordinary Experience'!$D$379/'[2]Ordinary Experience'!$D$413</f>
        <v>217132193.09843746</v>
      </c>
      <c r="BJ47" s="4">
        <f>'[2]Ordinary Experience'!$E$379</f>
        <v>24.797220708291835</v>
      </c>
      <c r="BL47" s="4">
        <f t="shared" si="90"/>
        <v>55.34679140907744</v>
      </c>
      <c r="BM47" s="4">
        <f t="shared" si="34"/>
        <v>5.8742791786988491E-2</v>
      </c>
      <c r="BO47" s="4">
        <f>IF(OR('Summary, hourly ad costs'!R47=-9999,'Summary, PPI''s'!R47="."),".",(('Summary, hourly ad costs'!B47/'Summary, hourly ad costs'!R47)*100/('Summary, hourly ad costs'!B$11/'Summary, hourly ad costs'!R$11))/('Summary, PPI''s'!R47))</f>
        <v>1.2723892011611635</v>
      </c>
      <c r="BP47" s="4" t="str">
        <f>IF(OR('Summary, hourly ad costs'!S47=-9999,'Summary, PPI''s'!S47="."),".",(('Summary, hourly ad costs'!C47/'Summary, hourly ad costs'!S47)*100/('Summary, hourly ad costs'!C$11/'Summary, hourly ad costs'!S$11))/('Summary, PPI''s'!S47))</f>
        <v>.</v>
      </c>
      <c r="BQ47" s="4" t="str">
        <f>IF(OR('Summary, hourly ad costs'!T47=-9999,'Summary, PPI''s'!T47="."),".",(('Summary, hourly ad costs'!D47/'Summary, hourly ad costs'!T47)*100/('Summary, hourly ad costs'!D$11/'Summary, hourly ad costs'!T$11))/('Summary, PPI''s'!T47))</f>
        <v>.</v>
      </c>
      <c r="BR47" s="4">
        <f>IF(OR('Summary, hourly ad costs'!U47=-9999,'Summary, PPI''s'!U47="."),".",(('Summary, hourly ad costs'!E47/'Summary, hourly ad costs'!U47)*100/('Summary, hourly ad costs'!E$11/'Summary, hourly ad costs'!U$11))/('Summary, PPI''s'!U47))</f>
        <v>1.9744093147010107</v>
      </c>
      <c r="BS47" s="4">
        <f>IF(OR('Summary, hourly ad costs'!V47=-9999,'Summary, PPI''s'!V47="."),".",(('Summary, hourly ad costs'!F47/'Summary, hourly ad costs'!V47)*100/('Summary, hourly ad costs'!F$11/'Summary, hourly ad costs'!V$11))/('Summary, PPI''s'!V47))</f>
        <v>1.8278139746009263</v>
      </c>
      <c r="BT47" s="4" t="str">
        <f>IF(OR('Summary, hourly ad costs'!W47=-9999,'Summary, PPI''s'!W47="."),".",(('Summary, hourly ad costs'!G47/'Summary, hourly ad costs'!W47)*100/('Summary, hourly ad costs'!G$11/'Summary, hourly ad costs'!W$11))/('Summary, PPI''s'!W47))</f>
        <v>.</v>
      </c>
      <c r="BU47" s="4">
        <f>IF(OR('Summary, hourly ad costs'!X47=-9999,'Summary, PPI''s'!X47="."),".",(('Summary, hourly ad costs'!H47/'Summary, hourly ad costs'!X47)*100/('Summary, hourly ad costs'!H$11/'Summary, hourly ad costs'!X$11))/('Summary, PPI''s'!X47))</f>
        <v>1.1131550932215033</v>
      </c>
      <c r="BV47" s="4" t="str">
        <f>IF(OR('Summary, hourly ad costs'!Y47=-9999,'Summary, PPI''s'!Y47="."),".",(('Summary, hourly ad costs'!I47/'Summary, hourly ad costs'!Y47)*100/('Summary, hourly ad costs'!I$11/'Summary, hourly ad costs'!Y$11))/('Summary, PPI''s'!Y47))</f>
        <v>.</v>
      </c>
      <c r="BW47" s="4" t="str">
        <f>IF(OR('Summary, hourly ad costs'!Z47=-9999,'Summary, PPI''s'!Z47="."),".",(('Summary, hourly ad costs'!J47/'Summary, hourly ad costs'!Z47)*100/('Summary, hourly ad costs'!J$11/'Summary, hourly ad costs'!Z$11))/('Summary, PPI''s'!Z47))</f>
        <v>.</v>
      </c>
      <c r="BX47" s="4" t="str">
        <f>IF(OR('Summary, hourly ad costs'!AA47=-9999,'Summary, PPI''s'!AA47="."),".",(('Summary, hourly ad costs'!K47/'Summary, hourly ad costs'!AA47)*100/('Summary, hourly ad costs'!K$11/'Summary, hourly ad costs'!AA$11))/('Summary, PPI''s'!AA47))</f>
        <v>.</v>
      </c>
      <c r="BY47" s="4" t="str">
        <f>IF(OR('Summary, hourly ad costs'!AB47=-9999,'Summary, PPI''s'!AB47="."),".",(('Summary, hourly ad costs'!L47/'Summary, hourly ad costs'!AB47)*100/('Summary, hourly ad costs'!L$11/'Summary, hourly ad costs'!AB$11))/('Summary, PPI''s'!AB47))</f>
        <v>.</v>
      </c>
      <c r="BZ47" s="4" t="str">
        <f>IF(OR('Summary, hourly ad costs'!AC47=-9999,'Summary, PPI''s'!AC47="."),".",(('Summary, hourly ad costs'!M47/'Summary, hourly ad costs'!AC47)*100/('Summary, hourly ad costs'!M$11/'Summary, hourly ad costs'!AC$11))/('Summary, PPI''s'!AC47))</f>
        <v>.</v>
      </c>
      <c r="CA47" s="4" t="str">
        <f>IF(OR('Summary, hourly ad costs'!AD47=-9999,'Summary, PPI''s'!AD47="."),".",(('Summary, hourly ad costs'!N47/'Summary, hourly ad costs'!AD47)*100/('Summary, hourly ad costs'!N$11/'Summary, hourly ad costs'!AD$11))/('Summary, PPI''s'!AD47))</f>
        <v>.</v>
      </c>
      <c r="CB47" s="4" t="str">
        <f>IF(OR('Summary, hourly ad costs'!AE47=-9999,'Summary, PPI''s'!AE47="."),".",(('Summary, hourly ad costs'!O47/'Summary, hourly ad costs'!AE47)*100/('Summary, hourly ad costs'!O$11/'Summary, hourly ad costs'!AE$11))/('Summary, PPI''s'!AE47))</f>
        <v>.</v>
      </c>
      <c r="CC47" s="4" t="str">
        <f>IF(OR('Summary, hourly ad costs'!AF47=-9999,'Summary, PPI''s'!AF47="."),".",(('Summary, hourly ad costs'!P47/'Summary, hourly ad costs'!AF47)*100/('Summary, hourly ad costs'!P$11/'Summary, hourly ad costs'!AF$11))/('Summary, PPI''s'!AF47))</f>
        <v>.</v>
      </c>
      <c r="CE47" s="4">
        <f t="shared" si="113"/>
        <v>-4.9434053342076734E-3</v>
      </c>
      <c r="CF47" s="4" t="str">
        <f t="shared" si="114"/>
        <v>.</v>
      </c>
      <c r="CG47" s="4" t="str">
        <f t="shared" si="115"/>
        <v>.</v>
      </c>
      <c r="CH47" s="4">
        <f t="shared" si="116"/>
        <v>4.3423591339208256E-2</v>
      </c>
      <c r="CI47" s="4">
        <f t="shared" si="117"/>
        <v>0.15255870192153731</v>
      </c>
      <c r="CJ47" s="4" t="str">
        <f t="shared" si="118"/>
        <v>.</v>
      </c>
      <c r="CK47" s="4">
        <f t="shared" si="119"/>
        <v>-1.5323718467463721E-6</v>
      </c>
      <c r="CL47" s="4">
        <f t="shared" ref="CL47:CM110" si="130">_xlfn.FORECAST.LINEAR($BM47,CL$24:CL$45,$BM$24:$BM$45)</f>
        <v>4.4329337066803927E-2</v>
      </c>
      <c r="CM47" s="4">
        <f t="shared" si="130"/>
        <v>3.4157618391825614E-2</v>
      </c>
      <c r="CN47" s="4">
        <f t="shared" si="89"/>
        <v>3.0322402103267747E-2</v>
      </c>
      <c r="CO47" s="4">
        <f t="shared" si="120"/>
        <v>0.38009774892061582</v>
      </c>
      <c r="CP47" s="4">
        <f t="shared" si="120"/>
        <v>3.5340548620424156E-2</v>
      </c>
      <c r="CQ47" s="4" t="str">
        <f t="shared" si="110"/>
        <v>.</v>
      </c>
      <c r="CR47" s="4" t="str">
        <f t="shared" si="111"/>
        <v>.</v>
      </c>
      <c r="CS47" s="4" t="str">
        <f t="shared" si="112"/>
        <v>.</v>
      </c>
      <c r="CU47" s="5">
        <f>IF(CU46=".", ".", IF('Summary, PPI''s'!R47=".",IF(OR('Summary, hourly ad costs'!R47=-9999,'Summary, hourly ad costs'!R47=0), ".", 'Predicted PPIs'!CU46*('Summary, hourly ad costs'!B47/'Summary, hourly ad costs'!R47)/('Summary, hourly ad costs'!B46/'Summary, hourly ad costs'!R46)/(1-CE46)), 'Summary, PPI''s'!R47))</f>
        <v>38.2085246359349</v>
      </c>
      <c r="CV47" s="5">
        <f>IF(CV46=".", ".", IF('Summary, PPI''s'!S47=".",IF(OR('Summary, hourly ad costs'!S47=-9999,'Summary, hourly ad costs'!S47=0), ".", 'Predicted PPIs'!CV46*('Summary, hourly ad costs'!C47/'Summary, hourly ad costs'!S47)/('Summary, hourly ad costs'!C46/'Summary, hourly ad costs'!S46)/(1-CF46)), 'Summary, PPI''s'!S47))</f>
        <v>38.2085246359349</v>
      </c>
      <c r="CW47" s="5" t="str">
        <f>IF(CW46=".", ".", IF('Summary, PPI''s'!T47=".",IF(OR('Summary, hourly ad costs'!T47=-9999,'Summary, hourly ad costs'!T47=0), ".", 'Predicted PPIs'!CW46*('Summary, hourly ad costs'!D47/'Summary, hourly ad costs'!T47)/('Summary, hourly ad costs'!D46/'Summary, hourly ad costs'!T46)/(1-CG46)), 'Summary, PPI''s'!T47))</f>
        <v>.</v>
      </c>
      <c r="CX47" s="5">
        <f>IF(CX46=".", ".", IF('Summary, PPI''s'!U47=".",IF(OR('Summary, hourly ad costs'!U47=-9999,'Summary, hourly ad costs'!U47=0), ".", 'Predicted PPIs'!CX46*('Summary, hourly ad costs'!E47/'Summary, hourly ad costs'!U47)/('Summary, hourly ad costs'!E46/'Summary, hourly ad costs'!U46)/(1-CH46)), 'Summary, PPI''s'!U47))</f>
        <v>14.79099990109609</v>
      </c>
      <c r="CY47" s="5">
        <f>IF(CY46=".", ".", IF('Summary, PPI''s'!V47=".",IF(OR('Summary, hourly ad costs'!V47=-9999,'Summary, hourly ad costs'!V47=0), ".", 'Predicted PPIs'!CY46*('Summary, hourly ad costs'!F47/'Summary, hourly ad costs'!V47)/('Summary, hourly ad costs'!F46/'Summary, hourly ad costs'!V46)/(1-CI46)), 'Summary, PPI''s'!V47))</f>
        <v>16.783051813387146</v>
      </c>
      <c r="CZ47" s="5">
        <f>IF(CZ46=".", ".", IF('Summary, PPI''s'!W47=".",IF(OR('Summary, hourly ad costs'!W47=-9999,'Summary, hourly ad costs'!W47=0), ".", 'Predicted PPIs'!CZ46*('Summary, hourly ad costs'!G47/'Summary, hourly ad costs'!W47)/('Summary, hourly ad costs'!G46/'Summary, hourly ad costs'!W46)/(1-CJ46)), 'Summary, PPI''s'!W47))</f>
        <v>19.314776700201126</v>
      </c>
      <c r="DA47" s="5">
        <f>IF(DA46=".", ".", IF('Summary, PPI''s'!X47=".",IF(OR('Summary, hourly ad costs'!X47=-9999,'Summary, hourly ad costs'!X47=0), ".", 'Predicted PPIs'!DA46*('Summary, hourly ad costs'!H47/'Summary, hourly ad costs'!X47)/('Summary, hourly ad costs'!H46/'Summary, hourly ad costs'!X46)/(1-CK46)), 'Summary, PPI''s'!X47))</f>
        <v>23.846</v>
      </c>
      <c r="DB47" s="5">
        <f>IF(DB46=".", ".", IF('Summary, PPI''s'!Y47=".",IF(OR('Summary, hourly ad costs'!Y47=-9999,'Summary, hourly ad costs'!Y47=0), ".", 'Predicted PPIs'!DB46*('Summary, hourly ad costs'!I47/'Summary, hourly ad costs'!Y47)/('Summary, hourly ad costs'!I46/'Summary, hourly ad costs'!Y46)/(1-CL46)), 'Summary, PPI''s'!Y47))</f>
        <v>22.983711474252583</v>
      </c>
      <c r="DC47" s="5">
        <f>IF(DC46=".", ".", IF('Summary, PPI''s'!Z47=".",IF(OR('Summary, hourly ad costs'!Z47=-9999,'Summary, hourly ad costs'!Z47=0), ".", 'Predicted PPIs'!DC46*('Summary, hourly ad costs'!J47/'Summary, hourly ad costs'!Z47)/('Summary, hourly ad costs'!J46/'Summary, hourly ad costs'!Z46)/(1-CM46)), 'Summary, PPI''s'!Z47))</f>
        <v>24.657026988315991</v>
      </c>
      <c r="DD47" s="5" t="str">
        <f>IF(DD46=".", ".", IF('Summary, PPI''s'!AA47=".",IF(OR('Summary, hourly ad costs'!AA47=-9999,'Summary, hourly ad costs'!AA47=0), ".", 'Predicted PPIs'!DD46*('Summary, hourly ad costs'!K47/'Summary, hourly ad costs'!AA47)/('Summary, hourly ad costs'!K46/'Summary, hourly ad costs'!AA46)/(1-CN46)), 'Summary, PPI''s'!AA47))</f>
        <v>.</v>
      </c>
      <c r="DE47" s="5" t="str">
        <f>IF(DE46=".", ".", IF('Summary, PPI''s'!AB47=".",IF(OR('Summary, hourly ad costs'!AB47=-9999,'Summary, hourly ad costs'!AB47=0), ".", 'Predicted PPIs'!DE46*('Summary, hourly ad costs'!L47/'Summary, hourly ad costs'!AB47)/('Summary, hourly ad costs'!L46/'Summary, hourly ad costs'!AB46)/(1-CO46)), 'Summary, PPI''s'!AB47))</f>
        <v>.</v>
      </c>
      <c r="DF47" s="5" t="str">
        <f>IF(DF46=".", ".", IF('Summary, PPI''s'!AC47=".",IF(OR('Summary, hourly ad costs'!AC47=-9999,'Summary, hourly ad costs'!AC47=0), ".", 'Predicted PPIs'!DF46*('Summary, hourly ad costs'!M47/'Summary, hourly ad costs'!AC47)/('Summary, hourly ad costs'!M46/'Summary, hourly ad costs'!AC46)/(1-CP46)), 'Summary, PPI''s'!AC47))</f>
        <v>.</v>
      </c>
      <c r="DG47" s="5" t="str">
        <f>IF(DG46=".", ".", IF('Summary, PPI''s'!AD47=".",IF(OR('Summary, hourly ad costs'!AD47=-9999,'Summary, hourly ad costs'!AD47=0), ".", 'Predicted PPIs'!DG46*('Summary, hourly ad costs'!N47/'Summary, hourly ad costs'!AD47)/('Summary, hourly ad costs'!N46/'Summary, hourly ad costs'!AD46)/(1-CQ46)), 'Summary, PPI''s'!AD47))</f>
        <v>.</v>
      </c>
      <c r="DH47" s="5" t="str">
        <f>IF(DH46=".", ".", IF('Summary, PPI''s'!AE47=".",IF(OR('Summary, hourly ad costs'!AE47=-9999,'Summary, hourly ad costs'!AE47=0), ".", 'Predicted PPIs'!DH46*('Summary, hourly ad costs'!O47/'Summary, hourly ad costs'!AE47)/('Summary, hourly ad costs'!O46/'Summary, hourly ad costs'!AE46)/(1-CR46)), 'Summary, PPI''s'!AE47))</f>
        <v>.</v>
      </c>
      <c r="DI47" s="5" t="str">
        <f>IF(DI46=".", ".", IF('Summary, PPI''s'!AF47=".",IF(OR('Summary, hourly ad costs'!AF47=-9999,'Summary, hourly ad costs'!AF47=0), ".", 'Predicted PPIs'!DI46*('Summary, hourly ad costs'!P47/'Summary, hourly ad costs'!AF47)/('Summary, hourly ad costs'!P46/'Summary, hourly ad costs'!AF46)/(1-CS46)), 'Summary, PPI''s'!AF47))</f>
        <v>.</v>
      </c>
      <c r="DK47" s="4">
        <v>13.836</v>
      </c>
      <c r="DM47" s="5">
        <f t="shared" si="121"/>
        <v>-5.976167975055513E-3</v>
      </c>
      <c r="DN47" s="5">
        <f t="shared" si="122"/>
        <v>-5.976167975055513E-3</v>
      </c>
      <c r="DO47" s="4">
        <f t="shared" si="123"/>
        <v>-2.2439281701299784E-2</v>
      </c>
      <c r="DP47" s="5">
        <f t="shared" si="124"/>
        <v>4.4727429464411106E-2</v>
      </c>
      <c r="DQ47" s="5">
        <f t="shared" si="125"/>
        <v>-5.3027871615317523E-2</v>
      </c>
      <c r="DR47" s="5">
        <f t="shared" si="126"/>
        <v>-8.9082302330352192E-3</v>
      </c>
      <c r="DS47" s="5">
        <f t="shared" si="127"/>
        <v>-1.9273735941448322E-2</v>
      </c>
      <c r="DT47" s="5">
        <f t="shared" si="128"/>
        <v>2.4019328990106059E-2</v>
      </c>
      <c r="DU47" s="5">
        <f t="shared" si="129"/>
        <v>0.16024447564387589</v>
      </c>
      <c r="DV47" s="4">
        <f t="shared" ref="DV47:DV110" si="131">_xlfn.FORECAST.LINEAR($BM47,DV$4:DV$45,$BM$4:$BM$45)</f>
        <v>-1.3396569143729557E-3</v>
      </c>
      <c r="DW47" s="4">
        <f t="shared" si="78"/>
        <v>-0.188432468304122</v>
      </c>
      <c r="DX47" s="4">
        <f t="shared" si="78"/>
        <v>0.17371386324233512</v>
      </c>
      <c r="DY47" s="4">
        <f t="shared" si="108"/>
        <v>-1.2622208851305348E-2</v>
      </c>
      <c r="DZ47" s="4">
        <f t="shared" ref="DZ47:DZ110" si="132">_xlfn.FORECAST.LINEAR($BM47,DZ$4:DZ$45,$BM$4:$BM$45)</f>
        <v>-5.5630991644241273E-3</v>
      </c>
      <c r="EA47" s="4">
        <f t="shared" si="109"/>
        <v>-7.2728760431218405E-3</v>
      </c>
      <c r="EC47" s="1">
        <f t="shared" si="93"/>
        <v>38.2085246359349</v>
      </c>
      <c r="ED47" s="1">
        <f t="shared" si="94"/>
        <v>38.2085246359349</v>
      </c>
      <c r="EE47" s="1">
        <f t="shared" si="95"/>
        <v>32.888246276737796</v>
      </c>
      <c r="EF47" s="1">
        <f t="shared" si="96"/>
        <v>14.79099990109609</v>
      </c>
      <c r="EG47" s="1">
        <f t="shared" si="97"/>
        <v>16.783051813387146</v>
      </c>
      <c r="EH47" s="1">
        <f t="shared" si="98"/>
        <v>19.314776700201126</v>
      </c>
      <c r="EI47" s="1">
        <f t="shared" si="99"/>
        <v>23.846</v>
      </c>
      <c r="EJ47" s="1">
        <f t="shared" si="100"/>
        <v>22.983711474252583</v>
      </c>
      <c r="EK47" s="1">
        <f t="shared" si="101"/>
        <v>24.657026988315991</v>
      </c>
      <c r="EL47" s="1">
        <f t="shared" si="102"/>
        <v>11.277803033011688</v>
      </c>
      <c r="EM47" s="1">
        <f t="shared" si="103"/>
        <v>16.595523274822515</v>
      </c>
      <c r="EN47" s="1">
        <f t="shared" si="104"/>
        <v>14.767953470496279</v>
      </c>
      <c r="EO47" s="1">
        <f t="shared" si="105"/>
        <v>18.389791754785545</v>
      </c>
      <c r="EP47" s="1">
        <f t="shared" si="106"/>
        <v>22.303950470109999</v>
      </c>
      <c r="EQ47" s="1">
        <f t="shared" si="107"/>
        <v>16.979919335945315</v>
      </c>
      <c r="ES47" s="1">
        <f>IF(EF$26=".", 0, 'Summary, PPI''s'!E47)+IF(EG$26=".", 0, 'Summary, PPI''s'!F47)+IF(EH$26=".", 0, 'Summary, PPI''s'!G47)+IF(EI$26=".", 0, 'Summary, PPI''s'!H47)+IF(EJ$26=".", 0, 'Summary, PPI''s'!I47)+IF(EK$26=".", 0, 'Summary, PPI''s'!J47)+IF(EL$26=".", 0, 'Summary, PPI''s'!K47)+IF(EM$26=".", 0, 'Summary, PPI''s'!L47)+IF(EN$26=".", 0, 'Summary, PPI''s'!M47)+IF(EC$26=".", 0, 'Summary, PPI''s'!B47)+IF(ED$26=".", 0, 'Summary, PPI''s'!C47)+IF(EE$26=".", 0, 'Summary, PPI''s'!D47)+IF(EO$26=".", 0, 'Summary, PPI''s'!N47)+IF(EP$26=".", 0, 'Summary, PPI''s'!O47)+IF(EQ$26=".", 0, 'Summary, PPI''s'!P47)</f>
        <v>33402967.899684791</v>
      </c>
      <c r="ET47" s="1">
        <f>'Summary, hourly ad costs'!E47+'Summary, hourly ad costs'!F47+'Summary, hourly ad costs'!H47+'Summary, hourly ad costs'!I47+'Summary, hourly ad costs'!J47+'Summary, hourly ad costs'!K47+'Summary, hourly ad costs'!L47+'Summary, hourly ad costs'!M47+'Summary, hourly ad costs'!B47</f>
        <v>18839398.374917123</v>
      </c>
      <c r="EV47" s="13">
        <f>EV46*IF(EF$26=".", 1, (EF47/EF46)^(('Summary, PPI''s'!$E47+'Summary, PPI''s'!$E46)/('Predicted PPIs'!ES47+'Predicted PPIs'!ES46)))*IF(EG$26=".", 1, (EG47/EG46)^(('Summary, PPI''s'!$F47+'Summary, PPI''s'!$F46)/('Predicted PPIs'!ES47+'Predicted PPIs'!ES46)))*IF(EH$26=".", 1, (EH47/EH46)^(('Summary, PPI''s'!$G47+'Summary, PPI''s'!$G46)/('Predicted PPIs'!ES47+'Predicted PPIs'!ES46)))*IF(EI$26=".", 1, (EI47/EI46)^(('Summary, PPI''s'!$H47+'Summary, PPI''s'!$H46)/('Predicted PPIs'!ES47+'Predicted PPIs'!ES46)))*IF(EJ$26=".", 1, (EJ47/EJ46)^(('Summary, PPI''s'!$I47+'Summary, PPI''s'!$I46)/('Predicted PPIs'!ES47+'Predicted PPIs'!ES46)))*IF(EK$26=".", 1, (EK47/EK46)^(('Summary, PPI''s'!$J47+'Summary, PPI''s'!$J46)/('Predicted PPIs'!ES47+'Predicted PPIs'!ES46)))*IF(EL$26=".", 1, (EL47/EL46)^(('Summary, PPI''s'!$K47+'Summary, PPI''s'!$K46)/('Predicted PPIs'!ES47+'Predicted PPIs'!ES46)))*IF(EM$26=".", 1, (EM47/EM46)^(('Summary, PPI''s'!$L47+'Summary, PPI''s'!$L46)/('Predicted PPIs'!ES47+'Predicted PPIs'!ES46)))*IF(EN$26=".", 1, (EN47/EN46)^(('Summary, PPI''s'!$M47+'Summary, PPI''s'!$M46)/('Predicted PPIs'!ES47+'Predicted PPIs'!ES46)))*IF(EC$26=".", 1, (EC47/EC46)^(('Summary, PPI''s'!$B47+'Summary, PPI''s'!$B46)/('Predicted PPIs'!ES47+'Predicted PPIs'!ES46)))*IF(ED$26=".", 1, (ED47/ED46)^(('Summary, PPI''s'!$C47+'Summary, PPI''s'!$C46)/('Predicted PPIs'!ES47+'Predicted PPIs'!ES46)))*IF(EE$26=".", 1, (EE47/EE46)^(('Summary, PPI''s'!$D47+'Summary, PPI''s'!$D46)/('Predicted PPIs'!ES47+'Predicted PPIs'!ES46)))*IF(EO$26=".", 1, (EO47/EO46)^(('Summary, PPI''s'!$N47+'Summary, PPI''s'!$N46)/('Predicted PPIs'!ES47+'Predicted PPIs'!ES46)))*IF(EP$26=".", 1, (EP47/EP46)^(('Summary, PPI''s'!$O47+'Summary, PPI''s'!$O46)/('Predicted PPIs'!ES47+'Predicted PPIs'!ES46)))*IF(EQ$26=".", 1, (EQ47/EQ46)^(('Summary, PPI''s'!$P47+'Summary, PPI''s'!$P46)/('Predicted PPIs'!ES47+'Predicted PPIs'!ES46)))</f>
        <v>23.121187421667706</v>
      </c>
      <c r="EW47" s="13">
        <f>EW46*IF(EF$26=".", 1, (EF47/EF46)^(('Summary, PPI''s'!$E47+'Summary, PPI''s'!$E46)/('Predicted PPIs'!ET47+'Predicted PPIs'!ET46)))*IF(EG$26=".", 1, (EG47/EG46)^(('Summary, PPI''s'!$F47+'Summary, PPI''s'!$F46)/('Predicted PPIs'!ET47+'Predicted PPIs'!ET46)))*IF(EH$26=".", 1, (EH47/EH46)^(('Summary, PPI''s'!$G47+'Summary, PPI''s'!$G46)/('Predicted PPIs'!ET47+'Predicted PPIs'!ET46)))*IF(EK$26=".", 1, (EK47/EK46)^(('Summary, PPI''s'!$J47+'Summary, PPI''s'!$J46)/('Predicted PPIs'!ET47+'Predicted PPIs'!ET46)))*IF(EL$26=".", 1, (EL47/EL46)^(('Summary, PPI''s'!$K47+'Summary, PPI''s'!$K46)/('Predicted PPIs'!ET47+'Predicted PPIs'!ET46)))*IF(EM$26=".", 1, (EM47/EM46)^(('Summary, PPI''s'!$L47+'Summary, PPI''s'!$L46)/('Predicted PPIs'!ET47+'Predicted PPIs'!ET46)))*IF(EN$26=".", 1, (EN47/EN46)^(('Summary, PPI''s'!$M47+'Summary, PPI''s'!$M46)/('Predicted PPIs'!ET47+'Predicted PPIs'!ET46)))*IF(EC$26=".", 1, (EC47/EC46)^(('Summary, PPI''s'!$B47+'Summary, PPI''s'!$B46)/('Predicted PPIs'!ET47+'Predicted PPIs'!ET46)))</f>
        <v>24.87379488087862</v>
      </c>
      <c r="EY47" s="2"/>
    </row>
    <row r="48" spans="1:155" x14ac:dyDescent="0.3">
      <c r="A48" s="4">
        <v>1975</v>
      </c>
      <c r="B48" s="10">
        <f>IF(B47=".", ".", IF('Summary, PPI''s'!R48=".",IF(OR('Summary, hourly ad costs'!R48=-9999,'Summary, hourly ad costs'!R48=0), ".", 'Predicted PPIs'!B47*('Summary, hourly ad costs'!B48/'Summary, hourly ad costs'!R48)/('Summary, hourly ad costs'!B47/'Summary, hourly ad costs'!R47)), 'Summary, PPI''s'!R48))</f>
        <v>36.212954059545545</v>
      </c>
      <c r="C48" s="10">
        <f>IF(C47=".", ".", IF('Summary, PPI''s'!S48=".",IF(OR('Summary, hourly ad costs'!S48=-9999,'Summary, hourly ad costs'!S48=0), ".", 'Predicted PPIs'!C47*('Summary, hourly ad costs'!C48/'Summary, hourly ad costs'!S48)/('Summary, hourly ad costs'!C47/'Summary, hourly ad costs'!S47)), 'Summary, PPI''s'!S48))</f>
        <v>36.212954059545545</v>
      </c>
      <c r="D48" s="10" t="str">
        <f>IF(D47=".", ".", IF('Summary, PPI''s'!T48=".",IF(OR('Summary, hourly ad costs'!T48=-9999,'Summary, hourly ad costs'!T48=0), ".", 'Predicted PPIs'!D47*('Summary, hourly ad costs'!D48/'Summary, hourly ad costs'!T48)/('Summary, hourly ad costs'!D47/'Summary, hourly ad costs'!T47)), 'Summary, PPI''s'!T48))</f>
        <v>.</v>
      </c>
      <c r="E48" s="10">
        <f>IF(E47=".", ".", IF('Summary, PPI''s'!U48=".",IF(OR('Summary, hourly ad costs'!U48=-9999,'Summary, hourly ad costs'!U48=0), ".", 'Predicted PPIs'!E47*('Summary, hourly ad costs'!E48/'Summary, hourly ad costs'!U48)/('Summary, hourly ad costs'!E47/'Summary, hourly ad costs'!U47)), 'Summary, PPI''s'!U48))</f>
        <v>13.338132243689651</v>
      </c>
      <c r="F48" s="10">
        <f>IF(F47=".", ".", IF('Summary, PPI''s'!V48=".",IF(OR('Summary, hourly ad costs'!V48=-9999,'Summary, hourly ad costs'!V48=0), ".", 'Predicted PPIs'!F47*('Summary, hourly ad costs'!F48/'Summary, hourly ad costs'!V48)/('Summary, hourly ad costs'!F47/'Summary, hourly ad costs'!V47)), 'Summary, PPI''s'!V48))</f>
        <v>16.696837506126595</v>
      </c>
      <c r="G48" s="10">
        <f>IF(G47=".", ".", IF('Summary, PPI''s'!W48=".",IF(OR('Summary, hourly ad costs'!W48=-9999,'Summary, hourly ad costs'!W48=0), ".", 'Predicted PPIs'!G47*('Summary, hourly ad costs'!G48/'Summary, hourly ad costs'!W48)/('Summary, hourly ad costs'!G47/'Summary, hourly ad costs'!W47)), 'Summary, PPI''s'!W48))</f>
        <v>18.360153342642104</v>
      </c>
      <c r="H48" s="10">
        <f>IF(H47=".", ".", IF('Summary, PPI''s'!X48=".",IF(OR('Summary, hourly ad costs'!X48=-9999,'Summary, hourly ad costs'!X48=0), ".", 'Predicted PPIs'!H47*('Summary, hourly ad costs'!H48/'Summary, hourly ad costs'!X48)/('Summary, hourly ad costs'!H47/'Summary, hourly ad costs'!X47)), 'Summary, PPI''s'!X48))</f>
        <v>22.907</v>
      </c>
      <c r="I48" s="10">
        <f>IF(I47=".", ".", IF('Summary, PPI''s'!Y48=".",IF(OR('Summary, hourly ad costs'!Y48=-9999,'Summary, hourly ad costs'!Y48=0), ".", 'Predicted PPIs'!I47*('Summary, hourly ad costs'!I48/'Summary, hourly ad costs'!Y48)/('Summary, hourly ad costs'!I47/'Summary, hourly ad costs'!Y47)), 'Summary, PPI''s'!Y48))</f>
        <v>19.395405700070636</v>
      </c>
      <c r="J48" s="10">
        <f>IF(J47=".", ".", IF('Summary, PPI''s'!Z48=".",IF(OR('Summary, hourly ad costs'!Z48=-9999,'Summary, hourly ad costs'!Z48=0), ".", 'Predicted PPIs'!J47*('Summary, hourly ad costs'!J48/'Summary, hourly ad costs'!Z48)/('Summary, hourly ad costs'!J47/'Summary, hourly ad costs'!Z47)), 'Summary, PPI''s'!Z48))</f>
        <v>18.708891220749642</v>
      </c>
      <c r="K48" s="10" t="str">
        <f>IF(K47=".", ".", IF('Summary, PPI''s'!AA48=".",IF(OR('Summary, hourly ad costs'!AA48=-9999,'Summary, hourly ad costs'!AA48=0), ".", 'Predicted PPIs'!K47*('Summary, hourly ad costs'!K48/'Summary, hourly ad costs'!AA48)/('Summary, hourly ad costs'!K47/'Summary, hourly ad costs'!AA47)), 'Summary, PPI''s'!AA48))</f>
        <v>.</v>
      </c>
      <c r="L48" s="10" t="str">
        <f>IF(L47=".", ".", IF('Summary, PPI''s'!AB48=".",IF(OR('Summary, hourly ad costs'!AB48=-9999,'Summary, hourly ad costs'!AB48=0), ".", 'Predicted PPIs'!L47*('Summary, hourly ad costs'!L48/'Summary, hourly ad costs'!AB48)/('Summary, hourly ad costs'!L47/'Summary, hourly ad costs'!AB47)), 'Summary, PPI''s'!AB48))</f>
        <v>.</v>
      </c>
      <c r="M48" s="10" t="str">
        <f>IF(M47=".", ".", IF('Summary, PPI''s'!AC48=".",IF(OR('Summary, hourly ad costs'!AC48=-9999,'Summary, hourly ad costs'!AC48=0), ".", 'Predicted PPIs'!M47*('Summary, hourly ad costs'!M48/'Summary, hourly ad costs'!AC48)/('Summary, hourly ad costs'!M47/'Summary, hourly ad costs'!AC47)), 'Summary, PPI''s'!AC48))</f>
        <v>.</v>
      </c>
      <c r="N48" s="10" t="str">
        <f>IF(N47=".", ".", IF('Summary, PPI''s'!AD48=".",IF(OR('Summary, hourly ad costs'!AD48=-9999,'Summary, hourly ad costs'!AD48=0), ".", 'Predicted PPIs'!N47*('Summary, hourly ad costs'!N48/'Summary, hourly ad costs'!AD48)/('Summary, hourly ad costs'!N47/'Summary, hourly ad costs'!AD47)), 'Summary, PPI''s'!AD48))</f>
        <v>.</v>
      </c>
      <c r="O48" s="10" t="str">
        <f>IF(O47=".", ".", IF('Summary, PPI''s'!AE48=".",IF(OR('Summary, hourly ad costs'!AE48=-9999,'Summary, hourly ad costs'!AE48=0), ".", 'Predicted PPIs'!O47*('Summary, hourly ad costs'!O48/'Summary, hourly ad costs'!AE48)/('Summary, hourly ad costs'!O47/'Summary, hourly ad costs'!AE47)), 'Summary, PPI''s'!AE48))</f>
        <v>.</v>
      </c>
      <c r="P48" s="10" t="str">
        <f>IF(P47=".", ".", IF('Summary, PPI''s'!AF48=".",IF(OR('Summary, hourly ad costs'!AF48=-9999,'Summary, hourly ad costs'!AF48=0), ".", 'Predicted PPIs'!P47*('Summary, hourly ad costs'!P48/'Summary, hourly ad costs'!AF48)/('Summary, hourly ad costs'!P47/'Summary, hourly ad costs'!AF47)), 'Summary, PPI''s'!AF48))</f>
        <v>.</v>
      </c>
      <c r="R48" s="1">
        <f>IF(E$26=".", 0, 'Summary, PPI''s'!E48)+IF(F$26=".", 0, 'Summary, PPI''s'!F48)+IF(G$26=".", 0, 'Summary, PPI''s'!G48)+IF(H$26=".", 0, 'Summary, PPI''s'!H48)+IF(I$26=".", 0, 'Summary, PPI''s'!I48)+IF(J$26=".", 0, 'Summary, PPI''s'!J48)+IF(K$26=".", 0, 'Summary, PPI''s'!K48)+IF(L$26=".", 0, 'Summary, PPI''s'!L48)+IF(M$26=".", 0, 'Summary, PPI''s'!M48)+IF(B$26=".", 0, 'Summary, PPI''s'!B48)+IF(C$26=".", 0, 'Summary, PPI''s'!C48)+IF(D$26=".", 0, 'Summary, PPI''s'!D48)+IF(N$26=".", 0, 'Summary, PPI''s'!N48)+IF(O$26=".", 0, 'Summary, PPI''s'!O48)+IF(P$26=".", 0, 'Summary, PPI''s'!P48)</f>
        <v>28079295.843615297</v>
      </c>
      <c r="S48" s="1">
        <f>IF(E$36=".", 0, 'Summary, PPI''s'!E48)+IF(F$36=".", 0, 'Summary, PPI''s'!F48)+IF(G$36=".", 0, 'Summary, PPI''s'!G48)+IF(H$36=".", 0, 'Summary, PPI''s'!H48)+IF(I$36=".", 0, 'Summary, PPI''s'!I48)+IF(J$36=".", 0, 'Summary, PPI''s'!J48)+IF(K$36=".", 0, 'Summary, PPI''s'!K48)+IF(L$36=".", 0, 'Summary, PPI''s'!L48)+IF(M$36=".", 0, 'Summary, PPI''s'!M48)+IF(B$36=".", 0, 'Summary, PPI''s'!B48)+IF(C$36=".", 0, 'Summary, PPI''s'!C48)+IF(D$36=".", 0, 'Summary, PPI''s'!D48)+IF(N$36=".", 0, 'Summary, PPI''s'!N48)+IF(O$36=".", 0, 'Summary, PPI''s'!O48)+IF(P$36=".", 0, 'Summary, PPI''s'!P48)</f>
        <v>28079295.843615297</v>
      </c>
      <c r="T48" s="1">
        <f>IF(E$46=".", 0, 'Summary, PPI''s'!E48)+IF(F$46=".", 0, 'Summary, PPI''s'!F48)+IF(G$46=".", 0, 'Summary, PPI''s'!G48)+IF(H$46=".", 0, 'Summary, PPI''s'!H48)+IF(I$46=".", 0, 'Summary, PPI''s'!I48)+IF(J$46=".", 0, 'Summary, PPI''s'!J48)+IF(K$46=".", 0, 'Summary, PPI''s'!K48)+IF(L$46=".", 0, 'Summary, PPI''s'!L48)+IF(M$46=".", 0, 'Summary, PPI''s'!M48)+IF(B$46=".", 0, 'Summary, PPI''s'!B48)+IF(C$46=".", 0, 'Summary, PPI''s'!C48)+IF(D$46=".", 0, 'Summary, PPI''s'!D48)+IF(N$46=".", 0, 'Summary, PPI''s'!N48)+IF(O$46=".", 0, 'Summary, PPI''s'!O48)+IF(P$46=".", 0, 'Summary, PPI''s'!P48)</f>
        <v>20764637.4235343</v>
      </c>
      <c r="U48" s="1">
        <f>IF(E$60=".", 0, 'Summary, PPI''s'!E48)+IF(F$60=".", 0, 'Summary, PPI''s'!F48)+IF(G$60=".", 0, 'Summary, PPI''s'!G48)+IF(H$60=".", 0, 'Summary, PPI''s'!H48)+IF(I$60=".", 0, 'Summary, PPI''s'!I48)+IF(J$60=".", 0, 'Summary, PPI''s'!J48)+IF(K$60=".", 0, 'Summary, PPI''s'!K48)+IF(L$60=".", 0, 'Summary, PPI''s'!L48)+IF(M$60=".", 0, 'Summary, PPI''s'!M48)+IF(B$60=".", 0, 'Summary, PPI''s'!B48)+IF(C$60=".", 0, 'Summary, PPI''s'!C48)+IF(D$60=".", 0, 'Summary, PPI''s'!D48)+IF(N$60=".", 0, 'Summary, PPI''s'!N48)+IF(O$60=".", 0, 'Summary, PPI''s'!O48)+IF(P$60=".", 0, 'Summary, PPI''s'!P48)</f>
        <v>18773619.823188152</v>
      </c>
      <c r="V48" s="1">
        <f>IF(E$73=".", 0, 'Summary, PPI''s'!E48)+IF(F$73=".", 0, 'Summary, PPI''s'!F48)+IF(G$73=".", 0, 'Summary, PPI''s'!G48)+IF(H$73=".", 0, 'Summary, PPI''s'!H48)+IF(I$73=".", 0, 'Summary, PPI''s'!I48)+IF(J$73=".", 0, 'Summary, PPI''s'!J48)+IF(K$73=".", 0, 'Summary, PPI''s'!K48)+IF(L$73=".", 0, 'Summary, PPI''s'!L48)+IF(M$73=".", 0, 'Summary, PPI''s'!M48)+IF(B$73=".", 0, 'Summary, PPI''s'!B48)+IF(C$73=".", 0, 'Summary, PPI''s'!C48)+IF(D$73=".", 0, 'Summary, PPI''s'!D48)+IF(N$73=".", 0, 'Summary, PPI''s'!N48)+IF(O$73=".", 0, 'Summary, PPI''s'!O48)+IF(P$73=".", 0, 'Summary, PPI''s'!P48)</f>
        <v>15765089.143462392</v>
      </c>
      <c r="W48" s="1">
        <f>IF(E$94=".",0,'Summary, PPI''s'!E48)+IF(F$94=".",0,'Summary, PPI''s'!F48)+IF(G$94=".",0,'Summary, PPI''s'!G48)+IF(H$94=".",0,'Summary, PPI''s'!H48)+IF(I$94=".",0,'Summary, PPI''s'!I48)+IF(J$94=".",0,'Summary, PPI''s'!J48)+IF(K$94=".",0,'Summary, PPI''s'!K48)+IF(L$94=".",0,'Summary, PPI''s'!L48)+IF(M$94=".",0,'Summary, PPI''s'!M48)+IF(B$94=".",0,'Summary, PPI''s'!B48)+IF(C$94=".",0,'Summary, PPI''s'!C48)+IF(D$94=".",0,'Summary, PPI''s'!D48)+IF(N$94=".",0,'Summary, PPI''s'!N48)+IF(O$94=".",0,'Summary, PPI''s'!O48)+IF(P$94=".",0,'Summary, PPI''s'!P48)</f>
        <v>11903460.945867898</v>
      </c>
      <c r="X48" s="1">
        <f>IF(E$123=".", 0, 'Summary, PPI''s'!E48)+IF(F$123=".", 0, 'Summary, PPI''s'!F48)+IF(G$123=".", 0, 'Summary, PPI''s'!G48)+IF(H$123=".", 0, 'Summary, PPI''s'!H48)+IF(I$123=".", 0, 'Summary, PPI''s'!I48)+IF(J$123=".", 0, 'Summary, PPI''s'!J48)+IF(K$123=".", 0, 'Summary, PPI''s'!K48)+IF(L$123=".", 0, 'Summary, PPI''s'!L48)+IF(M$123=".", 0, 'Summary, PPI''s'!M48)+IF(B$123=".", 0, 'Summary, PPI''s'!B48)+IF(C$123=".", 0, 'Summary, PPI''s'!C48)+IF(D$123=".", 0, 'Summary, PPI''s'!D48)+IF(N$123=".", 0, 'Summary, PPI''s'!N48)+IF(O$123=".", 0, 'Summary, PPI''s'!O48)+IF(P$123=".", 0, 'Summary, PPI''s'!P48)</f>
        <v>10291214.997461597</v>
      </c>
      <c r="Z48" s="4" t="e">
        <f>Z47*IF(E$26=".", 1, (E48/E47)^(('Summary, PPI''s'!$E48+'Summary, PPI''s'!$E47)/('Predicted PPIs'!R48+'Predicted PPIs'!R47)))*IF(F$26=".", 1, (F48/F47)^(('Summary, PPI''s'!$F48+'Summary, PPI''s'!$F47)/('Predicted PPIs'!R48+'Predicted PPIs'!R47)))*IF(G$26=".", 1, (G48/G47)^(('Summary, PPI''s'!$G48+'Summary, PPI''s'!$G47)/('Predicted PPIs'!R48+'Predicted PPIs'!R47)))*IF(H$26=".", 1, (H48/H47)^(('Summary, PPI''s'!$H48+'Summary, PPI''s'!$H47)/('Predicted PPIs'!R48+'Predicted PPIs'!R47)))*IF(I$26=".", 1, (I48/I47)^(('Summary, PPI''s'!$I48+'Summary, PPI''s'!$I47)/('Predicted PPIs'!R48+'Predicted PPIs'!R47)))*IF(J$26=".", 1, (J48/J47)^(('Summary, PPI''s'!$J48+'Summary, PPI''s'!$J47)/('Predicted PPIs'!R48+'Predicted PPIs'!R47)))*IF(K$26=".", 1, (K48/K47)^(('Summary, PPI''s'!$K48+'Summary, PPI''s'!$K47)/('Predicted PPIs'!R48+'Predicted PPIs'!R47)))*IF(L$26=".", 1, (L48/L47)^(('Summary, PPI''s'!$L48+'Summary, PPI''s'!$L47)/('Predicted PPIs'!R48+'Predicted PPIs'!R47)))*IF(M$26=".", 1, (M48/M47)^(('Summary, PPI''s'!$M48+'Summary, PPI''s'!$M47)/('Predicted PPIs'!R48+'Predicted PPIs'!R47)))*IF(B$26=".", 1, (B48/B47)^(('Summary, PPI''s'!$B48+'Summary, PPI''s'!$B47)/('Predicted PPIs'!R48+'Predicted PPIs'!R47)))*IF(C$26=".", 1, (C48/C47)^(('Summary, PPI''s'!$C48+'Summary, PPI''s'!$C47)/('Predicted PPIs'!R48+'Predicted PPIs'!R47)))*IF(D$26=".", 1, (D48/D47)^(('Summary, PPI''s'!$D48+'Summary, PPI''s'!$D47)/('Predicted PPIs'!R48+'Predicted PPIs'!R47)))*IF(N$26=".", 1, (N48/N47)^(('Summary, PPI''s'!$N48+'Summary, PPI''s'!$N47)/('Predicted PPIs'!R48+'Predicted PPIs'!R47)))*IF(O$26=".", 1, (O48/O47)^(('Summary, PPI''s'!$O48+'Summary, PPI''s'!$O47)/('Predicted PPIs'!R48+'Predicted PPIs'!R47)))*IF(P$26=".", 1, (P48/P47)^(('Summary, PPI''s'!$P48+'Summary, PPI''s'!$P47)/('Predicted PPIs'!R48+'Predicted PPIs'!R47)))</f>
        <v>#VALUE!</v>
      </c>
      <c r="AA48" s="4" t="e">
        <f>AA47*IF(E$36=".", 1, (E48/E47)^(('Summary, PPI''s'!$E48+'Summary, PPI''s'!$E47)/('Predicted PPIs'!S48+'Predicted PPIs'!S47)))*IF(F$36=".", 1, (F48/F47)^(('Summary, PPI''s'!$F48+'Summary, PPI''s'!$F47)/('Predicted PPIs'!S48+'Predicted PPIs'!S47)))*IF(G$36=".", 1, (G48/G47)^(('Summary, PPI''s'!$G48+'Summary, PPI''s'!$G47)/('Predicted PPIs'!S48+'Predicted PPIs'!S47)))*IF(H$36=".", 1, (H48/H47)^(('Summary, PPI''s'!$H48+'Summary, PPI''s'!$H47)/('Predicted PPIs'!S48+'Predicted PPIs'!S47)))*IF(I$36=".", 1, (I48/I47)^(('Summary, PPI''s'!$I48+'Summary, PPI''s'!$I47)/('Predicted PPIs'!S48+'Predicted PPIs'!S47)))*IF(J$36=".", 1, (J48/J47)^(('Summary, PPI''s'!$J48+'Summary, PPI''s'!$J47)/('Predicted PPIs'!S48+'Predicted PPIs'!S47)))*IF(K$36=".", 1, (K48/K47)^(('Summary, PPI''s'!$K48+'Summary, PPI''s'!$K47)/('Predicted PPIs'!S48+'Predicted PPIs'!S47)))*IF(L$36=".", 1, (L48/L47)^(('Summary, PPI''s'!$L48+'Summary, PPI''s'!$L47)/('Predicted PPIs'!S48+'Predicted PPIs'!S47)))*IF(M$36=".", 1, (M48/M47)^(('Summary, PPI''s'!$M48+'Summary, PPI''s'!$M47)/('Predicted PPIs'!S48+'Predicted PPIs'!S47)))*IF(B$36=".", 1, (B48/B47)^(('Summary, PPI''s'!$B48+'Summary, PPI''s'!$B47)/('Predicted PPIs'!S48+'Predicted PPIs'!S47)))*IF(C$36=".", 1, (C48/C47)^(('Summary, PPI''s'!$C48+'Summary, PPI''s'!$C47)/('Predicted PPIs'!S48+'Predicted PPIs'!S47)))*IF(D$36=".", 1, (D48/D47)^(('Summary, PPI''s'!$D48+'Summary, PPI''s'!$D47)/('Predicted PPIs'!S48+'Predicted PPIs'!S47)))*IF(N$36=".", 1, (N48/N47)^(('Summary, PPI''s'!$N48+'Summary, PPI''s'!$N47)/('Predicted PPIs'!S48+'Predicted PPIs'!S47)))*IF(O$36=".", 1, (O48/O47)^(('Summary, PPI''s'!$O48+'Summary, PPI''s'!$O47)/('Predicted PPIs'!S48+'Predicted PPIs'!S47)))*IF(P$36=".", 1, (P48/P47)^(('Summary, PPI''s'!$P48+'Summary, PPI''s'!$P47)/('Predicted PPIs'!S48+'Predicted PPIs'!S47)))</f>
        <v>#VALUE!</v>
      </c>
      <c r="AB48" s="4" t="e">
        <f>AB47*IF(E$46=".", 1, (E48/E47)^(('Summary, PPI''s'!$E48+'Summary, PPI''s'!$E47)/('Predicted PPIs'!T48+'Predicted PPIs'!T47)))*IF(F$46=".", 1, (F48/F47)^(('Summary, PPI''s'!$F48+'Summary, PPI''s'!$F47)/('Predicted PPIs'!T48+'Predicted PPIs'!T47)))*IF(G$46=".", 1, (G48/G47)^(('Summary, PPI''s'!$G48+'Summary, PPI''s'!$G47)/('Predicted PPIs'!T48+'Predicted PPIs'!T47)))*IF(H$46=".", 1, (H48/H47)^(('Summary, PPI''s'!$H48+'Summary, PPI''s'!$H47)/('Predicted PPIs'!T48+'Predicted PPIs'!T47)))*IF(I$46=".", 1, (I48/I47)^(('Summary, PPI''s'!$I48+'Summary, PPI''s'!$I47)/('Predicted PPIs'!T48+'Predicted PPIs'!T47)))*IF(J$46=".", 1, (J48/J47)^(('Summary, PPI''s'!$J48+'Summary, PPI''s'!$J47)/('Predicted PPIs'!T48+'Predicted PPIs'!T47)))*IF(K$46=".", 1, (K48/K47)^(('Summary, PPI''s'!$K48+'Summary, PPI''s'!$K47)/('Predicted PPIs'!T48+'Predicted PPIs'!T47)))*IF(L$46=".", 1, (L48/L47)^(('Summary, PPI''s'!$L48+'Summary, PPI''s'!$L47)/('Predicted PPIs'!T48+'Predicted PPIs'!T47)))*IF(M$46=".", 1, (M48/M47)^(('Summary, PPI''s'!$M48+'Summary, PPI''s'!$M47)/('Predicted PPIs'!T48+'Predicted PPIs'!T47)))*IF(B$46=".", 1, (B48/B47)^(('Summary, PPI''s'!$B48+'Summary, PPI''s'!$B47)/('Predicted PPIs'!T48+'Predicted PPIs'!T47)))*IF(C$46=".", 1, (C48/C47)^(('Summary, PPI''s'!$C48+'Summary, PPI''s'!$C47)/('Predicted PPIs'!T48+'Predicted PPIs'!T47)))*IF(D$46=".", 1, (D48/D47)^(('Summary, PPI''s'!$D48+'Summary, PPI''s'!$D47)/('Predicted PPIs'!T48+'Predicted PPIs'!T47)))*IF(N$46=".", 1, (N48/N47)^(('Summary, PPI''s'!$N48+'Summary, PPI''s'!$N47)/('Predicted PPIs'!T48+'Predicted PPIs'!T47)))*IF(O$46=".", 1, (O48/O47)^(('Summary, PPI''s'!$O48+'Summary, PPI''s'!$O47)/('Predicted PPIs'!T48+'Predicted PPIs'!T47)))*IF(P$46=".", 1, (P48/P47)^(('Summary, PPI''s'!$P48+'Summary, PPI''s'!$P47)/('Predicted PPIs'!T48+'Predicted PPIs'!T47)))</f>
        <v>#VALUE!</v>
      </c>
      <c r="AC48" s="4">
        <f>AC47*IF(E$60=".",1,(E48/E47)^(('Summary, PPI''s'!$E48+'Summary, PPI''s'!$E47)/('Predicted PPIs'!U48+'Predicted PPIs'!U47)))*IF(F$60=".",1,(F48/F47)^(('Summary, PPI''s'!$F48+'Summary, PPI''s'!$F47)/('Predicted PPIs'!U48+'Predicted PPIs'!U47)))*IF(G$60=".",1,(G48/G47)^(('Summary, PPI''s'!$G48+'Summary, PPI''s'!$G47)/('Predicted PPIs'!U48+'Predicted PPIs'!U47)))*IF(H$60=".",1,(H48/H47)^(('Summary, PPI''s'!$H48+'Summary, PPI''s'!$H47)/('Predicted PPIs'!U48+'Predicted PPIs'!U47)))*IF(I$60=".",1,(I48/I47)^(('Summary, PPI''s'!$I48+'Summary, PPI''s'!$I47)/('Predicted PPIs'!U48+'Predicted PPIs'!U47)))*IF(J$60=".",1,(J48/J47)^(('Summary, PPI''s'!$J48+'Summary, PPI''s'!$J47)/('Predicted PPIs'!U48+'Predicted PPIs'!U47)))*IF(K$60=".",1,(K48/K47)^(('Summary, PPI''s'!$K48+'Summary, PPI''s'!$K47)/('Predicted PPIs'!U48+'Predicted PPIs'!U47)))*IF(L$60=".",1,(L48/L47)^(('Summary, PPI''s'!$L48+'Summary, PPI''s'!$L47)/('Predicted PPIs'!U48+'Predicted PPIs'!U47)))*IF(M$60=".",1,(M48/M47)^(('Summary, PPI''s'!$M48+'Summary, PPI''s'!$M47)/('Predicted PPIs'!U48+'Predicted PPIs'!U47)))*IF(B$60=".",1,(B48/B47)^(('Summary, PPI''s'!$B48+'Summary, PPI''s'!$B47)/('Predicted PPIs'!U48+'Predicted PPIs'!U47)))*IF(C$60=".",1,(C48/C47)^(('Summary, PPI''s'!$C48+'Summary, PPI''s'!$C47)/('Predicted PPIs'!U48+'Predicted PPIs'!U47)))*IF(D$60=".",1,(D48/D47)^(('Summary, PPI''s'!$D48+'Summary, PPI''s'!$D47)/('Predicted PPIs'!U48+'Predicted PPIs'!U47)))*IF(N$60=".",1,(N48/N47)^(('Summary, PPI''s'!$N48+'Summary, PPI''s'!$N47)/('Predicted PPIs'!U48+'Predicted PPIs'!U47)))*IF(O$60=".",1,(O48/O47)^(('Summary, PPI''s'!$O48+'Summary, PPI''s'!$O47)/('Predicted PPIs'!U48+'Predicted PPIs'!U47)))*IF(P$60=".",1,(P48/P47)^(('Summary, PPI''s'!$P48+'Summary, PPI''s'!$P47)/('Predicted PPIs'!U48+'Predicted PPIs'!U47)))</f>
        <v>19.312495941451374</v>
      </c>
      <c r="AD48" s="4">
        <f>AD47*IF(E$73=".", 1, (E48/E47)^(('Summary, PPI''s'!$E48+'Summary, PPI''s'!$E47)/('Predicted PPIs'!V48+'Predicted PPIs'!V47)))*IF(F$73=".", 1, (F48/F47)^(('Summary, PPI''s'!$F48+'Summary, PPI''s'!$F47)/('Predicted PPIs'!V48+'Predicted PPIs'!V47)))*IF(G$73=".", 1, (G48/G47)^(('Summary, PPI''s'!$G48+'Summary, PPI''s'!$G47)/('Predicted PPIs'!V48+'Predicted PPIs'!V47)))*IF(H$73=".", 1, (H48/H47)^(('Summary, PPI''s'!$H48+'Summary, PPI''s'!$H47)/('Predicted PPIs'!V48+'Predicted PPIs'!V47)))*IF(I$73=".", 1, (I48/I47)^(('Summary, PPI''s'!$I48+'Summary, PPI''s'!$I47)/('Predicted PPIs'!V48+'Predicted PPIs'!V47)))*IF(J$73=".", 1, (J48/J47)^(('Summary, PPI''s'!$J48+'Summary, PPI''s'!$J47)/('Predicted PPIs'!V48+'Predicted PPIs'!V47)))*IF(K$73=".", 1, (K48/K47)^(('Summary, PPI''s'!$K48+'Summary, PPI''s'!$K47)/('Predicted PPIs'!V48+'Predicted PPIs'!V47)))*IF(L$73=".", 1, (L48/L47)^(('Summary, PPI''s'!$L48+'Summary, PPI''s'!$L47)/('Predicted PPIs'!V48+'Predicted PPIs'!V47)))*IF(M$73=".", 1, (M48/M47)^(('Summary, PPI''s'!$M48+'Summary, PPI''s'!$M47)/('Predicted PPIs'!V48+'Predicted PPIs'!V47)))*IF(B$73=".", 1, (B48/B47)^(('Summary, PPI''s'!$B48+'Summary, PPI''s'!$B47)/('Predicted PPIs'!V48+'Predicted PPIs'!V47)))*IF(C$73=".", 1, (C48/C47)^(('Summary, PPI''s'!$C48+'Summary, PPI''s'!$C47)/('Predicted PPIs'!V48+'Predicted PPIs'!V47)))*IF(D$73=".", 1, (D48/D47)^(('Summary, PPI''s'!$D48+'Summary, PPI''s'!$D47)/('Predicted PPIs'!V48+'Predicted PPIs'!V47)))*IF(N$73=".", 1, (N48/N47)^(('Summary, PPI''s'!$N48+'Summary, PPI''s'!$N47)/('Predicted PPIs'!V48+'Predicted PPIs'!V47)))*IF(O$73=".", 1, (O48/O47)^(('Summary, PPI''s'!$O48+'Summary, PPI''s'!$O47)/('Predicted PPIs'!V48+'Predicted PPIs'!V47)))*IF(P$73=".", 1, (P48/P47)^(('Summary, PPI''s'!$P48+'Summary, PPI''s'!$P47)/('Predicted PPIs'!V48+'Predicted PPIs'!V47)))</f>
        <v>18.026706029039424</v>
      </c>
      <c r="AE48" s="4">
        <f>AE47*IF(E$94=".", 1, (E48/E47)^(('Summary, PPI''s'!$E48+'Summary, PPI''s'!$E47)/('Predicted PPIs'!W48+'Predicted PPIs'!W47)))*IF(F$94=".", 1, (F48/F47)^(('Summary, PPI''s'!$F48+'Summary, PPI''s'!$F47)/('Predicted PPIs'!W48+'Predicted PPIs'!W47)))*IF(G$94=".", 1, (G48/G47)^(('Summary, PPI''s'!$G48+'Summary, PPI''s'!$G47)/('Predicted PPIs'!W48+'Predicted PPIs'!W47)))*IF(H$94=".", 1, (H48/H47)^(('Summary, PPI''s'!$H48+'Summary, PPI''s'!$H47)/('Predicted PPIs'!W48+'Predicted PPIs'!W47)))*IF(I$94=".", 1, (I48/I47)^(('Summary, PPI''s'!$I48+'Summary, PPI''s'!$I47)/('Predicted PPIs'!W48+'Predicted PPIs'!W47)))*IF(J$94=".", 1, (J48/J47)^(('Summary, PPI''s'!$J48+'Summary, PPI''s'!$J47)/('Predicted PPIs'!W48+'Predicted PPIs'!W47)))*IF(K$94=".", 1, (K48/K47)^(('Summary, PPI''s'!$K48+'Summary, PPI''s'!$K47)/('Predicted PPIs'!W48+'Predicted PPIs'!W47)))*IF(L$94=".", 1, (L48/L47)^(('Summary, PPI''s'!$L48+'Summary, PPI''s'!$L47)/('Predicted PPIs'!W48+'Predicted PPIs'!W47)))*IF(M$94=".", 1, (M48/M47)^(('Summary, PPI''s'!$M48+'Summary, PPI''s'!$M47)/('Predicted PPIs'!W48+'Predicted PPIs'!W47)))*IF(B$94=".", 1, (B48/B47)^(('Summary, PPI''s'!$B48+'Summary, PPI''s'!$B47)/('Predicted PPIs'!W48+'Predicted PPIs'!W47)))*IF(C$94=".", 1, (C48/C47)^(('Summary, PPI''s'!$C48+'Summary, PPI''s'!$C47)/('Predicted PPIs'!W48+'Predicted PPIs'!W47)))*IF(D$94=".", 1, (D48/D47)^(('Summary, PPI''s'!$D48+'Summary, PPI''s'!$D47)/('Predicted PPIs'!W48+'Predicted PPIs'!W47)))*IF(N$94=".", 1, (N48/N47)^(('Summary, PPI''s'!$N48+'Summary, PPI''s'!$N47)/('Predicted PPIs'!W48+'Predicted PPIs'!W47)))*IF(O$94=".", 1, (O48/O47)^(('Summary, PPI''s'!$O48+'Summary, PPI''s'!$O47)/('Predicted PPIs'!W48+'Predicted PPIs'!W47)))*IF(P$94=".", 1, (P48/P47)^(('Summary, PPI''s'!$P48+'Summary, PPI''s'!$P47)/('Predicted PPIs'!W48+'Predicted PPIs'!W47)))</f>
        <v>16.831473110634761</v>
      </c>
      <c r="AF48" s="4">
        <f>AF47*IF(E$123=".", 1, (E48/E47)^(('Summary, PPI''s'!$E48+'Summary, PPI''s'!$E47)/('Predicted PPIs'!X48+'Predicted PPIs'!X47)))*IF(F$123=".", 1, (F48/F47)^(('Summary, PPI''s'!$F48+'Summary, PPI''s'!$F47)/('Predicted PPIs'!X48+'Predicted PPIs'!X47)))*IF(G$123=".", 1, (G48/G47)^(('Summary, PPI''s'!$G48+'Summary, PPI''s'!$G47)/('Predicted PPIs'!X48+'Predicted PPIs'!X47)))*IF(H$123=".", 1, (H48/H47)^(('Summary, PPI''s'!$H48+'Summary, PPI''s'!$H47)/('Predicted PPIs'!X48+'Predicted PPIs'!X47)))*IF(I$123=".", 1, (I48/I47)^(('Summary, PPI''s'!$I48+'Summary, PPI''s'!$I47)/('Predicted PPIs'!X48+'Predicted PPIs'!X47)))*IF(J$123=".", 1, (J48/J47)^(('Summary, PPI''s'!$J48+'Summary, PPI''s'!$J47)/('Predicted PPIs'!X48+'Predicted PPIs'!X47)))*IF(K$123=".", 1, (K48/K47)^(('Summary, PPI''s'!$K48+'Summary, PPI''s'!$K47)/('Predicted PPIs'!X48+'Predicted PPIs'!X47)))*IF(L$123=".", 1, (L48/L47)^(('Summary, PPI''s'!$L48+'Summary, PPI''s'!$L47)/('Predicted PPIs'!X48+'Predicted PPIs'!X47)))*IF(M$123=".", 1, (M48/M47)^(('Summary, PPI''s'!$M48+'Summary, PPI''s'!$M47)/('Predicted PPIs'!X48+'Predicted PPIs'!X47)))*IF(B$123=".", 1, (B48/B47)^(('Summary, PPI''s'!$B48+'Summary, PPI''s'!$B47)/('Predicted PPIs'!X48+'Predicted PPIs'!X47)))*IF(C$123=".", 1, (C48/C47)^(('Summary, PPI''s'!$C48+'Summary, PPI''s'!$C47)/('Predicted PPIs'!X48+'Predicted PPIs'!X47)))*IF(D$123=".", 1, (D48/D47)^(('Summary, PPI''s'!$D48+'Summary, PPI''s'!$D47)/('Predicted PPIs'!X48+'Predicted PPIs'!X47)))*IF(N$123=".", 1, (N48/N47)^(('Summary, PPI''s'!$N48+'Summary, PPI''s'!$N47)/('Predicted PPIs'!X48+'Predicted PPIs'!X47)))*IF(O$123=".", 1, (O48/O47)^(('Summary, PPI''s'!$O48+'Summary, PPI''s'!$O47)/('Predicted PPIs'!X48+'Predicted PPIs'!X47)))*IF(P$123=".", 1, (P48/P47)^(('Summary, PPI''s'!$P48+'Summary, PPI''s'!$P47)/('Predicted PPIs'!X48+'Predicted PPIs'!X47)))</f>
        <v>15.723505617560553</v>
      </c>
      <c r="AH48" s="13">
        <f t="shared" si="91"/>
        <v>21.354374482398434</v>
      </c>
      <c r="AJ48" s="4">
        <v>1030.5</v>
      </c>
      <c r="AK48" s="4">
        <v>-1.129</v>
      </c>
      <c r="AL48" s="4">
        <v>-98.778000000000006</v>
      </c>
      <c r="AM48" s="4">
        <v>-3.98</v>
      </c>
      <c r="AN48" s="4">
        <v>1276.3</v>
      </c>
      <c r="AO48" s="4">
        <v>262.2</v>
      </c>
      <c r="AP48" s="4">
        <f>('[3]1975'!$I$14+'[3]1975'!$I$69+'[3]1975'!$I$71-'[3]1975'!$I$73)*0.001</f>
        <v>-16.170000000000002</v>
      </c>
      <c r="AQ48" s="4">
        <f>('[3]1975'!$AY$56+'[3]1975'!$AY$69+'[3]1975'!$AY$71-'[3]1975'!$AY$73)*0.001</f>
        <v>-47.761000000000003</v>
      </c>
      <c r="AR48" s="4">
        <f>AR$38*4780/23762</f>
        <v>-2.2505950677552393</v>
      </c>
      <c r="AS48" s="4">
        <v>-5.5179999999999998</v>
      </c>
      <c r="AT48" s="4">
        <v>28.414999999999999</v>
      </c>
      <c r="AU48" s="4">
        <v>41.436</v>
      </c>
      <c r="AV48" s="4">
        <v>21.547999999999998</v>
      </c>
      <c r="AW48" s="4">
        <v>23.065999999999999</v>
      </c>
      <c r="AX48" s="4">
        <v>29.969000000000001</v>
      </c>
      <c r="AY48" s="4">
        <v>40.874000000000002</v>
      </c>
      <c r="AZ48" s="4">
        <v>18.773</v>
      </c>
      <c r="BA48" s="4">
        <v>29.904</v>
      </c>
      <c r="BB48" s="4">
        <f>BB$38*173.329/184.05</f>
        <v>96.981366041836466</v>
      </c>
      <c r="BC48" s="4">
        <v>36.790999999999997</v>
      </c>
      <c r="BG48" s="4">
        <f t="shared" si="50"/>
        <v>33.208509050582009</v>
      </c>
      <c r="BI48" s="4">
        <f>BI$13*'[2]Ordinary Experience'!$D$378/'[2]Ordinary Experience'!$D$413</f>
        <v>214794317.73068196</v>
      </c>
      <c r="BJ48" s="4">
        <f>'[2]Ordinary Experience'!$E$378</f>
        <v>25.379125280434707</v>
      </c>
      <c r="BL48" s="4">
        <f t="shared" si="90"/>
        <v>52.275955820828692</v>
      </c>
      <c r="BM48" s="4">
        <f t="shared" si="34"/>
        <v>-5.8689567028237799E-2</v>
      </c>
      <c r="BO48" s="4">
        <f>IF(OR('Summary, hourly ad costs'!R48=-9999,'Summary, PPI''s'!R48="."),".",(('Summary, hourly ad costs'!B48/'Summary, hourly ad costs'!R48)*100/('Summary, hourly ad costs'!B$11/'Summary, hourly ad costs'!R$11))/('Summary, PPI''s'!R48))</f>
        <v>1.2787103848987789</v>
      </c>
      <c r="BP48" s="4" t="str">
        <f>IF(OR('Summary, hourly ad costs'!S48=-9999,'Summary, PPI''s'!S48="."),".",(('Summary, hourly ad costs'!C48/'Summary, hourly ad costs'!S48)*100/('Summary, hourly ad costs'!C$11/'Summary, hourly ad costs'!S$11))/('Summary, PPI''s'!S48))</f>
        <v>.</v>
      </c>
      <c r="BQ48" s="4" t="str">
        <f>IF(OR('Summary, hourly ad costs'!T48=-9999,'Summary, PPI''s'!T48="."),".",(('Summary, hourly ad costs'!D48/'Summary, hourly ad costs'!T48)*100/('Summary, hourly ad costs'!D$11/'Summary, hourly ad costs'!T$11))/('Summary, PPI''s'!T48))</f>
        <v>.</v>
      </c>
      <c r="BR48" s="4">
        <f>IF(OR('Summary, hourly ad costs'!U48=-9999,'Summary, PPI''s'!U48="."),".",(('Summary, hourly ad costs'!E48/'Summary, hourly ad costs'!U48)*100/('Summary, hourly ad costs'!E$11/'Summary, hourly ad costs'!U$11))/('Summary, PPI''s'!U48))</f>
        <v>1.8922413975391388</v>
      </c>
      <c r="BS48" s="4">
        <f>IF(OR('Summary, hourly ad costs'!V48=-9999,'Summary, PPI''s'!V48="."),".",(('Summary, hourly ad costs'!F48/'Summary, hourly ad costs'!V48)*100/('Summary, hourly ad costs'!F$11/'Summary, hourly ad costs'!V$11))/('Summary, PPI''s'!V48))</f>
        <v>1.5858749507106304</v>
      </c>
      <c r="BT48" s="4" t="str">
        <f>IF(OR('Summary, hourly ad costs'!W48=-9999,'Summary, PPI''s'!W48="."),".",(('Summary, hourly ad costs'!G48/'Summary, hourly ad costs'!W48)*100/('Summary, hourly ad costs'!G$11/'Summary, hourly ad costs'!W$11))/('Summary, PPI''s'!W48))</f>
        <v>.</v>
      </c>
      <c r="BU48" s="4">
        <f>IF(OR('Summary, hourly ad costs'!X48=-9999,'Summary, PPI''s'!X48="."),".",(('Summary, hourly ad costs'!H48/'Summary, hourly ad costs'!X48)*100/('Summary, hourly ad costs'!H$11/'Summary, hourly ad costs'!X$11))/('Summary, PPI''s'!X48))</f>
        <v>1.1131567989916431</v>
      </c>
      <c r="BV48" s="4" t="str">
        <f>IF(OR('Summary, hourly ad costs'!Y48=-9999,'Summary, PPI''s'!Y48="."),".",(('Summary, hourly ad costs'!I48/'Summary, hourly ad costs'!Y48)*100/('Summary, hourly ad costs'!I$11/'Summary, hourly ad costs'!Y$11))/('Summary, PPI''s'!Y48))</f>
        <v>.</v>
      </c>
      <c r="BW48" s="4" t="str">
        <f>IF(OR('Summary, hourly ad costs'!Z48=-9999,'Summary, PPI''s'!Z48="."),".",(('Summary, hourly ad costs'!J48/'Summary, hourly ad costs'!Z48)*100/('Summary, hourly ad costs'!J$11/'Summary, hourly ad costs'!Z$11))/('Summary, PPI''s'!Z48))</f>
        <v>.</v>
      </c>
      <c r="BX48" s="4" t="str">
        <f>IF(OR('Summary, hourly ad costs'!AA48=-9999,'Summary, PPI''s'!AA48="."),".",(('Summary, hourly ad costs'!K48/'Summary, hourly ad costs'!AA48)*100/('Summary, hourly ad costs'!K$11/'Summary, hourly ad costs'!AA$11))/('Summary, PPI''s'!AA48))</f>
        <v>.</v>
      </c>
      <c r="BY48" s="4" t="str">
        <f>IF(OR('Summary, hourly ad costs'!AB48=-9999,'Summary, PPI''s'!AB48="."),".",(('Summary, hourly ad costs'!L48/'Summary, hourly ad costs'!AB48)*100/('Summary, hourly ad costs'!L$11/'Summary, hourly ad costs'!AB$11))/('Summary, PPI''s'!AB48))</f>
        <v>.</v>
      </c>
      <c r="BZ48" s="4" t="str">
        <f>IF(OR('Summary, hourly ad costs'!AC48=-9999,'Summary, PPI''s'!AC48="."),".",(('Summary, hourly ad costs'!M48/'Summary, hourly ad costs'!AC48)*100/('Summary, hourly ad costs'!M$11/'Summary, hourly ad costs'!AC$11))/('Summary, PPI''s'!AC48))</f>
        <v>.</v>
      </c>
      <c r="CA48" s="4" t="str">
        <f>IF(OR('Summary, hourly ad costs'!AD48=-9999,'Summary, PPI''s'!AD48="."),".",(('Summary, hourly ad costs'!N48/'Summary, hourly ad costs'!AD48)*100/('Summary, hourly ad costs'!N$11/'Summary, hourly ad costs'!AD$11))/('Summary, PPI''s'!AD48))</f>
        <v>.</v>
      </c>
      <c r="CB48" s="4" t="str">
        <f>IF(OR('Summary, hourly ad costs'!AE48=-9999,'Summary, PPI''s'!AE48="."),".",(('Summary, hourly ad costs'!O48/'Summary, hourly ad costs'!AE48)*100/('Summary, hourly ad costs'!O$11/'Summary, hourly ad costs'!AE$11))/('Summary, PPI''s'!AE48))</f>
        <v>.</v>
      </c>
      <c r="CC48" s="4" t="str">
        <f>IF(OR('Summary, hourly ad costs'!AF48=-9999,'Summary, PPI''s'!AF48="."),".",(('Summary, hourly ad costs'!P48/'Summary, hourly ad costs'!AF48)*100/('Summary, hourly ad costs'!P$11/'Summary, hourly ad costs'!AF$11))/('Summary, PPI''s'!AF48))</f>
        <v>.</v>
      </c>
      <c r="CE48" s="4">
        <f t="shared" si="113"/>
        <v>-9.3784660641228257E-2</v>
      </c>
      <c r="CF48" s="4" t="str">
        <f t="shared" si="114"/>
        <v>.</v>
      </c>
      <c r="CG48" s="4" t="str">
        <f t="shared" si="115"/>
        <v>.</v>
      </c>
      <c r="CH48" s="4">
        <f t="shared" si="116"/>
        <v>-0.11983236232356531</v>
      </c>
      <c r="CI48" s="4">
        <f t="shared" si="117"/>
        <v>-8.3226107979012198E-2</v>
      </c>
      <c r="CJ48" s="4" t="str">
        <f t="shared" si="118"/>
        <v>.</v>
      </c>
      <c r="CK48" s="4">
        <f t="shared" si="119"/>
        <v>2.2765394436019548E-5</v>
      </c>
      <c r="CL48" s="4">
        <f t="shared" si="130"/>
        <v>-7.6144783000637067E-2</v>
      </c>
      <c r="CM48" s="4">
        <f t="shared" si="130"/>
        <v>-1.4215256857193801E-2</v>
      </c>
      <c r="CN48" s="4">
        <f t="shared" si="89"/>
        <v>-9.1205163681377113E-2</v>
      </c>
      <c r="CO48" s="4">
        <f t="shared" si="120"/>
        <v>-0.39145162506483711</v>
      </c>
      <c r="CP48" s="4">
        <f t="shared" si="120"/>
        <v>0.34629954764360549</v>
      </c>
      <c r="CQ48" s="4" t="str">
        <f t="shared" si="110"/>
        <v>.</v>
      </c>
      <c r="CR48" s="4" t="str">
        <f t="shared" si="111"/>
        <v>.</v>
      </c>
      <c r="CS48" s="4" t="str">
        <f t="shared" si="112"/>
        <v>.</v>
      </c>
      <c r="CU48" s="5">
        <f>IF(CU47=".", ".", IF('Summary, PPI''s'!R48=".",IF(OR('Summary, hourly ad costs'!R48=-9999,'Summary, hourly ad costs'!R48=0), ".", 'Predicted PPIs'!CU47*('Summary, hourly ad costs'!B48/'Summary, hourly ad costs'!R48)/('Summary, hourly ad costs'!B47/'Summary, hourly ad costs'!R47)/(1-CE47)), 'Summary, PPI''s'!R48))</f>
        <v>36.212954059545545</v>
      </c>
      <c r="CV48" s="5">
        <f>IF(CV47=".", ".", IF('Summary, PPI''s'!S48=".",IF(OR('Summary, hourly ad costs'!S48=-9999,'Summary, hourly ad costs'!S48=0), ".", 'Predicted PPIs'!CV47*('Summary, hourly ad costs'!C48/'Summary, hourly ad costs'!S48)/('Summary, hourly ad costs'!C47/'Summary, hourly ad costs'!S47)/(1-CF47)), 'Summary, PPI''s'!S48))</f>
        <v>36.212954059545545</v>
      </c>
      <c r="CW48" s="5" t="str">
        <f>IF(CW47=".", ".", IF('Summary, PPI''s'!T48=".",IF(OR('Summary, hourly ad costs'!T48=-9999,'Summary, hourly ad costs'!T48=0), ".", 'Predicted PPIs'!CW47*('Summary, hourly ad costs'!D48/'Summary, hourly ad costs'!T48)/('Summary, hourly ad costs'!D47/'Summary, hourly ad costs'!T47)/(1-CG47)), 'Summary, PPI''s'!T48))</f>
        <v>.</v>
      </c>
      <c r="CX48" s="5">
        <f>IF(CX47=".", ".", IF('Summary, PPI''s'!U48=".",IF(OR('Summary, hourly ad costs'!U48=-9999,'Summary, hourly ad costs'!U48=0), ".", 'Predicted PPIs'!CX47*('Summary, hourly ad costs'!E48/'Summary, hourly ad costs'!U48)/('Summary, hourly ad costs'!E47/'Summary, hourly ad costs'!U47)/(1-CH47)), 'Summary, PPI''s'!U48))</f>
        <v>13.338132243689651</v>
      </c>
      <c r="CY48" s="5">
        <f>IF(CY47=".", ".", IF('Summary, PPI''s'!V48=".",IF(OR('Summary, hourly ad costs'!V48=-9999,'Summary, hourly ad costs'!V48=0), ".", 'Predicted PPIs'!CY47*('Summary, hourly ad costs'!F48/'Summary, hourly ad costs'!V48)/('Summary, hourly ad costs'!F47/'Summary, hourly ad costs'!V47)/(1-CI47)), 'Summary, PPI''s'!V48))</f>
        <v>16.696837506126595</v>
      </c>
      <c r="CZ48" s="5">
        <f>IF(CZ47=".", ".", IF('Summary, PPI''s'!W48=".",IF(OR('Summary, hourly ad costs'!W48=-9999,'Summary, hourly ad costs'!W48=0), ".", 'Predicted PPIs'!CZ47*('Summary, hourly ad costs'!G48/'Summary, hourly ad costs'!W48)/('Summary, hourly ad costs'!G47/'Summary, hourly ad costs'!W47)/(1-CJ47)), 'Summary, PPI''s'!W48))</f>
        <v>18.360153342642104</v>
      </c>
      <c r="DA48" s="5">
        <f>IF(DA47=".", ".", IF('Summary, PPI''s'!X48=".",IF(OR('Summary, hourly ad costs'!X48=-9999,'Summary, hourly ad costs'!X48=0), ".", 'Predicted PPIs'!DA47*('Summary, hourly ad costs'!H48/'Summary, hourly ad costs'!X48)/('Summary, hourly ad costs'!H47/'Summary, hourly ad costs'!X47)/(1-CK47)), 'Summary, PPI''s'!X48))</f>
        <v>22.907</v>
      </c>
      <c r="DB48" s="5">
        <f>IF(DB47=".", ".", IF('Summary, PPI''s'!Y48=".",IF(OR('Summary, hourly ad costs'!Y48=-9999,'Summary, hourly ad costs'!Y48=0), ".", 'Predicted PPIs'!DB47*('Summary, hourly ad costs'!I48/'Summary, hourly ad costs'!Y48)/('Summary, hourly ad costs'!I47/'Summary, hourly ad costs'!Y47)/(1-CL47)), 'Summary, PPI''s'!Y48))</f>
        <v>21.145233679924949</v>
      </c>
      <c r="DC48" s="5">
        <f>IF(DC47=".", ".", IF('Summary, PPI''s'!Z48=".",IF(OR('Summary, hourly ad costs'!Z48=-9999,'Summary, hourly ad costs'!Z48=0), ".", 'Predicted PPIs'!DC47*('Summary, hourly ad costs'!J48/'Summary, hourly ad costs'!Z48)/('Summary, hourly ad costs'!J47/'Summary, hourly ad costs'!Z47)/(1-CM47)), 'Summary, PPI''s'!Z48))</f>
        <v>20.021272812543881</v>
      </c>
      <c r="DD48" s="5" t="str">
        <f>IF(DD47=".", ".", IF('Summary, PPI''s'!AA48=".",IF(OR('Summary, hourly ad costs'!AA48=-9999,'Summary, hourly ad costs'!AA48=0), ".", 'Predicted PPIs'!DD47*('Summary, hourly ad costs'!K48/'Summary, hourly ad costs'!AA48)/('Summary, hourly ad costs'!K47/'Summary, hourly ad costs'!AA47)/(1-CN47)), 'Summary, PPI''s'!AA48))</f>
        <v>.</v>
      </c>
      <c r="DE48" s="5" t="str">
        <f>IF(DE47=".", ".", IF('Summary, PPI''s'!AB48=".",IF(OR('Summary, hourly ad costs'!AB48=-9999,'Summary, hourly ad costs'!AB48=0), ".", 'Predicted PPIs'!DE47*('Summary, hourly ad costs'!L48/'Summary, hourly ad costs'!AB48)/('Summary, hourly ad costs'!L47/'Summary, hourly ad costs'!AB47)/(1-CO47)), 'Summary, PPI''s'!AB48))</f>
        <v>.</v>
      </c>
      <c r="DF48" s="5" t="str">
        <f>IF(DF47=".", ".", IF('Summary, PPI''s'!AC48=".",IF(OR('Summary, hourly ad costs'!AC48=-9999,'Summary, hourly ad costs'!AC48=0), ".", 'Predicted PPIs'!DF47*('Summary, hourly ad costs'!M48/'Summary, hourly ad costs'!AC48)/('Summary, hourly ad costs'!M47/'Summary, hourly ad costs'!AC47)/(1-CP47)), 'Summary, PPI''s'!AC48))</f>
        <v>.</v>
      </c>
      <c r="DG48" s="5" t="str">
        <f>IF(DG47=".", ".", IF('Summary, PPI''s'!AD48=".",IF(OR('Summary, hourly ad costs'!AD48=-9999,'Summary, hourly ad costs'!AD48=0), ".", 'Predicted PPIs'!DG47*('Summary, hourly ad costs'!N48/'Summary, hourly ad costs'!AD48)/('Summary, hourly ad costs'!N47/'Summary, hourly ad costs'!AD47)/(1-CQ47)), 'Summary, PPI''s'!AD48))</f>
        <v>.</v>
      </c>
      <c r="DH48" s="5" t="str">
        <f>IF(DH47=".", ".", IF('Summary, PPI''s'!AE48=".",IF(OR('Summary, hourly ad costs'!AE48=-9999,'Summary, hourly ad costs'!AE48=0), ".", 'Predicted PPIs'!DH47*('Summary, hourly ad costs'!O48/'Summary, hourly ad costs'!AE48)/('Summary, hourly ad costs'!O47/'Summary, hourly ad costs'!AE47)/(1-CR47)), 'Summary, PPI''s'!AE48))</f>
        <v>.</v>
      </c>
      <c r="DI48" s="5" t="str">
        <f>IF(DI47=".", ".", IF('Summary, PPI''s'!AF48=".",IF(OR('Summary, hourly ad costs'!AF48=-9999,'Summary, hourly ad costs'!AF48=0), ".", 'Predicted PPIs'!DI47*('Summary, hourly ad costs'!P48/'Summary, hourly ad costs'!AF48)/('Summary, hourly ad costs'!P47/'Summary, hourly ad costs'!AF47)/(1-CS47)), 'Summary, PPI''s'!AF48))</f>
        <v>.</v>
      </c>
      <c r="DK48" s="4">
        <v>13.035</v>
      </c>
      <c r="DM48" s="5">
        <f t="shared" si="121"/>
        <v>4.6696441796078458E-2</v>
      </c>
      <c r="DN48" s="5">
        <f t="shared" si="122"/>
        <v>4.6696441796078458E-2</v>
      </c>
      <c r="DO48" s="4">
        <f t="shared" si="123"/>
        <v>-2.3249037013137637E-2</v>
      </c>
      <c r="DP48" s="5">
        <f t="shared" si="124"/>
        <v>0.10120103536467573</v>
      </c>
      <c r="DQ48" s="5">
        <f t="shared" si="125"/>
        <v>6.6050367683232469E-3</v>
      </c>
      <c r="DR48" s="5">
        <f t="shared" si="126"/>
        <v>6.0515915572026291E-2</v>
      </c>
      <c r="DS48" s="5">
        <f t="shared" si="127"/>
        <v>8.6328658386798374E-3</v>
      </c>
      <c r="DT48" s="5">
        <f t="shared" si="128"/>
        <v>4.8548184362582125E-2</v>
      </c>
      <c r="DU48" s="5">
        <f t="shared" si="129"/>
        <v>-4.240186472530505E-2</v>
      </c>
      <c r="DV48" s="4">
        <f t="shared" si="131"/>
        <v>3.0417117789888187E-3</v>
      </c>
      <c r="DW48" s="4">
        <f t="shared" si="78"/>
        <v>0.15224406745054331</v>
      </c>
      <c r="DX48" s="4">
        <f t="shared" si="78"/>
        <v>-0.45833568432104899</v>
      </c>
      <c r="DY48" s="4">
        <f t="shared" si="108"/>
        <v>-2.7723937706984118E-2</v>
      </c>
      <c r="DZ48" s="4">
        <f t="shared" si="132"/>
        <v>-2.2031273000474798E-2</v>
      </c>
      <c r="EA48" s="4">
        <f t="shared" si="109"/>
        <v>-1.6708173702389108E-2</v>
      </c>
      <c r="EC48" s="1">
        <f t="shared" si="93"/>
        <v>36.212954059545545</v>
      </c>
      <c r="ED48" s="1">
        <f t="shared" si="94"/>
        <v>36.212954059545545</v>
      </c>
      <c r="EE48" s="1">
        <f t="shared" si="95"/>
        <v>30.304259168445199</v>
      </c>
      <c r="EF48" s="1">
        <f t="shared" si="96"/>
        <v>13.338132243689651</v>
      </c>
      <c r="EG48" s="1">
        <f t="shared" si="97"/>
        <v>16.696837506126595</v>
      </c>
      <c r="EH48" s="1">
        <f t="shared" si="98"/>
        <v>18.360153342642104</v>
      </c>
      <c r="EI48" s="1">
        <f t="shared" si="99"/>
        <v>22.907</v>
      </c>
      <c r="EJ48" s="1">
        <f t="shared" si="100"/>
        <v>21.145233679924949</v>
      </c>
      <c r="EK48" s="1">
        <f t="shared" si="101"/>
        <v>20.021272812543881</v>
      </c>
      <c r="EL48" s="1">
        <f t="shared" si="102"/>
        <v>10.610688652020738</v>
      </c>
      <c r="EM48" s="1">
        <f t="shared" si="103"/>
        <v>13.155789761950814</v>
      </c>
      <c r="EN48" s="1">
        <f t="shared" si="104"/>
        <v>16.837993254049973</v>
      </c>
      <c r="EO48" s="1">
        <f t="shared" si="105"/>
        <v>17.109205606525713</v>
      </c>
      <c r="EP48" s="1">
        <f t="shared" si="106"/>
        <v>20.896470893327571</v>
      </c>
      <c r="EQ48" s="1">
        <f t="shared" si="107"/>
        <v>15.881406627152716</v>
      </c>
      <c r="ES48" s="1">
        <f>IF(EF$26=".", 0, 'Summary, PPI''s'!E48)+IF(EG$26=".", 0, 'Summary, PPI''s'!F48)+IF(EH$26=".", 0, 'Summary, PPI''s'!G48)+IF(EI$26=".", 0, 'Summary, PPI''s'!H48)+IF(EJ$26=".", 0, 'Summary, PPI''s'!I48)+IF(EK$26=".", 0, 'Summary, PPI''s'!J48)+IF(EL$26=".", 0, 'Summary, PPI''s'!K48)+IF(EM$26=".", 0, 'Summary, PPI''s'!L48)+IF(EN$26=".", 0, 'Summary, PPI''s'!M48)+IF(EC$26=".", 0, 'Summary, PPI''s'!B48)+IF(ED$26=".", 0, 'Summary, PPI''s'!C48)+IF(EE$26=".", 0, 'Summary, PPI''s'!D48)+IF(EO$26=".", 0, 'Summary, PPI''s'!N48)+IF(EP$26=".", 0, 'Summary, PPI''s'!O48)+IF(EQ$26=".", 0, 'Summary, PPI''s'!P48)</f>
        <v>28079295.843615297</v>
      </c>
      <c r="ET48" s="1">
        <f>'Summary, hourly ad costs'!E48+'Summary, hourly ad costs'!F48+'Summary, hourly ad costs'!H48+'Summary, hourly ad costs'!I48+'Summary, hourly ad costs'!J48+'Summary, hourly ad costs'!K48+'Summary, hourly ad costs'!L48+'Summary, hourly ad costs'!M48+'Summary, hourly ad costs'!B48</f>
        <v>15765089.143462392</v>
      </c>
      <c r="EV48" s="13">
        <f>EV47*IF(EF$26=".", 1, (EF48/EF47)^(('Summary, PPI''s'!$E48+'Summary, PPI''s'!$E47)/('Predicted PPIs'!ES48+'Predicted PPIs'!ES47)))*IF(EG$26=".", 1, (EG48/EG47)^(('Summary, PPI''s'!$F48+'Summary, PPI''s'!$F47)/('Predicted PPIs'!ES48+'Predicted PPIs'!ES47)))*IF(EH$26=".", 1, (EH48/EH47)^(('Summary, PPI''s'!$G48+'Summary, PPI''s'!$G47)/('Predicted PPIs'!ES48+'Predicted PPIs'!ES47)))*IF(EI$26=".", 1, (EI48/EI47)^(('Summary, PPI''s'!$H48+'Summary, PPI''s'!$H47)/('Predicted PPIs'!ES48+'Predicted PPIs'!ES47)))*IF(EJ$26=".", 1, (EJ48/EJ47)^(('Summary, PPI''s'!$I48+'Summary, PPI''s'!$I47)/('Predicted PPIs'!ES48+'Predicted PPIs'!ES47)))*IF(EK$26=".", 1, (EK48/EK47)^(('Summary, PPI''s'!$J48+'Summary, PPI''s'!$J47)/('Predicted PPIs'!ES48+'Predicted PPIs'!ES47)))*IF(EL$26=".", 1, (EL48/EL47)^(('Summary, PPI''s'!$K48+'Summary, PPI''s'!$K47)/('Predicted PPIs'!ES48+'Predicted PPIs'!ES47)))*IF(EM$26=".", 1, (EM48/EM47)^(('Summary, PPI''s'!$L48+'Summary, PPI''s'!$L47)/('Predicted PPIs'!ES48+'Predicted PPIs'!ES47)))*IF(EN$26=".", 1, (EN48/EN47)^(('Summary, PPI''s'!$M48+'Summary, PPI''s'!$M47)/('Predicted PPIs'!ES48+'Predicted PPIs'!ES47)))*IF(EC$26=".", 1, (EC48/EC47)^(('Summary, PPI''s'!$B48+'Summary, PPI''s'!$B47)/('Predicted PPIs'!ES48+'Predicted PPIs'!ES47)))*IF(ED$26=".", 1, (ED48/ED47)^(('Summary, PPI''s'!$C48+'Summary, PPI''s'!$C47)/('Predicted PPIs'!ES48+'Predicted PPIs'!ES47)))*IF(EE$26=".", 1, (EE48/EE47)^(('Summary, PPI''s'!$D48+'Summary, PPI''s'!$D47)/('Predicted PPIs'!ES48+'Predicted PPIs'!ES47)))*IF(EO$26=".", 1, (EO48/EO47)^(('Summary, PPI''s'!$N48+'Summary, PPI''s'!$N47)/('Predicted PPIs'!ES48+'Predicted PPIs'!ES47)))*IF(EP$26=".", 1, (EP48/EP47)^(('Summary, PPI''s'!$O48+'Summary, PPI''s'!$O47)/('Predicted PPIs'!ES48+'Predicted PPIs'!ES47)))*IF(EQ$26=".", 1, (EQ48/EQ47)^(('Summary, PPI''s'!$P48+'Summary, PPI''s'!$P47)/('Predicted PPIs'!ES48+'Predicted PPIs'!ES47)))</f>
        <v>21.142032500924618</v>
      </c>
      <c r="EW48" s="13">
        <f>EW47*IF(EF$26=".", 1, (EF48/EF47)^(('Summary, PPI''s'!$E48+'Summary, PPI''s'!$E47)/('Predicted PPIs'!ET48+'Predicted PPIs'!ET47)))*IF(EG$26=".", 1, (EG48/EG47)^(('Summary, PPI''s'!$F48+'Summary, PPI''s'!$F47)/('Predicted PPIs'!ET48+'Predicted PPIs'!ET47)))*IF(EH$26=".", 1, (EH48/EH47)^(('Summary, PPI''s'!$G48+'Summary, PPI''s'!$G47)/('Predicted PPIs'!ET48+'Predicted PPIs'!ET47)))*IF(EK$26=".", 1, (EK48/EK47)^(('Summary, PPI''s'!$J48+'Summary, PPI''s'!$J47)/('Predicted PPIs'!ET48+'Predicted PPIs'!ET47)))*IF(EL$26=".", 1, (EL48/EL47)^(('Summary, PPI''s'!$K48+'Summary, PPI''s'!$K47)/('Predicted PPIs'!ET48+'Predicted PPIs'!ET47)))*IF(EM$26=".", 1, (EM48/EM47)^(('Summary, PPI''s'!$L48+'Summary, PPI''s'!$L47)/('Predicted PPIs'!ET48+'Predicted PPIs'!ET47)))*IF(EN$26=".", 1, (EN48/EN47)^(('Summary, PPI''s'!$M48+'Summary, PPI''s'!$M47)/('Predicted PPIs'!ET48+'Predicted PPIs'!ET47)))*IF(EC$26=".", 1, (EC48/EC47)^(('Summary, PPI''s'!$B48+'Summary, PPI''s'!$B47)/('Predicted PPIs'!ET48+'Predicted PPIs'!ET47)))</f>
        <v>22.45909790551967</v>
      </c>
      <c r="EY48" s="2"/>
    </row>
    <row r="49" spans="1:155" x14ac:dyDescent="0.3">
      <c r="A49" s="4">
        <v>1974</v>
      </c>
      <c r="B49" s="10">
        <f>IF(B48=".", ".", IF('Summary, PPI''s'!R49=".",IF(OR('Summary, hourly ad costs'!R49=-9999,'Summary, hourly ad costs'!R49=0), ".", 'Predicted PPIs'!B48*('Summary, hourly ad costs'!B49/'Summary, hourly ad costs'!R49)/('Summary, hourly ad costs'!B48/'Summary, hourly ad costs'!R48)), 'Summary, PPI''s'!R49))</f>
        <v>32.248420514452022</v>
      </c>
      <c r="C49" s="10">
        <f>IF(C48=".", ".", IF('Summary, PPI''s'!S49=".",IF(OR('Summary, hourly ad costs'!S49=-9999,'Summary, hourly ad costs'!S49=0), ".", 'Predicted PPIs'!C48*('Summary, hourly ad costs'!C49/'Summary, hourly ad costs'!S49)/('Summary, hourly ad costs'!C48/'Summary, hourly ad costs'!S48)), 'Summary, PPI''s'!S49))</f>
        <v>32.248420514452022</v>
      </c>
      <c r="D49" s="10" t="str">
        <f>IF(D48=".", ".", IF('Summary, PPI''s'!T49=".",IF(OR('Summary, hourly ad costs'!T49=-9999,'Summary, hourly ad costs'!T49=0), ".", 'Predicted PPIs'!D48*('Summary, hourly ad costs'!D49/'Summary, hourly ad costs'!T49)/('Summary, hourly ad costs'!D48/'Summary, hourly ad costs'!T48)), 'Summary, PPI''s'!T49))</f>
        <v>.</v>
      </c>
      <c r="E49" s="10">
        <f>IF(E48=".", ".", IF('Summary, PPI''s'!U49=".",IF(OR('Summary, hourly ad costs'!U49=-9999,'Summary, hourly ad costs'!U49=0), ".", 'Predicted PPIs'!E48*('Summary, hourly ad costs'!E49/'Summary, hourly ad costs'!U49)/('Summary, hourly ad costs'!E48/'Summary, hourly ad costs'!U48)), 'Summary, PPI''s'!U49))</f>
        <v>11.289992421095857</v>
      </c>
      <c r="F49" s="10">
        <f>IF(F48=".", ".", IF('Summary, PPI''s'!V49=".",IF(OR('Summary, hourly ad costs'!V49=-9999,'Summary, hourly ad costs'!V49=0), ".", 'Predicted PPIs'!F48*('Summary, hourly ad costs'!F49/'Summary, hourly ad costs'!V49)/('Summary, hourly ad costs'!F48/'Summary, hourly ad costs'!V48)), 'Summary, PPI''s'!V49))</f>
        <v>15.461099102058705</v>
      </c>
      <c r="G49" s="10">
        <f>IF(G48=".", ".", IF('Summary, PPI''s'!W49=".",IF(OR('Summary, hourly ad costs'!W49=-9999,'Summary, hourly ad costs'!W49=0), ".", 'Predicted PPIs'!G48*('Summary, hourly ad costs'!G49/'Summary, hourly ad costs'!W49)/('Summary, hourly ad costs'!G48/'Summary, hourly ad costs'!W48)), 'Summary, PPI''s'!W49))</f>
        <v>16.137057852436151</v>
      </c>
      <c r="H49" s="10">
        <f>IF(H48=".", ".", IF('Summary, PPI''s'!X49=".",IF(OR('Summary, hourly ad costs'!X49=-9999,'Summary, hourly ad costs'!X49=0), ".", 'Predicted PPIs'!H48*('Summary, hourly ad costs'!H49/'Summary, hourly ad costs'!X49)/('Summary, hourly ad costs'!H48/'Summary, hourly ad costs'!X48)), 'Summary, PPI''s'!X49))</f>
        <v>21.169</v>
      </c>
      <c r="I49" s="10">
        <f>IF(I48=".", ".", IF('Summary, PPI''s'!Y49=".",IF(OR('Summary, hourly ad costs'!Y49=-9999,'Summary, hourly ad costs'!Y49=0), ".", 'Predicted PPIs'!I48*('Summary, hourly ad costs'!I49/'Summary, hourly ad costs'!Y49)/('Summary, hourly ad costs'!I48/'Summary, hourly ad costs'!Y48)), 'Summary, PPI''s'!Y49))</f>
        <v>18.554378972382295</v>
      </c>
      <c r="J49" s="10">
        <f>IF(J48=".", ".", IF('Summary, PPI''s'!Z49=".",IF(OR('Summary, hourly ad costs'!Z49=-9999,'Summary, hourly ad costs'!Z49=0), ".", 'Predicted PPIs'!J48*('Summary, hourly ad costs'!J49/'Summary, hourly ad costs'!Z49)/('Summary, hourly ad costs'!J48/'Summary, hourly ad costs'!Z48)), 'Summary, PPI''s'!Z49))</f>
        <v>18.469712700311149</v>
      </c>
      <c r="K49" s="10" t="str">
        <f>IF(K48=".", ".", IF('Summary, PPI''s'!AA49=".",IF(OR('Summary, hourly ad costs'!AA49=-9999,'Summary, hourly ad costs'!AA49=0), ".", 'Predicted PPIs'!K48*('Summary, hourly ad costs'!K49/'Summary, hourly ad costs'!AA49)/('Summary, hourly ad costs'!K48/'Summary, hourly ad costs'!AA48)), 'Summary, PPI''s'!AA49))</f>
        <v>.</v>
      </c>
      <c r="L49" s="10" t="str">
        <f>IF(L48=".", ".", IF('Summary, PPI''s'!AB49=".",IF(OR('Summary, hourly ad costs'!AB49=-9999,'Summary, hourly ad costs'!AB49=0), ".", 'Predicted PPIs'!L48*('Summary, hourly ad costs'!L49/'Summary, hourly ad costs'!AB49)/('Summary, hourly ad costs'!L48/'Summary, hourly ad costs'!AB48)), 'Summary, PPI''s'!AB49))</f>
        <v>.</v>
      </c>
      <c r="M49" s="10" t="str">
        <f>IF(M48=".", ".", IF('Summary, PPI''s'!AC49=".",IF(OR('Summary, hourly ad costs'!AC49=-9999,'Summary, hourly ad costs'!AC49=0), ".", 'Predicted PPIs'!M48*('Summary, hourly ad costs'!M49/'Summary, hourly ad costs'!AC49)/('Summary, hourly ad costs'!M48/'Summary, hourly ad costs'!AC48)), 'Summary, PPI''s'!AC49))</f>
        <v>.</v>
      </c>
      <c r="N49" s="10" t="str">
        <f>IF(N48=".", ".", IF('Summary, PPI''s'!AD49=".",IF(OR('Summary, hourly ad costs'!AD49=-9999,'Summary, hourly ad costs'!AD49=0), ".", 'Predicted PPIs'!N48*('Summary, hourly ad costs'!N49/'Summary, hourly ad costs'!AD49)/('Summary, hourly ad costs'!N48/'Summary, hourly ad costs'!AD48)), 'Summary, PPI''s'!AD49))</f>
        <v>.</v>
      </c>
      <c r="O49" s="10" t="str">
        <f>IF(O48=".", ".", IF('Summary, PPI''s'!AE49=".",IF(OR('Summary, hourly ad costs'!AE49=-9999,'Summary, hourly ad costs'!AE49=0), ".", 'Predicted PPIs'!O48*('Summary, hourly ad costs'!O49/'Summary, hourly ad costs'!AE49)/('Summary, hourly ad costs'!O48/'Summary, hourly ad costs'!AE48)), 'Summary, PPI''s'!AE49))</f>
        <v>.</v>
      </c>
      <c r="P49" s="10" t="str">
        <f>IF(P48=".", ".", IF('Summary, PPI''s'!AF49=".",IF(OR('Summary, hourly ad costs'!AF49=-9999,'Summary, hourly ad costs'!AF49=0), ".", 'Predicted PPIs'!P48*('Summary, hourly ad costs'!P49/'Summary, hourly ad costs'!AF49)/('Summary, hourly ad costs'!P48/'Summary, hourly ad costs'!AF48)), 'Summary, PPI''s'!AF49))</f>
        <v>.</v>
      </c>
      <c r="R49" s="1">
        <f>IF(E$26=".", 0, 'Summary, PPI''s'!E49)+IF(F$26=".", 0, 'Summary, PPI''s'!F49)+IF(G$26=".", 0, 'Summary, PPI''s'!G49)+IF(H$26=".", 0, 'Summary, PPI''s'!H49)+IF(I$26=".", 0, 'Summary, PPI''s'!I49)+IF(J$26=".", 0, 'Summary, PPI''s'!J49)+IF(K$26=".", 0, 'Summary, PPI''s'!K49)+IF(L$26=".", 0, 'Summary, PPI''s'!L49)+IF(M$26=".", 0, 'Summary, PPI''s'!M49)+IF(B$26=".", 0, 'Summary, PPI''s'!B49)+IF(C$26=".", 0, 'Summary, PPI''s'!C49)+IF(D$26=".", 0, 'Summary, PPI''s'!D49)+IF(N$26=".", 0, 'Summary, PPI''s'!N49)+IF(O$26=".", 0, 'Summary, PPI''s'!O49)+IF(P$26=".", 0, 'Summary, PPI''s'!P49)</f>
        <v>26824579.060042202</v>
      </c>
      <c r="S49" s="1">
        <f>IF(E$36=".", 0, 'Summary, PPI''s'!E49)+IF(F$36=".", 0, 'Summary, PPI''s'!F49)+IF(G$36=".", 0, 'Summary, PPI''s'!G49)+IF(H$36=".", 0, 'Summary, PPI''s'!H49)+IF(I$36=".", 0, 'Summary, PPI''s'!I49)+IF(J$36=".", 0, 'Summary, PPI''s'!J49)+IF(K$36=".", 0, 'Summary, PPI''s'!K49)+IF(L$36=".", 0, 'Summary, PPI''s'!L49)+IF(M$36=".", 0, 'Summary, PPI''s'!M49)+IF(B$36=".", 0, 'Summary, PPI''s'!B49)+IF(C$36=".", 0, 'Summary, PPI''s'!C49)+IF(D$36=".", 0, 'Summary, PPI''s'!D49)+IF(N$36=".", 0, 'Summary, PPI''s'!N49)+IF(O$36=".", 0, 'Summary, PPI''s'!O49)+IF(P$36=".", 0, 'Summary, PPI''s'!P49)</f>
        <v>26824579.060042202</v>
      </c>
      <c r="T49" s="1">
        <f>IF(E$46=".", 0, 'Summary, PPI''s'!E49)+IF(F$46=".", 0, 'Summary, PPI''s'!F49)+IF(G$46=".", 0, 'Summary, PPI''s'!G49)+IF(H$46=".", 0, 'Summary, PPI''s'!H49)+IF(I$46=".", 0, 'Summary, PPI''s'!I49)+IF(J$46=".", 0, 'Summary, PPI''s'!J49)+IF(K$46=".", 0, 'Summary, PPI''s'!K49)+IF(L$46=".", 0, 'Summary, PPI''s'!L49)+IF(M$46=".", 0, 'Summary, PPI''s'!M49)+IF(B$46=".", 0, 'Summary, PPI''s'!B49)+IF(C$46=".", 0, 'Summary, PPI''s'!C49)+IF(D$46=".", 0, 'Summary, PPI''s'!D49)+IF(N$46=".", 0, 'Summary, PPI''s'!N49)+IF(O$46=".", 0, 'Summary, PPI''s'!O49)+IF(P$46=".", 0, 'Summary, PPI''s'!P49)</f>
        <v>19871335.311444059</v>
      </c>
      <c r="U49" s="1">
        <f>IF(E$60=".", 0, 'Summary, PPI''s'!E49)+IF(F$60=".", 0, 'Summary, PPI''s'!F49)+IF(G$60=".", 0, 'Summary, PPI''s'!G49)+IF(H$60=".", 0, 'Summary, PPI''s'!H49)+IF(I$60=".", 0, 'Summary, PPI''s'!I49)+IF(J$60=".", 0, 'Summary, PPI''s'!J49)+IF(K$60=".", 0, 'Summary, PPI''s'!K49)+IF(L$60=".", 0, 'Summary, PPI''s'!L49)+IF(M$60=".", 0, 'Summary, PPI''s'!M49)+IF(B$60=".", 0, 'Summary, PPI''s'!B49)+IF(C$60=".", 0, 'Summary, PPI''s'!C49)+IF(D$60=".", 0, 'Summary, PPI''s'!D49)+IF(N$60=".", 0, 'Summary, PPI''s'!N49)+IF(O$60=".", 0, 'Summary, PPI''s'!O49)+IF(P$60=".", 0, 'Summary, PPI''s'!P49)</f>
        <v>17957593.688743964</v>
      </c>
      <c r="V49" s="1">
        <f>IF(E$73=".", 0, 'Summary, PPI''s'!E49)+IF(F$73=".", 0, 'Summary, PPI''s'!F49)+IF(G$73=".", 0, 'Summary, PPI''s'!G49)+IF(H$73=".", 0, 'Summary, PPI''s'!H49)+IF(I$73=".", 0, 'Summary, PPI''s'!I49)+IF(J$73=".", 0, 'Summary, PPI''s'!J49)+IF(K$73=".", 0, 'Summary, PPI''s'!K49)+IF(L$73=".", 0, 'Summary, PPI''s'!L49)+IF(M$73=".", 0, 'Summary, PPI''s'!M49)+IF(B$73=".", 0, 'Summary, PPI''s'!B49)+IF(C$73=".", 0, 'Summary, PPI''s'!C49)+IF(D$73=".", 0, 'Summary, PPI''s'!D49)+IF(N$73=".", 0, 'Summary, PPI''s'!N49)+IF(O$73=".", 0, 'Summary, PPI''s'!O49)+IF(P$73=".", 0, 'Summary, PPI''s'!P49)</f>
        <v>15117602.247236839</v>
      </c>
      <c r="W49" s="1">
        <f>IF(E$94=".",0,'Summary, PPI''s'!E49)+IF(F$94=".",0,'Summary, PPI''s'!F49)+IF(G$94=".",0,'Summary, PPI''s'!G49)+IF(H$94=".",0,'Summary, PPI''s'!H49)+IF(I$94=".",0,'Summary, PPI''s'!I49)+IF(J$94=".",0,'Summary, PPI''s'!J49)+IF(K$94=".",0,'Summary, PPI''s'!K49)+IF(L$94=".",0,'Summary, PPI''s'!L49)+IF(M$94=".",0,'Summary, PPI''s'!M49)+IF(B$94=".",0,'Summary, PPI''s'!B49)+IF(C$94=".",0,'Summary, PPI''s'!C49)+IF(D$94=".",0,'Summary, PPI''s'!D49)+IF(N$94=".",0,'Summary, PPI''s'!N49)+IF(O$94=".",0,'Summary, PPI''s'!O49)+IF(P$94=".",0,'Summary, PPI''s'!P49)</f>
        <v>11556015.086389534</v>
      </c>
      <c r="X49" s="1">
        <f>IF(E$123=".", 0, 'Summary, PPI''s'!E49)+IF(F$123=".", 0, 'Summary, PPI''s'!F49)+IF(G$123=".", 0, 'Summary, PPI''s'!G49)+IF(H$123=".", 0, 'Summary, PPI''s'!H49)+IF(I$123=".", 0, 'Summary, PPI''s'!I49)+IF(J$123=".", 0, 'Summary, PPI''s'!J49)+IF(K$123=".", 0, 'Summary, PPI''s'!K49)+IF(L$123=".", 0, 'Summary, PPI''s'!L49)+IF(M$123=".", 0, 'Summary, PPI''s'!M49)+IF(B$123=".", 0, 'Summary, PPI''s'!B49)+IF(C$123=".", 0, 'Summary, PPI''s'!C49)+IF(D$123=".", 0, 'Summary, PPI''s'!D49)+IF(N$123=".", 0, 'Summary, PPI''s'!N49)+IF(O$123=".", 0, 'Summary, PPI''s'!O49)+IF(P$123=".", 0, 'Summary, PPI''s'!P49)</f>
        <v>10057794.648537185</v>
      </c>
      <c r="Z49" s="4" t="e">
        <f>Z48*IF(E$26=".", 1, (E49/E48)^(('Summary, PPI''s'!$E49+'Summary, PPI''s'!$E48)/('Predicted PPIs'!R49+'Predicted PPIs'!R48)))*IF(F$26=".", 1, (F49/F48)^(('Summary, PPI''s'!$F49+'Summary, PPI''s'!$F48)/('Predicted PPIs'!R49+'Predicted PPIs'!R48)))*IF(G$26=".", 1, (G49/G48)^(('Summary, PPI''s'!$G49+'Summary, PPI''s'!$G48)/('Predicted PPIs'!R49+'Predicted PPIs'!R48)))*IF(H$26=".", 1, (H49/H48)^(('Summary, PPI''s'!$H49+'Summary, PPI''s'!$H48)/('Predicted PPIs'!R49+'Predicted PPIs'!R48)))*IF(I$26=".", 1, (I49/I48)^(('Summary, PPI''s'!$I49+'Summary, PPI''s'!$I48)/('Predicted PPIs'!R49+'Predicted PPIs'!R48)))*IF(J$26=".", 1, (J49/J48)^(('Summary, PPI''s'!$J49+'Summary, PPI''s'!$J48)/('Predicted PPIs'!R49+'Predicted PPIs'!R48)))*IF(K$26=".", 1, (K49/K48)^(('Summary, PPI''s'!$K49+'Summary, PPI''s'!$K48)/('Predicted PPIs'!R49+'Predicted PPIs'!R48)))*IF(L$26=".", 1, (L49/L48)^(('Summary, PPI''s'!$L49+'Summary, PPI''s'!$L48)/('Predicted PPIs'!R49+'Predicted PPIs'!R48)))*IF(M$26=".", 1, (M49/M48)^(('Summary, PPI''s'!$M49+'Summary, PPI''s'!$M48)/('Predicted PPIs'!R49+'Predicted PPIs'!R48)))*IF(B$26=".", 1, (B49/B48)^(('Summary, PPI''s'!$B49+'Summary, PPI''s'!$B48)/('Predicted PPIs'!R49+'Predicted PPIs'!R48)))*IF(C$26=".", 1, (C49/C48)^(('Summary, PPI''s'!$C49+'Summary, PPI''s'!$C48)/('Predicted PPIs'!R49+'Predicted PPIs'!R48)))*IF(D$26=".", 1, (D49/D48)^(('Summary, PPI''s'!$D49+'Summary, PPI''s'!$D48)/('Predicted PPIs'!R49+'Predicted PPIs'!R48)))*IF(N$26=".", 1, (N49/N48)^(('Summary, PPI''s'!$N49+'Summary, PPI''s'!$N48)/('Predicted PPIs'!R49+'Predicted PPIs'!R48)))*IF(O$26=".", 1, (O49/O48)^(('Summary, PPI''s'!$O49+'Summary, PPI''s'!$O48)/('Predicted PPIs'!R49+'Predicted PPIs'!R48)))*IF(P$26=".", 1, (P49/P48)^(('Summary, PPI''s'!$P49+'Summary, PPI''s'!$P48)/('Predicted PPIs'!R49+'Predicted PPIs'!R48)))</f>
        <v>#VALUE!</v>
      </c>
      <c r="AA49" s="4" t="e">
        <f>AA48*IF(E$36=".", 1, (E49/E48)^(('Summary, PPI''s'!$E49+'Summary, PPI''s'!$E48)/('Predicted PPIs'!S49+'Predicted PPIs'!S48)))*IF(F$36=".", 1, (F49/F48)^(('Summary, PPI''s'!$F49+'Summary, PPI''s'!$F48)/('Predicted PPIs'!S49+'Predicted PPIs'!S48)))*IF(G$36=".", 1, (G49/G48)^(('Summary, PPI''s'!$G49+'Summary, PPI''s'!$G48)/('Predicted PPIs'!S49+'Predicted PPIs'!S48)))*IF(H$36=".", 1, (H49/H48)^(('Summary, PPI''s'!$H49+'Summary, PPI''s'!$H48)/('Predicted PPIs'!S49+'Predicted PPIs'!S48)))*IF(I$36=".", 1, (I49/I48)^(('Summary, PPI''s'!$I49+'Summary, PPI''s'!$I48)/('Predicted PPIs'!S49+'Predicted PPIs'!S48)))*IF(J$36=".", 1, (J49/J48)^(('Summary, PPI''s'!$J49+'Summary, PPI''s'!$J48)/('Predicted PPIs'!S49+'Predicted PPIs'!S48)))*IF(K$36=".", 1, (K49/K48)^(('Summary, PPI''s'!$K49+'Summary, PPI''s'!$K48)/('Predicted PPIs'!S49+'Predicted PPIs'!S48)))*IF(L$36=".", 1, (L49/L48)^(('Summary, PPI''s'!$L49+'Summary, PPI''s'!$L48)/('Predicted PPIs'!S49+'Predicted PPIs'!S48)))*IF(M$36=".", 1, (M49/M48)^(('Summary, PPI''s'!$M49+'Summary, PPI''s'!$M48)/('Predicted PPIs'!S49+'Predicted PPIs'!S48)))*IF(B$36=".", 1, (B49/B48)^(('Summary, PPI''s'!$B49+'Summary, PPI''s'!$B48)/('Predicted PPIs'!S49+'Predicted PPIs'!S48)))*IF(C$36=".", 1, (C49/C48)^(('Summary, PPI''s'!$C49+'Summary, PPI''s'!$C48)/('Predicted PPIs'!S49+'Predicted PPIs'!S48)))*IF(D$36=".", 1, (D49/D48)^(('Summary, PPI''s'!$D49+'Summary, PPI''s'!$D48)/('Predicted PPIs'!S49+'Predicted PPIs'!S48)))*IF(N$36=".", 1, (N49/N48)^(('Summary, PPI''s'!$N49+'Summary, PPI''s'!$N48)/('Predicted PPIs'!S49+'Predicted PPIs'!S48)))*IF(O$36=".", 1, (O49/O48)^(('Summary, PPI''s'!$O49+'Summary, PPI''s'!$O48)/('Predicted PPIs'!S49+'Predicted PPIs'!S48)))*IF(P$36=".", 1, (P49/P48)^(('Summary, PPI''s'!$P49+'Summary, PPI''s'!$P48)/('Predicted PPIs'!S49+'Predicted PPIs'!S48)))</f>
        <v>#VALUE!</v>
      </c>
      <c r="AB49" s="4" t="e">
        <f>AB48*IF(E$46=".", 1, (E49/E48)^(('Summary, PPI''s'!$E49+'Summary, PPI''s'!$E48)/('Predicted PPIs'!T49+'Predicted PPIs'!T48)))*IF(F$46=".", 1, (F49/F48)^(('Summary, PPI''s'!$F49+'Summary, PPI''s'!$F48)/('Predicted PPIs'!T49+'Predicted PPIs'!T48)))*IF(G$46=".", 1, (G49/G48)^(('Summary, PPI''s'!$G49+'Summary, PPI''s'!$G48)/('Predicted PPIs'!T49+'Predicted PPIs'!T48)))*IF(H$46=".", 1, (H49/H48)^(('Summary, PPI''s'!$H49+'Summary, PPI''s'!$H48)/('Predicted PPIs'!T49+'Predicted PPIs'!T48)))*IF(I$46=".", 1, (I49/I48)^(('Summary, PPI''s'!$I49+'Summary, PPI''s'!$I48)/('Predicted PPIs'!T49+'Predicted PPIs'!T48)))*IF(J$46=".", 1, (J49/J48)^(('Summary, PPI''s'!$J49+'Summary, PPI''s'!$J48)/('Predicted PPIs'!T49+'Predicted PPIs'!T48)))*IF(K$46=".", 1, (K49/K48)^(('Summary, PPI''s'!$K49+'Summary, PPI''s'!$K48)/('Predicted PPIs'!T49+'Predicted PPIs'!T48)))*IF(L$46=".", 1, (L49/L48)^(('Summary, PPI''s'!$L49+'Summary, PPI''s'!$L48)/('Predicted PPIs'!T49+'Predicted PPIs'!T48)))*IF(M$46=".", 1, (M49/M48)^(('Summary, PPI''s'!$M49+'Summary, PPI''s'!$M48)/('Predicted PPIs'!T49+'Predicted PPIs'!T48)))*IF(B$46=".", 1, (B49/B48)^(('Summary, PPI''s'!$B49+'Summary, PPI''s'!$B48)/('Predicted PPIs'!T49+'Predicted PPIs'!T48)))*IF(C$46=".", 1, (C49/C48)^(('Summary, PPI''s'!$C49+'Summary, PPI''s'!$C48)/('Predicted PPIs'!T49+'Predicted PPIs'!T48)))*IF(D$46=".", 1, (D49/D48)^(('Summary, PPI''s'!$D49+'Summary, PPI''s'!$D48)/('Predicted PPIs'!T49+'Predicted PPIs'!T48)))*IF(N$46=".", 1, (N49/N48)^(('Summary, PPI''s'!$N49+'Summary, PPI''s'!$N48)/('Predicted PPIs'!T49+'Predicted PPIs'!T48)))*IF(O$46=".", 1, (O49/O48)^(('Summary, PPI''s'!$O49+'Summary, PPI''s'!$O48)/('Predicted PPIs'!T49+'Predicted PPIs'!T48)))*IF(P$46=".", 1, (P49/P48)^(('Summary, PPI''s'!$P49+'Summary, PPI''s'!$P48)/('Predicted PPIs'!T49+'Predicted PPIs'!T48)))</f>
        <v>#VALUE!</v>
      </c>
      <c r="AC49" s="4">
        <f>AC48*IF(E$60=".",1,(E49/E48)^(('Summary, PPI''s'!$E49+'Summary, PPI''s'!$E48)/('Predicted PPIs'!U49+'Predicted PPIs'!U48)))*IF(F$60=".",1,(F49/F48)^(('Summary, PPI''s'!$F49+'Summary, PPI''s'!$F48)/('Predicted PPIs'!U49+'Predicted PPIs'!U48)))*IF(G$60=".",1,(G49/G48)^(('Summary, PPI''s'!$G49+'Summary, PPI''s'!$G48)/('Predicted PPIs'!U49+'Predicted PPIs'!U48)))*IF(H$60=".",1,(H49/H48)^(('Summary, PPI''s'!$H49+'Summary, PPI''s'!$H48)/('Predicted PPIs'!U49+'Predicted PPIs'!U48)))*IF(I$60=".",1,(I49/I48)^(('Summary, PPI''s'!$I49+'Summary, PPI''s'!$I48)/('Predicted PPIs'!U49+'Predicted PPIs'!U48)))*IF(J$60=".",1,(J49/J48)^(('Summary, PPI''s'!$J49+'Summary, PPI''s'!$J48)/('Predicted PPIs'!U49+'Predicted PPIs'!U48)))*IF(K$60=".",1,(K49/K48)^(('Summary, PPI''s'!$K49+'Summary, PPI''s'!$K48)/('Predicted PPIs'!U49+'Predicted PPIs'!U48)))*IF(L$60=".",1,(L49/L48)^(('Summary, PPI''s'!$L49+'Summary, PPI''s'!$L48)/('Predicted PPIs'!U49+'Predicted PPIs'!U48)))*IF(M$60=".",1,(M49/M48)^(('Summary, PPI''s'!$M49+'Summary, PPI''s'!$M48)/('Predicted PPIs'!U49+'Predicted PPIs'!U48)))*IF(B$60=".",1,(B49/B48)^(('Summary, PPI''s'!$B49+'Summary, PPI''s'!$B48)/('Predicted PPIs'!U49+'Predicted PPIs'!U48)))*IF(C$60=".",1,(C49/C48)^(('Summary, PPI''s'!$C49+'Summary, PPI''s'!$C48)/('Predicted PPIs'!U49+'Predicted PPIs'!U48)))*IF(D$60=".",1,(D49/D48)^(('Summary, PPI''s'!$D49+'Summary, PPI''s'!$D48)/('Predicted PPIs'!U49+'Predicted PPIs'!U48)))*IF(N$60=".",1,(N49/N48)^(('Summary, PPI''s'!$N49+'Summary, PPI''s'!$N48)/('Predicted PPIs'!U49+'Predicted PPIs'!U48)))*IF(O$60=".",1,(O49/O48)^(('Summary, PPI''s'!$O49+'Summary, PPI''s'!$O48)/('Predicted PPIs'!U49+'Predicted PPIs'!U48)))*IF(P$60=".",1,(P49/P48)^(('Summary, PPI''s'!$P49+'Summary, PPI''s'!$P48)/('Predicted PPIs'!U49+'Predicted PPIs'!U48)))</f>
        <v>17.469223519167155</v>
      </c>
      <c r="AD49" s="4">
        <f>AD48*IF(E$73=".", 1, (E49/E48)^(('Summary, PPI''s'!$E49+'Summary, PPI''s'!$E48)/('Predicted PPIs'!V49+'Predicted PPIs'!V48)))*IF(F$73=".", 1, (F49/F48)^(('Summary, PPI''s'!$F49+'Summary, PPI''s'!$F48)/('Predicted PPIs'!V49+'Predicted PPIs'!V48)))*IF(G$73=".", 1, (G49/G48)^(('Summary, PPI''s'!$G49+'Summary, PPI''s'!$G48)/('Predicted PPIs'!V49+'Predicted PPIs'!V48)))*IF(H$73=".", 1, (H49/H48)^(('Summary, PPI''s'!$H49+'Summary, PPI''s'!$H48)/('Predicted PPIs'!V49+'Predicted PPIs'!V48)))*IF(I$73=".", 1, (I49/I48)^(('Summary, PPI''s'!$I49+'Summary, PPI''s'!$I48)/('Predicted PPIs'!V49+'Predicted PPIs'!V48)))*IF(J$73=".", 1, (J49/J48)^(('Summary, PPI''s'!$J49+'Summary, PPI''s'!$J48)/('Predicted PPIs'!V49+'Predicted PPIs'!V48)))*IF(K$73=".", 1, (K49/K48)^(('Summary, PPI''s'!$K49+'Summary, PPI''s'!$K48)/('Predicted PPIs'!V49+'Predicted PPIs'!V48)))*IF(L$73=".", 1, (L49/L48)^(('Summary, PPI''s'!$L49+'Summary, PPI''s'!$L48)/('Predicted PPIs'!V49+'Predicted PPIs'!V48)))*IF(M$73=".", 1, (M49/M48)^(('Summary, PPI''s'!$M49+'Summary, PPI''s'!$M48)/('Predicted PPIs'!V49+'Predicted PPIs'!V48)))*IF(B$73=".", 1, (B49/B48)^(('Summary, PPI''s'!$B49+'Summary, PPI''s'!$B48)/('Predicted PPIs'!V49+'Predicted PPIs'!V48)))*IF(C$73=".", 1, (C49/C48)^(('Summary, PPI''s'!$C49+'Summary, PPI''s'!$C48)/('Predicted PPIs'!V49+'Predicted PPIs'!V48)))*IF(D$73=".", 1, (D49/D48)^(('Summary, PPI''s'!$D49+'Summary, PPI''s'!$D48)/('Predicted PPIs'!V49+'Predicted PPIs'!V48)))*IF(N$73=".", 1, (N49/N48)^(('Summary, PPI''s'!$N49+'Summary, PPI''s'!$N48)/('Predicted PPIs'!V49+'Predicted PPIs'!V48)))*IF(O$73=".", 1, (O49/O48)^(('Summary, PPI''s'!$O49+'Summary, PPI''s'!$O48)/('Predicted PPIs'!V49+'Predicted PPIs'!V48)))*IF(P$73=".", 1, (P49/P48)^(('Summary, PPI''s'!$P49+'Summary, PPI''s'!$P48)/('Predicted PPIs'!V49+'Predicted PPIs'!V48)))</f>
        <v>16.373041945058958</v>
      </c>
      <c r="AE49" s="4">
        <f>AE48*IF(E$94=".", 1, (E49/E48)^(('Summary, PPI''s'!$E49+'Summary, PPI''s'!$E48)/('Predicted PPIs'!W49+'Predicted PPIs'!W48)))*IF(F$94=".", 1, (F49/F48)^(('Summary, PPI''s'!$F49+'Summary, PPI''s'!$F48)/('Predicted PPIs'!W49+'Predicted PPIs'!W48)))*IF(G$94=".", 1, (G49/G48)^(('Summary, PPI''s'!$G49+'Summary, PPI''s'!$G48)/('Predicted PPIs'!W49+'Predicted PPIs'!W48)))*IF(H$94=".", 1, (H49/H48)^(('Summary, PPI''s'!$H49+'Summary, PPI''s'!$H48)/('Predicted PPIs'!W49+'Predicted PPIs'!W48)))*IF(I$94=".", 1, (I49/I48)^(('Summary, PPI''s'!$I49+'Summary, PPI''s'!$I48)/('Predicted PPIs'!W49+'Predicted PPIs'!W48)))*IF(J$94=".", 1, (J49/J48)^(('Summary, PPI''s'!$J49+'Summary, PPI''s'!$J48)/('Predicted PPIs'!W49+'Predicted PPIs'!W48)))*IF(K$94=".", 1, (K49/K48)^(('Summary, PPI''s'!$K49+'Summary, PPI''s'!$K48)/('Predicted PPIs'!W49+'Predicted PPIs'!W48)))*IF(L$94=".", 1, (L49/L48)^(('Summary, PPI''s'!$L49+'Summary, PPI''s'!$L48)/('Predicted PPIs'!W49+'Predicted PPIs'!W48)))*IF(M$94=".", 1, (M49/M48)^(('Summary, PPI''s'!$M49+'Summary, PPI''s'!$M48)/('Predicted PPIs'!W49+'Predicted PPIs'!W48)))*IF(B$94=".", 1, (B49/B48)^(('Summary, PPI''s'!$B49+'Summary, PPI''s'!$B48)/('Predicted PPIs'!W49+'Predicted PPIs'!W48)))*IF(C$94=".", 1, (C49/C48)^(('Summary, PPI''s'!$C49+'Summary, PPI''s'!$C48)/('Predicted PPIs'!W49+'Predicted PPIs'!W48)))*IF(D$94=".", 1, (D49/D48)^(('Summary, PPI''s'!$D49+'Summary, PPI''s'!$D48)/('Predicted PPIs'!W49+'Predicted PPIs'!W48)))*IF(N$94=".", 1, (N49/N48)^(('Summary, PPI''s'!$N49+'Summary, PPI''s'!$N48)/('Predicted PPIs'!W49+'Predicted PPIs'!W48)))*IF(O$94=".", 1, (O49/O48)^(('Summary, PPI''s'!$O49+'Summary, PPI''s'!$O48)/('Predicted PPIs'!W49+'Predicted PPIs'!W48)))*IF(P$94=".", 1, (P49/P48)^(('Summary, PPI''s'!$P49+'Summary, PPI''s'!$P48)/('Predicted PPIs'!W49+'Predicted PPIs'!W48)))</f>
        <v>14.889521788207425</v>
      </c>
      <c r="AF49" s="4">
        <f>AF48*IF(E$123=".", 1, (E49/E48)^(('Summary, PPI''s'!$E49+'Summary, PPI''s'!$E48)/('Predicted PPIs'!X49+'Predicted PPIs'!X48)))*IF(F$123=".", 1, (F49/F48)^(('Summary, PPI''s'!$F49+'Summary, PPI''s'!$F48)/('Predicted PPIs'!X49+'Predicted PPIs'!X48)))*IF(G$123=".", 1, (G49/G48)^(('Summary, PPI''s'!$G49+'Summary, PPI''s'!$G48)/('Predicted PPIs'!X49+'Predicted PPIs'!X48)))*IF(H$123=".", 1, (H49/H48)^(('Summary, PPI''s'!$H49+'Summary, PPI''s'!$H48)/('Predicted PPIs'!X49+'Predicted PPIs'!X48)))*IF(I$123=".", 1, (I49/I48)^(('Summary, PPI''s'!$I49+'Summary, PPI''s'!$I48)/('Predicted PPIs'!X49+'Predicted PPIs'!X48)))*IF(J$123=".", 1, (J49/J48)^(('Summary, PPI''s'!$J49+'Summary, PPI''s'!$J48)/('Predicted PPIs'!X49+'Predicted PPIs'!X48)))*IF(K$123=".", 1, (K49/K48)^(('Summary, PPI''s'!$K49+'Summary, PPI''s'!$K48)/('Predicted PPIs'!X49+'Predicted PPIs'!X48)))*IF(L$123=".", 1, (L49/L48)^(('Summary, PPI''s'!$L49+'Summary, PPI''s'!$L48)/('Predicted PPIs'!X49+'Predicted PPIs'!X48)))*IF(M$123=".", 1, (M49/M48)^(('Summary, PPI''s'!$M49+'Summary, PPI''s'!$M48)/('Predicted PPIs'!X49+'Predicted PPIs'!X48)))*IF(B$123=".", 1, (B49/B48)^(('Summary, PPI''s'!$B49+'Summary, PPI''s'!$B48)/('Predicted PPIs'!X49+'Predicted PPIs'!X48)))*IF(C$123=".", 1, (C49/C48)^(('Summary, PPI''s'!$C49+'Summary, PPI''s'!$C48)/('Predicted PPIs'!X49+'Predicted PPIs'!X48)))*IF(D$123=".", 1, (D49/D48)^(('Summary, PPI''s'!$D49+'Summary, PPI''s'!$D48)/('Predicted PPIs'!X49+'Predicted PPIs'!X48)))*IF(N$123=".", 1, (N49/N48)^(('Summary, PPI''s'!$N49+'Summary, PPI''s'!$N48)/('Predicted PPIs'!X49+'Predicted PPIs'!X48)))*IF(O$123=".", 1, (O49/O48)^(('Summary, PPI''s'!$O49+'Summary, PPI''s'!$O48)/('Predicted PPIs'!X49+'Predicted PPIs'!X48)))*IF(P$123=".", 1, (P49/P48)^(('Summary, PPI''s'!$P49+'Summary, PPI''s'!$P48)/('Predicted PPIs'!X49+'Predicted PPIs'!X48)))</f>
        <v>13.743982482116188</v>
      </c>
      <c r="AH49" s="13">
        <f t="shared" si="91"/>
        <v>19.316215888197753</v>
      </c>
      <c r="AJ49" s="4">
        <v>930.2</v>
      </c>
      <c r="AK49" s="4">
        <v>-1.19</v>
      </c>
      <c r="AL49" s="4">
        <v>-89.677000000000007</v>
      </c>
      <c r="AM49" s="4">
        <v>-3.9609999999999999</v>
      </c>
      <c r="AN49" s="4">
        <v>1250.7</v>
      </c>
      <c r="AO49" s="4">
        <v>259.2</v>
      </c>
      <c r="AP49" s="4">
        <f>('[3]1974'!$I$14+'[3]1974'!$I$69+'[3]1974'!$I$71-'[3]1974'!$I$73)*0.001</f>
        <v>-14.88</v>
      </c>
      <c r="AQ49" s="4">
        <f>('[3]1974'!$AY$56+'[3]1974'!$AY$69+'[3]1974'!$AY$71-'[3]1974'!$AY$73)*0.001</f>
        <v>-44.856000000000002</v>
      </c>
      <c r="AR49" s="4">
        <f>AR$38*3912/23762</f>
        <v>-1.8419096035687235</v>
      </c>
      <c r="AS49" s="4">
        <v>-5.2140000000000004</v>
      </c>
      <c r="AT49" s="4">
        <v>26.228999999999999</v>
      </c>
      <c r="AU49" s="4">
        <v>40.54</v>
      </c>
      <c r="AV49" s="4">
        <v>20.204000000000001</v>
      </c>
      <c r="AW49" s="4">
        <v>22.978999999999999</v>
      </c>
      <c r="AX49" s="4">
        <v>27.335999999999999</v>
      </c>
      <c r="AY49" s="4">
        <v>36.448999999999998</v>
      </c>
      <c r="AZ49" s="4">
        <v>16.77</v>
      </c>
      <c r="BA49" s="4">
        <v>27.532</v>
      </c>
      <c r="BB49" s="4">
        <f>BB$38*166.34/184.05</f>
        <v>93.070867698994846</v>
      </c>
      <c r="BC49" s="4">
        <v>33.65</v>
      </c>
      <c r="BG49" s="4">
        <f t="shared" si="50"/>
        <v>34.620632863426906</v>
      </c>
      <c r="BI49" s="4">
        <f>BI$13*'[2]Ordinary Experience'!$D$377/'[2]Ordinary Experience'!$D$413</f>
        <v>212481614.40746376</v>
      </c>
      <c r="BJ49" s="4">
        <f>'[2]Ordinary Experience'!$E$377</f>
        <v>25.974685130121145</v>
      </c>
      <c r="BL49" s="4">
        <f t="shared" si="90"/>
        <v>55.535298441122116</v>
      </c>
      <c r="BM49" s="4">
        <f t="shared" si="34"/>
        <v>-2.4576193837515525E-2</v>
      </c>
      <c r="BO49" s="4">
        <f>IF(OR('Summary, hourly ad costs'!R49=-9999,'Summary, PPI''s'!R49="."),".",(('Summary, hourly ad costs'!B49/'Summary, hourly ad costs'!R49)*100/('Summary, hourly ad costs'!B$11/'Summary, hourly ad costs'!R$11))/('Summary, PPI''s'!R49))</f>
        <v>1.411044736677687</v>
      </c>
      <c r="BP49" s="4" t="str">
        <f>IF(OR('Summary, hourly ad costs'!S49=-9999,'Summary, PPI''s'!S49="."),".",(('Summary, hourly ad costs'!C49/'Summary, hourly ad costs'!S49)*100/('Summary, hourly ad costs'!C$11/'Summary, hourly ad costs'!S$11))/('Summary, PPI''s'!S49))</f>
        <v>.</v>
      </c>
      <c r="BQ49" s="4" t="str">
        <f>IF(OR('Summary, hourly ad costs'!T49=-9999,'Summary, PPI''s'!T49="."),".",(('Summary, hourly ad costs'!D49/'Summary, hourly ad costs'!T49)*100/('Summary, hourly ad costs'!D$11/'Summary, hourly ad costs'!T$11))/('Summary, PPI''s'!T49))</f>
        <v>.</v>
      </c>
      <c r="BR49" s="4">
        <f>IF(OR('Summary, hourly ad costs'!U49=-9999,'Summary, PPI''s'!U49="."),".",(('Summary, hourly ad costs'!E49/'Summary, hourly ad costs'!U49)*100/('Summary, hourly ad costs'!E$11/'Summary, hourly ad costs'!U$11))/('Summary, PPI''s'!U49))</f>
        <v>2.1498647718228883</v>
      </c>
      <c r="BS49" s="4">
        <f>IF(OR('Summary, hourly ad costs'!V49=-9999,'Summary, PPI''s'!V49="."),".",(('Summary, hourly ad costs'!F49/'Summary, hourly ad costs'!V49)*100/('Summary, hourly ad costs'!F$11/'Summary, hourly ad costs'!V$11))/('Summary, PPI''s'!V49))</f>
        <v>1.7298430556466204</v>
      </c>
      <c r="BT49" s="4" t="str">
        <f>IF(OR('Summary, hourly ad costs'!W49=-9999,'Summary, PPI''s'!W49="."),".",(('Summary, hourly ad costs'!G49/'Summary, hourly ad costs'!W49)*100/('Summary, hourly ad costs'!G$11/'Summary, hourly ad costs'!W$11))/('Summary, PPI''s'!W49))</f>
        <v>.</v>
      </c>
      <c r="BU49" s="4">
        <f>IF(OR('Summary, hourly ad costs'!X49=-9999,'Summary, PPI''s'!X49="."),".",(('Summary, hourly ad costs'!H49/'Summary, hourly ad costs'!X49)*100/('Summary, hourly ad costs'!H$11/'Summary, hourly ad costs'!X$11))/('Summary, PPI''s'!X49))</f>
        <v>1.1131314581149399</v>
      </c>
      <c r="BV49" s="4" t="str">
        <f>IF(OR('Summary, hourly ad costs'!Y49=-9999,'Summary, PPI''s'!Y49="."),".",(('Summary, hourly ad costs'!I49/'Summary, hourly ad costs'!Y49)*100/('Summary, hourly ad costs'!I$11/'Summary, hourly ad costs'!Y$11))/('Summary, PPI''s'!Y49))</f>
        <v>.</v>
      </c>
      <c r="BW49" s="4" t="str">
        <f>IF(OR('Summary, hourly ad costs'!Z49=-9999,'Summary, PPI''s'!Z49="."),".",(('Summary, hourly ad costs'!J49/'Summary, hourly ad costs'!Z49)*100/('Summary, hourly ad costs'!J$11/'Summary, hourly ad costs'!Z$11))/('Summary, PPI''s'!Z49))</f>
        <v>.</v>
      </c>
      <c r="BX49" s="4" t="str">
        <f>IF(OR('Summary, hourly ad costs'!AA49=-9999,'Summary, PPI''s'!AA49="."),".",(('Summary, hourly ad costs'!K49/'Summary, hourly ad costs'!AA49)*100/('Summary, hourly ad costs'!K$11/'Summary, hourly ad costs'!AA$11))/('Summary, PPI''s'!AA49))</f>
        <v>.</v>
      </c>
      <c r="BY49" s="4" t="str">
        <f>IF(OR('Summary, hourly ad costs'!AB49=-9999,'Summary, PPI''s'!AB49="."),".",(('Summary, hourly ad costs'!L49/'Summary, hourly ad costs'!AB49)*100/('Summary, hourly ad costs'!L$11/'Summary, hourly ad costs'!AB$11))/('Summary, PPI''s'!AB49))</f>
        <v>.</v>
      </c>
      <c r="BZ49" s="4" t="str">
        <f>IF(OR('Summary, hourly ad costs'!AC49=-9999,'Summary, PPI''s'!AC49="."),".",(('Summary, hourly ad costs'!M49/'Summary, hourly ad costs'!AC49)*100/('Summary, hourly ad costs'!M$11/'Summary, hourly ad costs'!AC$11))/('Summary, PPI''s'!AC49))</f>
        <v>.</v>
      </c>
      <c r="CA49" s="4" t="str">
        <f>IF(OR('Summary, hourly ad costs'!AD49=-9999,'Summary, PPI''s'!AD49="."),".",(('Summary, hourly ad costs'!N49/'Summary, hourly ad costs'!AD49)*100/('Summary, hourly ad costs'!N$11/'Summary, hourly ad costs'!AD$11))/('Summary, PPI''s'!AD49))</f>
        <v>.</v>
      </c>
      <c r="CB49" s="4" t="str">
        <f>IF(OR('Summary, hourly ad costs'!AE49=-9999,'Summary, PPI''s'!AE49="."),".",(('Summary, hourly ad costs'!O49/'Summary, hourly ad costs'!AE49)*100/('Summary, hourly ad costs'!O$11/'Summary, hourly ad costs'!AE$11))/('Summary, PPI''s'!AE49))</f>
        <v>.</v>
      </c>
      <c r="CC49" s="4" t="str">
        <f>IF(OR('Summary, hourly ad costs'!AF49=-9999,'Summary, PPI''s'!AF49="."),".",(('Summary, hourly ad costs'!P49/'Summary, hourly ad costs'!AF49)*100/('Summary, hourly ad costs'!P$11/'Summary, hourly ad costs'!AF$11))/('Summary, PPI''s'!AF49))</f>
        <v>.</v>
      </c>
      <c r="CE49" s="4">
        <f t="shared" si="113"/>
        <v>-0.13289471214285542</v>
      </c>
      <c r="CF49" s="4" t="str">
        <f t="shared" si="114"/>
        <v>.</v>
      </c>
      <c r="CG49" s="4" t="str">
        <f t="shared" si="115"/>
        <v>.</v>
      </c>
      <c r="CH49" s="4">
        <f t="shared" si="116"/>
        <v>-1.778849021179707E-2</v>
      </c>
      <c r="CI49" s="4">
        <f t="shared" si="117"/>
        <v>-1.6610519657697109E-2</v>
      </c>
      <c r="CJ49" s="4" t="str">
        <f t="shared" si="118"/>
        <v>.</v>
      </c>
      <c r="CK49" s="4">
        <f t="shared" si="119"/>
        <v>-2.3116426013713998E-5</v>
      </c>
      <c r="CL49" s="4">
        <f t="shared" si="130"/>
        <v>-4.1147796998243794E-2</v>
      </c>
      <c r="CM49" s="4">
        <f t="shared" si="130"/>
        <v>-1.6323608262606981E-4</v>
      </c>
      <c r="CN49" s="4">
        <f t="shared" si="89"/>
        <v>-5.5902158220210239E-2</v>
      </c>
      <c r="CO49" s="4">
        <f t="shared" si="120"/>
        <v>-0.16732130872462553</v>
      </c>
      <c r="CP49" s="4">
        <f t="shared" si="120"/>
        <v>0.25596788363111517</v>
      </c>
      <c r="CQ49" s="4" t="str">
        <f t="shared" si="110"/>
        <v>.</v>
      </c>
      <c r="CR49" s="4" t="str">
        <f t="shared" si="111"/>
        <v>.</v>
      </c>
      <c r="CS49" s="4" t="str">
        <f t="shared" si="112"/>
        <v>.</v>
      </c>
      <c r="CU49" s="5">
        <f>IF(CU48=".", ".", IF('Summary, PPI''s'!R49=".",IF(OR('Summary, hourly ad costs'!R49=-9999,'Summary, hourly ad costs'!R49=0), ".", 'Predicted PPIs'!CU48*('Summary, hourly ad costs'!B49/'Summary, hourly ad costs'!R49)/('Summary, hourly ad costs'!B48/'Summary, hourly ad costs'!R48)/(1-CE48)), 'Summary, PPI''s'!R49))</f>
        <v>32.248420514452022</v>
      </c>
      <c r="CV49" s="5">
        <f>IF(CV48=".", ".", IF('Summary, PPI''s'!S49=".",IF(OR('Summary, hourly ad costs'!S49=-9999,'Summary, hourly ad costs'!S49=0), ".", 'Predicted PPIs'!CV48*('Summary, hourly ad costs'!C49/'Summary, hourly ad costs'!S49)/('Summary, hourly ad costs'!C48/'Summary, hourly ad costs'!S48)/(1-CF48)), 'Summary, PPI''s'!S49))</f>
        <v>32.248420514452022</v>
      </c>
      <c r="CW49" s="5" t="str">
        <f>IF(CW48=".", ".", IF('Summary, PPI''s'!T49=".",IF(OR('Summary, hourly ad costs'!T49=-9999,'Summary, hourly ad costs'!T49=0), ".", 'Predicted PPIs'!CW48*('Summary, hourly ad costs'!D49/'Summary, hourly ad costs'!T49)/('Summary, hourly ad costs'!D48/'Summary, hourly ad costs'!T48)/(1-CG48)), 'Summary, PPI''s'!T49))</f>
        <v>.</v>
      </c>
      <c r="CX49" s="5">
        <f>IF(CX48=".", ".", IF('Summary, PPI''s'!U49=".",IF(OR('Summary, hourly ad costs'!U49=-9999,'Summary, hourly ad costs'!U49=0), ".", 'Predicted PPIs'!CX48*('Summary, hourly ad costs'!E49/'Summary, hourly ad costs'!U49)/('Summary, hourly ad costs'!E48/'Summary, hourly ad costs'!U48)/(1-CH48)), 'Summary, PPI''s'!U49))</f>
        <v>11.289992421095857</v>
      </c>
      <c r="CY49" s="5">
        <f>IF(CY48=".", ".", IF('Summary, PPI''s'!V49=".",IF(OR('Summary, hourly ad costs'!V49=-9999,'Summary, hourly ad costs'!V49=0), ".", 'Predicted PPIs'!CY48*('Summary, hourly ad costs'!F49/'Summary, hourly ad costs'!V49)/('Summary, hourly ad costs'!F48/'Summary, hourly ad costs'!V48)/(1-CI48)), 'Summary, PPI''s'!V49))</f>
        <v>15.461099102058705</v>
      </c>
      <c r="CZ49" s="5">
        <f>IF(CZ48=".", ".", IF('Summary, PPI''s'!W49=".",IF(OR('Summary, hourly ad costs'!W49=-9999,'Summary, hourly ad costs'!W49=0), ".", 'Predicted PPIs'!CZ48*('Summary, hourly ad costs'!G49/'Summary, hourly ad costs'!W49)/('Summary, hourly ad costs'!G48/'Summary, hourly ad costs'!W48)/(1-CJ48)), 'Summary, PPI''s'!W49))</f>
        <v>16.137057852436151</v>
      </c>
      <c r="DA49" s="5">
        <f>IF(DA48=".", ".", IF('Summary, PPI''s'!X49=".",IF(OR('Summary, hourly ad costs'!X49=-9999,'Summary, hourly ad costs'!X49=0), ".", 'Predicted PPIs'!DA48*('Summary, hourly ad costs'!H49/'Summary, hourly ad costs'!X49)/('Summary, hourly ad costs'!H48/'Summary, hourly ad costs'!X48)/(1-CK48)), 'Summary, PPI''s'!X49))</f>
        <v>21.169</v>
      </c>
      <c r="DB49" s="5">
        <f>IF(DB48=".", ".", IF('Summary, PPI''s'!Y49=".",IF(OR('Summary, hourly ad costs'!Y49=-9999,'Summary, hourly ad costs'!Y49=0), ".", 'Predicted PPIs'!DB48*('Summary, hourly ad costs'!I49/'Summary, hourly ad costs'!Y49)/('Summary, hourly ad costs'!I48/'Summary, hourly ad costs'!Y48)/(1-CL48)), 'Summary, PPI''s'!Y49))</f>
        <v>18.797034513486373</v>
      </c>
      <c r="DC49" s="5">
        <f>IF(DC48=".", ".", IF('Summary, PPI''s'!Z49=".",IF(OR('Summary, hourly ad costs'!Z49=-9999,'Summary, hourly ad costs'!Z49=0), ".", 'Predicted PPIs'!DC48*('Summary, hourly ad costs'!J49/'Summary, hourly ad costs'!Z49)/('Summary, hourly ad costs'!J48/'Summary, hourly ad costs'!Z48)/(1-CM48)), 'Summary, PPI''s'!Z49))</f>
        <v>19.488285536771233</v>
      </c>
      <c r="DD49" s="5" t="str">
        <f>IF(DD48=".", ".", IF('Summary, PPI''s'!AA49=".",IF(OR('Summary, hourly ad costs'!AA49=-9999,'Summary, hourly ad costs'!AA49=0), ".", 'Predicted PPIs'!DD48*('Summary, hourly ad costs'!K49/'Summary, hourly ad costs'!AA49)/('Summary, hourly ad costs'!K48/'Summary, hourly ad costs'!AA48)/(1-CN48)), 'Summary, PPI''s'!AA49))</f>
        <v>.</v>
      </c>
      <c r="DE49" s="5" t="str">
        <f>IF(DE48=".", ".", IF('Summary, PPI''s'!AB49=".",IF(OR('Summary, hourly ad costs'!AB49=-9999,'Summary, hourly ad costs'!AB49=0), ".", 'Predicted PPIs'!DE48*('Summary, hourly ad costs'!L49/'Summary, hourly ad costs'!AB49)/('Summary, hourly ad costs'!L48/'Summary, hourly ad costs'!AB48)/(1-CO48)), 'Summary, PPI''s'!AB49))</f>
        <v>.</v>
      </c>
      <c r="DF49" s="5" t="str">
        <f>IF(DF48=".", ".", IF('Summary, PPI''s'!AC49=".",IF(OR('Summary, hourly ad costs'!AC49=-9999,'Summary, hourly ad costs'!AC49=0), ".", 'Predicted PPIs'!DF48*('Summary, hourly ad costs'!M49/'Summary, hourly ad costs'!AC49)/('Summary, hourly ad costs'!M48/'Summary, hourly ad costs'!AC48)/(1-CP48)), 'Summary, PPI''s'!AC49))</f>
        <v>.</v>
      </c>
      <c r="DG49" s="5" t="str">
        <f>IF(DG48=".", ".", IF('Summary, PPI''s'!AD49=".",IF(OR('Summary, hourly ad costs'!AD49=-9999,'Summary, hourly ad costs'!AD49=0), ".", 'Predicted PPIs'!DG48*('Summary, hourly ad costs'!N49/'Summary, hourly ad costs'!AD49)/('Summary, hourly ad costs'!N48/'Summary, hourly ad costs'!AD48)/(1-CQ48)), 'Summary, PPI''s'!AD49))</f>
        <v>.</v>
      </c>
      <c r="DH49" s="5" t="str">
        <f>IF(DH48=".", ".", IF('Summary, PPI''s'!AE49=".",IF(OR('Summary, hourly ad costs'!AE49=-9999,'Summary, hourly ad costs'!AE49=0), ".", 'Predicted PPIs'!DH48*('Summary, hourly ad costs'!O49/'Summary, hourly ad costs'!AE49)/('Summary, hourly ad costs'!O48/'Summary, hourly ad costs'!AE48)/(1-CR48)), 'Summary, PPI''s'!AE49))</f>
        <v>.</v>
      </c>
      <c r="DI49" s="5" t="str">
        <f>IF(DI48=".", ".", IF('Summary, PPI''s'!AF49=".",IF(OR('Summary, hourly ad costs'!AF49=-9999,'Summary, hourly ad costs'!AF49=0), ".", 'Predicted PPIs'!DI48*('Summary, hourly ad costs'!P49/'Summary, hourly ad costs'!AF49)/('Summary, hourly ad costs'!P48/'Summary, hourly ad costs'!AF48)/(1-CS48)), 'Summary, PPI''s'!AF49))</f>
        <v>.</v>
      </c>
      <c r="DK49" s="4">
        <v>12.15</v>
      </c>
      <c r="DM49" s="5">
        <f t="shared" si="121"/>
        <v>6.684107011682161E-2</v>
      </c>
      <c r="DN49" s="5">
        <f t="shared" si="122"/>
        <v>6.684107011682161E-2</v>
      </c>
      <c r="DO49" s="4">
        <f t="shared" si="123"/>
        <v>-2.3013808108391216E-2</v>
      </c>
      <c r="DP49" s="5">
        <f t="shared" si="124"/>
        <v>-3.083225498082276E-2</v>
      </c>
      <c r="DQ49" s="5">
        <f t="shared" si="125"/>
        <v>-3.1492668112448108E-2</v>
      </c>
      <c r="DR49" s="5">
        <f t="shared" si="126"/>
        <v>7.9987434423397064E-2</v>
      </c>
      <c r="DS49" s="5">
        <f t="shared" si="127"/>
        <v>-1.8439833876420009E-2</v>
      </c>
      <c r="DT49" s="5">
        <f t="shared" si="128"/>
        <v>-9.2780721805211241E-3</v>
      </c>
      <c r="DU49" s="5">
        <f t="shared" si="129"/>
        <v>-1.251195778937142E-2</v>
      </c>
      <c r="DV49" s="4">
        <f t="shared" si="131"/>
        <v>1.7689512994180209E-3</v>
      </c>
      <c r="DW49" s="4">
        <f t="shared" si="78"/>
        <v>5.327964300423408E-2</v>
      </c>
      <c r="DX49" s="4">
        <f t="shared" si="78"/>
        <v>-0.27472920388764022</v>
      </c>
      <c r="DY49" s="4">
        <f t="shared" si="108"/>
        <v>-2.3336978971960631E-2</v>
      </c>
      <c r="DZ49" s="4">
        <f t="shared" si="132"/>
        <v>-1.7247370458562783E-2</v>
      </c>
      <c r="EA49" s="4">
        <f t="shared" si="109"/>
        <v>-1.3967278148016586E-2</v>
      </c>
      <c r="EC49" s="1">
        <f t="shared" si="93"/>
        <v>32.248420514452022</v>
      </c>
      <c r="ED49" s="1">
        <f t="shared" si="94"/>
        <v>32.248420514452022</v>
      </c>
      <c r="EE49" s="1">
        <f t="shared" si="95"/>
        <v>27.604988423387766</v>
      </c>
      <c r="EF49" s="1">
        <f t="shared" si="96"/>
        <v>11.289992421095857</v>
      </c>
      <c r="EG49" s="1">
        <f t="shared" si="97"/>
        <v>15.461099102058705</v>
      </c>
      <c r="EH49" s="1">
        <f t="shared" si="98"/>
        <v>16.137057852436151</v>
      </c>
      <c r="EI49" s="1">
        <f t="shared" si="99"/>
        <v>21.169</v>
      </c>
      <c r="EJ49" s="1">
        <f t="shared" si="100"/>
        <v>18.797034513486373</v>
      </c>
      <c r="EK49" s="1">
        <f t="shared" si="101"/>
        <v>19.488285536771233</v>
      </c>
      <c r="EL49" s="1">
        <f t="shared" si="102"/>
        <v>9.920460345801196</v>
      </c>
      <c r="EM49" s="1">
        <f t="shared" si="103"/>
        <v>14.464763235722577</v>
      </c>
      <c r="EN49" s="1">
        <f t="shared" si="104"/>
        <v>10.762125963110996</v>
      </c>
      <c r="EO49" s="1">
        <f t="shared" si="105"/>
        <v>15.517387862135532</v>
      </c>
      <c r="EP49" s="1">
        <f t="shared" si="106"/>
        <v>19.057854364871037</v>
      </c>
      <c r="EQ49" s="1">
        <f t="shared" si="107"/>
        <v>14.559883263548313</v>
      </c>
      <c r="ES49" s="1">
        <f>IF(EF$26=".", 0, 'Summary, PPI''s'!E49)+IF(EG$26=".", 0, 'Summary, PPI''s'!F49)+IF(EH$26=".", 0, 'Summary, PPI''s'!G49)+IF(EI$26=".", 0, 'Summary, PPI''s'!H49)+IF(EJ$26=".", 0, 'Summary, PPI''s'!I49)+IF(EK$26=".", 0, 'Summary, PPI''s'!J49)+IF(EL$26=".", 0, 'Summary, PPI''s'!K49)+IF(EM$26=".", 0, 'Summary, PPI''s'!L49)+IF(EN$26=".", 0, 'Summary, PPI''s'!M49)+IF(EC$26=".", 0, 'Summary, PPI''s'!B49)+IF(ED$26=".", 0, 'Summary, PPI''s'!C49)+IF(EE$26=".", 0, 'Summary, PPI''s'!D49)+IF(EO$26=".", 0, 'Summary, PPI''s'!N49)+IF(EP$26=".", 0, 'Summary, PPI''s'!O49)+IF(EQ$26=".", 0, 'Summary, PPI''s'!P49)</f>
        <v>26824579.060042202</v>
      </c>
      <c r="ET49" s="1">
        <f>'Summary, hourly ad costs'!E49+'Summary, hourly ad costs'!F49+'Summary, hourly ad costs'!H49+'Summary, hourly ad costs'!I49+'Summary, hourly ad costs'!J49+'Summary, hourly ad costs'!K49+'Summary, hourly ad costs'!L49+'Summary, hourly ad costs'!M49+'Summary, hourly ad costs'!B49</f>
        <v>15117602.247236839</v>
      </c>
      <c r="EV49" s="13">
        <f>EV48*IF(EF$26=".", 1, (EF49/EF48)^(('Summary, PPI''s'!$E49+'Summary, PPI''s'!$E48)/('Predicted PPIs'!ES49+'Predicted PPIs'!ES48)))*IF(EG$26=".", 1, (EG49/EG48)^(('Summary, PPI''s'!$F49+'Summary, PPI''s'!$F48)/('Predicted PPIs'!ES49+'Predicted PPIs'!ES48)))*IF(EH$26=".", 1, (EH49/EH48)^(('Summary, PPI''s'!$G49+'Summary, PPI''s'!$G48)/('Predicted PPIs'!ES49+'Predicted PPIs'!ES48)))*IF(EI$26=".", 1, (EI49/EI48)^(('Summary, PPI''s'!$H49+'Summary, PPI''s'!$H48)/('Predicted PPIs'!ES49+'Predicted PPIs'!ES48)))*IF(EJ$26=".", 1, (EJ49/EJ48)^(('Summary, PPI''s'!$I49+'Summary, PPI''s'!$I48)/('Predicted PPIs'!ES49+'Predicted PPIs'!ES48)))*IF(EK$26=".", 1, (EK49/EK48)^(('Summary, PPI''s'!$J49+'Summary, PPI''s'!$J48)/('Predicted PPIs'!ES49+'Predicted PPIs'!ES48)))*IF(EL$26=".", 1, (EL49/EL48)^(('Summary, PPI''s'!$K49+'Summary, PPI''s'!$K48)/('Predicted PPIs'!ES49+'Predicted PPIs'!ES48)))*IF(EM$26=".", 1, (EM49/EM48)^(('Summary, PPI''s'!$L49+'Summary, PPI''s'!$L48)/('Predicted PPIs'!ES49+'Predicted PPIs'!ES48)))*IF(EN$26=".", 1, (EN49/EN48)^(('Summary, PPI''s'!$M49+'Summary, PPI''s'!$M48)/('Predicted PPIs'!ES49+'Predicted PPIs'!ES48)))*IF(EC$26=".", 1, (EC49/EC48)^(('Summary, PPI''s'!$B49+'Summary, PPI''s'!$B48)/('Predicted PPIs'!ES49+'Predicted PPIs'!ES48)))*IF(ED$26=".", 1, (ED49/ED48)^(('Summary, PPI''s'!$C49+'Summary, PPI''s'!$C48)/('Predicted PPIs'!ES49+'Predicted PPIs'!ES48)))*IF(EE$26=".", 1, (EE49/EE48)^(('Summary, PPI''s'!$D49+'Summary, PPI''s'!$D48)/('Predicted PPIs'!ES49+'Predicted PPIs'!ES48)))*IF(EO$26=".", 1, (EO49/EO48)^(('Summary, PPI''s'!$N49+'Summary, PPI''s'!$N48)/('Predicted PPIs'!ES49+'Predicted PPIs'!ES48)))*IF(EP$26=".", 1, (EP49/EP48)^(('Summary, PPI''s'!$O49+'Summary, PPI''s'!$O48)/('Predicted PPIs'!ES49+'Predicted PPIs'!ES48)))*IF(EQ$26=".", 1, (EQ49/EQ48)^(('Summary, PPI''s'!$P49+'Summary, PPI''s'!$P48)/('Predicted PPIs'!ES49+'Predicted PPIs'!ES48)))</f>
        <v>19.032523238875047</v>
      </c>
      <c r="EW49" s="13">
        <f>EW48*IF(EF$26=".", 1, (EF49/EF48)^(('Summary, PPI''s'!$E49+'Summary, PPI''s'!$E48)/('Predicted PPIs'!ET49+'Predicted PPIs'!ET48)))*IF(EG$26=".", 1, (EG49/EG48)^(('Summary, PPI''s'!$F49+'Summary, PPI''s'!$F48)/('Predicted PPIs'!ET49+'Predicted PPIs'!ET48)))*IF(EH$26=".", 1, (EH49/EH48)^(('Summary, PPI''s'!$G49+'Summary, PPI''s'!$G48)/('Predicted PPIs'!ET49+'Predicted PPIs'!ET48)))*IF(EK$26=".", 1, (EK49/EK48)^(('Summary, PPI''s'!$J49+'Summary, PPI''s'!$J48)/('Predicted PPIs'!ET49+'Predicted PPIs'!ET48)))*IF(EL$26=".", 1, (EL49/EL48)^(('Summary, PPI''s'!$K49+'Summary, PPI''s'!$K48)/('Predicted PPIs'!ET49+'Predicted PPIs'!ET48)))*IF(EM$26=".", 1, (EM49/EM48)^(('Summary, PPI''s'!$L49+'Summary, PPI''s'!$L48)/('Predicted PPIs'!ET49+'Predicted PPIs'!ET48)))*IF(EN$26=".", 1, (EN49/EN48)^(('Summary, PPI''s'!$M49+'Summary, PPI''s'!$M48)/('Predicted PPIs'!ET49+'Predicted PPIs'!ET48)))*IF(EC$26=".", 1, (EC49/EC48)^(('Summary, PPI''s'!$B49+'Summary, PPI''s'!$B48)/('Predicted PPIs'!ET49+'Predicted PPIs'!ET48)))</f>
        <v>20.197604258502359</v>
      </c>
      <c r="EY49" s="2"/>
    </row>
    <row r="50" spans="1:155" x14ac:dyDescent="0.3">
      <c r="A50" s="4">
        <v>1973</v>
      </c>
      <c r="B50" s="10">
        <f>IF(B49=".", ".", IF('Summary, PPI''s'!R50=".",IF(OR('Summary, hourly ad costs'!R50=-9999,'Summary, hourly ad costs'!R50=0), ".", 'Predicted PPIs'!B49*('Summary, hourly ad costs'!B50/'Summary, hourly ad costs'!R50)/('Summary, hourly ad costs'!B49/'Summary, hourly ad costs'!R49)), 'Summary, PPI''s'!R50))</f>
        <v>27.725127207969479</v>
      </c>
      <c r="C50" s="10">
        <f>IF(C49=".", ".", IF('Summary, PPI''s'!S50=".",IF(OR('Summary, hourly ad costs'!S50=-9999,'Summary, hourly ad costs'!S50=0), ".", 'Predicted PPIs'!C49*('Summary, hourly ad costs'!C50/'Summary, hourly ad costs'!S50)/('Summary, hourly ad costs'!C49/'Summary, hourly ad costs'!S49)), 'Summary, PPI''s'!S50))</f>
        <v>27.725127207969479</v>
      </c>
      <c r="D50" s="10" t="str">
        <f>IF(D49=".", ".", IF('Summary, PPI''s'!T50=".",IF(OR('Summary, hourly ad costs'!T50=-9999,'Summary, hourly ad costs'!T50=0), ".", 'Predicted PPIs'!D49*('Summary, hourly ad costs'!D50/'Summary, hourly ad costs'!T50)/('Summary, hourly ad costs'!D49/'Summary, hourly ad costs'!T49)), 'Summary, PPI''s'!T50))</f>
        <v>.</v>
      </c>
      <c r="E50" s="10">
        <f>IF(E49=".", ".", IF('Summary, PPI''s'!U50=".",IF(OR('Summary, hourly ad costs'!U50=-9999,'Summary, hourly ad costs'!U50=0), ".", 'Predicted PPIs'!E49*('Summary, hourly ad costs'!E50/'Summary, hourly ad costs'!U50)/('Summary, hourly ad costs'!E49/'Summary, hourly ad costs'!U49)), 'Summary, PPI''s'!U50))</f>
        <v>10.684630897176508</v>
      </c>
      <c r="F50" s="10">
        <f>IF(F49=".", ".", IF('Summary, PPI''s'!V50=".",IF(OR('Summary, hourly ad costs'!V50=-9999,'Summary, hourly ad costs'!V50=0), ".", 'Predicted PPIs'!F49*('Summary, hourly ad costs'!F50/'Summary, hourly ad costs'!V50)/('Summary, hourly ad costs'!F49/'Summary, hourly ad costs'!V49)), 'Summary, PPI''s'!V50))</f>
        <v>14.642063183083479</v>
      </c>
      <c r="G50" s="10">
        <f>IF(G49=".", ".", IF('Summary, PPI''s'!W50=".",IF(OR('Summary, hourly ad costs'!W50=-9999,'Summary, hourly ad costs'!W50=0), ".", 'Predicted PPIs'!G49*('Summary, hourly ad costs'!G50/'Summary, hourly ad costs'!W50)/('Summary, hourly ad costs'!G49/'Summary, hourly ad costs'!W49)), 'Summary, PPI''s'!W50))</f>
        <v>13.70472984550493</v>
      </c>
      <c r="H50" s="10">
        <f>IF(H49=".", ".", IF('Summary, PPI''s'!X50=".",IF(OR('Summary, hourly ad costs'!X50=-9999,'Summary, hourly ad costs'!X50=0), ".", 'Predicted PPIs'!H49*('Summary, hourly ad costs'!H50/'Summary, hourly ad costs'!X50)/('Summary, hourly ad costs'!H49/'Summary, hourly ad costs'!X49)), 'Summary, PPI''s'!X50))</f>
        <v>19.780999999999999</v>
      </c>
      <c r="I50" s="10">
        <f>IF(I49=".", ".", IF('Summary, PPI''s'!Y50=".",IF(OR('Summary, hourly ad costs'!Y50=-9999,'Summary, hourly ad costs'!Y50=0), ".", 'Predicted PPIs'!I49*('Summary, hourly ad costs'!I50/'Summary, hourly ad costs'!Y50)/('Summary, hourly ad costs'!I49/'Summary, hourly ad costs'!Y49)), 'Summary, PPI''s'!Y50))</f>
        <v>17.884296337456203</v>
      </c>
      <c r="J50" s="10">
        <f>IF(J49=".", ".", IF('Summary, PPI''s'!Z50=".",IF(OR('Summary, hourly ad costs'!Z50=-9999,'Summary, hourly ad costs'!Z50=0), ".", 'Predicted PPIs'!J49*('Summary, hourly ad costs'!J50/'Summary, hourly ad costs'!Z50)/('Summary, hourly ad costs'!J49/'Summary, hourly ad costs'!Z49)), 'Summary, PPI''s'!Z50))</f>
        <v>17.157895042917549</v>
      </c>
      <c r="K50" s="10" t="str">
        <f>IF(K49=".", ".", IF('Summary, PPI''s'!AA50=".",IF(OR('Summary, hourly ad costs'!AA50=-9999,'Summary, hourly ad costs'!AA50=0), ".", 'Predicted PPIs'!K49*('Summary, hourly ad costs'!K50/'Summary, hourly ad costs'!AA50)/('Summary, hourly ad costs'!K49/'Summary, hourly ad costs'!AA49)), 'Summary, PPI''s'!AA50))</f>
        <v>.</v>
      </c>
      <c r="L50" s="10" t="str">
        <f>IF(L49=".", ".", IF('Summary, PPI''s'!AB50=".",IF(OR('Summary, hourly ad costs'!AB50=-9999,'Summary, hourly ad costs'!AB50=0), ".", 'Predicted PPIs'!L49*('Summary, hourly ad costs'!L50/'Summary, hourly ad costs'!AB50)/('Summary, hourly ad costs'!L49/'Summary, hourly ad costs'!AB49)), 'Summary, PPI''s'!AB50))</f>
        <v>.</v>
      </c>
      <c r="M50" s="10" t="str">
        <f>IF(M49=".", ".", IF('Summary, PPI''s'!AC50=".",IF(OR('Summary, hourly ad costs'!AC50=-9999,'Summary, hourly ad costs'!AC50=0), ".", 'Predicted PPIs'!M49*('Summary, hourly ad costs'!M50/'Summary, hourly ad costs'!AC50)/('Summary, hourly ad costs'!M49/'Summary, hourly ad costs'!AC49)), 'Summary, PPI''s'!AC50))</f>
        <v>.</v>
      </c>
      <c r="N50" s="10" t="str">
        <f>IF(N49=".", ".", IF('Summary, PPI''s'!AD50=".",IF(OR('Summary, hourly ad costs'!AD50=-9999,'Summary, hourly ad costs'!AD50=0), ".", 'Predicted PPIs'!N49*('Summary, hourly ad costs'!N50/'Summary, hourly ad costs'!AD50)/('Summary, hourly ad costs'!N49/'Summary, hourly ad costs'!AD49)), 'Summary, PPI''s'!AD50))</f>
        <v>.</v>
      </c>
      <c r="O50" s="10" t="str">
        <f>IF(O49=".", ".", IF('Summary, PPI''s'!AE50=".",IF(OR('Summary, hourly ad costs'!AE50=-9999,'Summary, hourly ad costs'!AE50=0), ".", 'Predicted PPIs'!O49*('Summary, hourly ad costs'!O50/'Summary, hourly ad costs'!AE50)/('Summary, hourly ad costs'!O49/'Summary, hourly ad costs'!AE49)), 'Summary, PPI''s'!AE50))</f>
        <v>.</v>
      </c>
      <c r="P50" s="10" t="str">
        <f>IF(P49=".", ".", IF('Summary, PPI''s'!AF50=".",IF(OR('Summary, hourly ad costs'!AF50=-9999,'Summary, hourly ad costs'!AF50=0), ".", 'Predicted PPIs'!P49*('Summary, hourly ad costs'!P50/'Summary, hourly ad costs'!AF50)/('Summary, hourly ad costs'!P49/'Summary, hourly ad costs'!AF49)), 'Summary, PPI''s'!AF50))</f>
        <v>.</v>
      </c>
      <c r="R50" s="1">
        <f>IF(E$26=".", 0, 'Summary, PPI''s'!E50)+IF(F$26=".", 0, 'Summary, PPI''s'!F50)+IF(G$26=".", 0, 'Summary, PPI''s'!G50)+IF(H$26=".", 0, 'Summary, PPI''s'!H50)+IF(I$26=".", 0, 'Summary, PPI''s'!I50)+IF(J$26=".", 0, 'Summary, PPI''s'!J50)+IF(K$26=".", 0, 'Summary, PPI''s'!K50)+IF(L$26=".", 0, 'Summary, PPI''s'!L50)+IF(M$26=".", 0, 'Summary, PPI''s'!M50)+IF(B$26=".", 0, 'Summary, PPI''s'!B50)+IF(C$26=".", 0, 'Summary, PPI''s'!C50)+IF(D$26=".", 0, 'Summary, PPI''s'!D50)+IF(N$26=".", 0, 'Summary, PPI''s'!N50)+IF(O$26=".", 0, 'Summary, PPI''s'!O50)+IF(P$26=".", 0, 'Summary, PPI''s'!P50)</f>
        <v>25244124.996593475</v>
      </c>
      <c r="S50" s="1">
        <f>IF(E$36=".", 0, 'Summary, PPI''s'!E50)+IF(F$36=".", 0, 'Summary, PPI''s'!F50)+IF(G$36=".", 0, 'Summary, PPI''s'!G50)+IF(H$36=".", 0, 'Summary, PPI''s'!H50)+IF(I$36=".", 0, 'Summary, PPI''s'!I50)+IF(J$36=".", 0, 'Summary, PPI''s'!J50)+IF(K$36=".", 0, 'Summary, PPI''s'!K50)+IF(L$36=".", 0, 'Summary, PPI''s'!L50)+IF(M$36=".", 0, 'Summary, PPI''s'!M50)+IF(B$36=".", 0, 'Summary, PPI''s'!B50)+IF(C$36=".", 0, 'Summary, PPI''s'!C50)+IF(D$36=".", 0, 'Summary, PPI''s'!D50)+IF(N$36=".", 0, 'Summary, PPI''s'!N50)+IF(O$36=".", 0, 'Summary, PPI''s'!O50)+IF(P$36=".", 0, 'Summary, PPI''s'!P50)</f>
        <v>25244124.996593475</v>
      </c>
      <c r="T50" s="1">
        <f>IF(E$46=".", 0, 'Summary, PPI''s'!E50)+IF(F$46=".", 0, 'Summary, PPI''s'!F50)+IF(G$46=".", 0, 'Summary, PPI''s'!G50)+IF(H$46=".", 0, 'Summary, PPI''s'!H50)+IF(I$46=".", 0, 'Summary, PPI''s'!I50)+IF(J$46=".", 0, 'Summary, PPI''s'!J50)+IF(K$46=".", 0, 'Summary, PPI''s'!K50)+IF(L$46=".", 0, 'Summary, PPI''s'!L50)+IF(M$46=".", 0, 'Summary, PPI''s'!M50)+IF(B$46=".", 0, 'Summary, PPI''s'!B50)+IF(C$46=".", 0, 'Summary, PPI''s'!C50)+IF(D$46=".", 0, 'Summary, PPI''s'!D50)+IF(N$46=".", 0, 'Summary, PPI''s'!N50)+IF(O$46=".", 0, 'Summary, PPI''s'!O50)+IF(P$46=".", 0, 'Summary, PPI''s'!P50)</f>
        <v>18691169.249421932</v>
      </c>
      <c r="U50" s="1">
        <f>IF(E$60=".", 0, 'Summary, PPI''s'!E50)+IF(F$60=".", 0, 'Summary, PPI''s'!F50)+IF(G$60=".", 0, 'Summary, PPI''s'!G50)+IF(H$60=".", 0, 'Summary, PPI''s'!H50)+IF(I$60=".", 0, 'Summary, PPI''s'!I50)+IF(J$60=".", 0, 'Summary, PPI''s'!J50)+IF(K$60=".", 0, 'Summary, PPI''s'!K50)+IF(L$60=".", 0, 'Summary, PPI''s'!L50)+IF(M$60=".", 0, 'Summary, PPI''s'!M50)+IF(B$60=".", 0, 'Summary, PPI''s'!B50)+IF(C$60=".", 0, 'Summary, PPI''s'!C50)+IF(D$60=".", 0, 'Summary, PPI''s'!D50)+IF(N$60=".", 0, 'Summary, PPI''s'!N50)+IF(O$60=".", 0, 'Summary, PPI''s'!O50)+IF(P$60=".", 0, 'Summary, PPI''s'!P50)</f>
        <v>16867337.962300982</v>
      </c>
      <c r="V50" s="1">
        <f>IF(E$73=".", 0, 'Summary, PPI''s'!E50)+IF(F$73=".", 0, 'Summary, PPI''s'!F50)+IF(G$73=".", 0, 'Summary, PPI''s'!G50)+IF(H$73=".", 0, 'Summary, PPI''s'!H50)+IF(I$73=".", 0, 'Summary, PPI''s'!I50)+IF(J$73=".", 0, 'Summary, PPI''s'!J50)+IF(K$73=".", 0, 'Summary, PPI''s'!K50)+IF(L$73=".", 0, 'Summary, PPI''s'!L50)+IF(M$73=".", 0, 'Summary, PPI''s'!M50)+IF(B$73=".", 0, 'Summary, PPI''s'!B50)+IF(C$73=".", 0, 'Summary, PPI''s'!C50)+IF(D$73=".", 0, 'Summary, PPI''s'!D50)+IF(N$73=".", 0, 'Summary, PPI''s'!N50)+IF(O$73=".", 0, 'Summary, PPI''s'!O50)+IF(P$73=".", 0, 'Summary, PPI''s'!P50)</f>
        <v>14300994.565379377</v>
      </c>
      <c r="W50" s="1">
        <f>IF(E$94=".",0,'Summary, PPI''s'!E50)+IF(F$94=".",0,'Summary, PPI''s'!F50)+IF(G$94=".",0,'Summary, PPI''s'!G50)+IF(H$94=".",0,'Summary, PPI''s'!H50)+IF(I$94=".",0,'Summary, PPI''s'!I50)+IF(J$94=".",0,'Summary, PPI''s'!J50)+IF(K$94=".",0,'Summary, PPI''s'!K50)+IF(L$94=".",0,'Summary, PPI''s'!L50)+IF(M$94=".",0,'Summary, PPI''s'!M50)+IF(B$94=".",0,'Summary, PPI''s'!B50)+IF(C$94=".",0,'Summary, PPI''s'!C50)+IF(D$94=".",0,'Summary, PPI''s'!D50)+IF(N$94=".",0,'Summary, PPI''s'!N50)+IF(O$94=".",0,'Summary, PPI''s'!O50)+IF(P$94=".",0,'Summary, PPI''s'!P50)</f>
        <v>11027846.819977509</v>
      </c>
      <c r="X50" s="1">
        <f>IF(E$123=".", 0, 'Summary, PPI''s'!E50)+IF(F$123=".", 0, 'Summary, PPI''s'!F50)+IF(G$123=".", 0, 'Summary, PPI''s'!G50)+IF(H$123=".", 0, 'Summary, PPI''s'!H50)+IF(I$123=".", 0, 'Summary, PPI''s'!I50)+IF(J$123=".", 0, 'Summary, PPI''s'!J50)+IF(K$123=".", 0, 'Summary, PPI''s'!K50)+IF(L$123=".", 0, 'Summary, PPI''s'!L50)+IF(M$123=".", 0, 'Summary, PPI''s'!M50)+IF(B$123=".", 0, 'Summary, PPI''s'!B50)+IF(C$123=".", 0, 'Summary, PPI''s'!C50)+IF(D$123=".", 0, 'Summary, PPI''s'!D50)+IF(N$123=".", 0, 'Summary, PPI''s'!N50)+IF(O$123=".", 0, 'Summary, PPI''s'!O50)+IF(P$123=".", 0, 'Summary, PPI''s'!P50)</f>
        <v>9624024.550698515</v>
      </c>
      <c r="Z50" s="4" t="e">
        <f>Z49*IF(E$26=".", 1, (E50/E49)^(('Summary, PPI''s'!$E50+'Summary, PPI''s'!$E49)/('Predicted PPIs'!R50+'Predicted PPIs'!R49)))*IF(F$26=".", 1, (F50/F49)^(('Summary, PPI''s'!$F50+'Summary, PPI''s'!$F49)/('Predicted PPIs'!R50+'Predicted PPIs'!R49)))*IF(G$26=".", 1, (G50/G49)^(('Summary, PPI''s'!$G50+'Summary, PPI''s'!$G49)/('Predicted PPIs'!R50+'Predicted PPIs'!R49)))*IF(H$26=".", 1, (H50/H49)^(('Summary, PPI''s'!$H50+'Summary, PPI''s'!$H49)/('Predicted PPIs'!R50+'Predicted PPIs'!R49)))*IF(I$26=".", 1, (I50/I49)^(('Summary, PPI''s'!$I50+'Summary, PPI''s'!$I49)/('Predicted PPIs'!R50+'Predicted PPIs'!R49)))*IF(J$26=".", 1, (J50/J49)^(('Summary, PPI''s'!$J50+'Summary, PPI''s'!$J49)/('Predicted PPIs'!R50+'Predicted PPIs'!R49)))*IF(K$26=".", 1, (K50/K49)^(('Summary, PPI''s'!$K50+'Summary, PPI''s'!$K49)/('Predicted PPIs'!R50+'Predicted PPIs'!R49)))*IF(L$26=".", 1, (L50/L49)^(('Summary, PPI''s'!$L50+'Summary, PPI''s'!$L49)/('Predicted PPIs'!R50+'Predicted PPIs'!R49)))*IF(M$26=".", 1, (M50/M49)^(('Summary, PPI''s'!$M50+'Summary, PPI''s'!$M49)/('Predicted PPIs'!R50+'Predicted PPIs'!R49)))*IF(B$26=".", 1, (B50/B49)^(('Summary, PPI''s'!$B50+'Summary, PPI''s'!$B49)/('Predicted PPIs'!R50+'Predicted PPIs'!R49)))*IF(C$26=".", 1, (C50/C49)^(('Summary, PPI''s'!$C50+'Summary, PPI''s'!$C49)/('Predicted PPIs'!R50+'Predicted PPIs'!R49)))*IF(D$26=".", 1, (D50/D49)^(('Summary, PPI''s'!$D50+'Summary, PPI''s'!$D49)/('Predicted PPIs'!R50+'Predicted PPIs'!R49)))*IF(N$26=".", 1, (N50/N49)^(('Summary, PPI''s'!$N50+'Summary, PPI''s'!$N49)/('Predicted PPIs'!R50+'Predicted PPIs'!R49)))*IF(O$26=".", 1, (O50/O49)^(('Summary, PPI''s'!$O50+'Summary, PPI''s'!$O49)/('Predicted PPIs'!R50+'Predicted PPIs'!R49)))*IF(P$26=".", 1, (P50/P49)^(('Summary, PPI''s'!$P50+'Summary, PPI''s'!$P49)/('Predicted PPIs'!R50+'Predicted PPIs'!R49)))</f>
        <v>#VALUE!</v>
      </c>
      <c r="AA50" s="4" t="e">
        <f>AA49*IF(E$36=".", 1, (E50/E49)^(('Summary, PPI''s'!$E50+'Summary, PPI''s'!$E49)/('Predicted PPIs'!S50+'Predicted PPIs'!S49)))*IF(F$36=".", 1, (F50/F49)^(('Summary, PPI''s'!$F50+'Summary, PPI''s'!$F49)/('Predicted PPIs'!S50+'Predicted PPIs'!S49)))*IF(G$36=".", 1, (G50/G49)^(('Summary, PPI''s'!$G50+'Summary, PPI''s'!$G49)/('Predicted PPIs'!S50+'Predicted PPIs'!S49)))*IF(H$36=".", 1, (H50/H49)^(('Summary, PPI''s'!$H50+'Summary, PPI''s'!$H49)/('Predicted PPIs'!S50+'Predicted PPIs'!S49)))*IF(I$36=".", 1, (I50/I49)^(('Summary, PPI''s'!$I50+'Summary, PPI''s'!$I49)/('Predicted PPIs'!S50+'Predicted PPIs'!S49)))*IF(J$36=".", 1, (J50/J49)^(('Summary, PPI''s'!$J50+'Summary, PPI''s'!$J49)/('Predicted PPIs'!S50+'Predicted PPIs'!S49)))*IF(K$36=".", 1, (K50/K49)^(('Summary, PPI''s'!$K50+'Summary, PPI''s'!$K49)/('Predicted PPIs'!S50+'Predicted PPIs'!S49)))*IF(L$36=".", 1, (L50/L49)^(('Summary, PPI''s'!$L50+'Summary, PPI''s'!$L49)/('Predicted PPIs'!S50+'Predicted PPIs'!S49)))*IF(M$36=".", 1, (M50/M49)^(('Summary, PPI''s'!$M50+'Summary, PPI''s'!$M49)/('Predicted PPIs'!S50+'Predicted PPIs'!S49)))*IF(B$36=".", 1, (B50/B49)^(('Summary, PPI''s'!$B50+'Summary, PPI''s'!$B49)/('Predicted PPIs'!S50+'Predicted PPIs'!S49)))*IF(C$36=".", 1, (C50/C49)^(('Summary, PPI''s'!$C50+'Summary, PPI''s'!$C49)/('Predicted PPIs'!S50+'Predicted PPIs'!S49)))*IF(D$36=".", 1, (D50/D49)^(('Summary, PPI''s'!$D50+'Summary, PPI''s'!$D49)/('Predicted PPIs'!S50+'Predicted PPIs'!S49)))*IF(N$36=".", 1, (N50/N49)^(('Summary, PPI''s'!$N50+'Summary, PPI''s'!$N49)/('Predicted PPIs'!S50+'Predicted PPIs'!S49)))*IF(O$36=".", 1, (O50/O49)^(('Summary, PPI''s'!$O50+'Summary, PPI''s'!$O49)/('Predicted PPIs'!S50+'Predicted PPIs'!S49)))*IF(P$36=".", 1, (P50/P49)^(('Summary, PPI''s'!$P50+'Summary, PPI''s'!$P49)/('Predicted PPIs'!S50+'Predicted PPIs'!S49)))</f>
        <v>#VALUE!</v>
      </c>
      <c r="AB50" s="4" t="e">
        <f>AB49*IF(E$46=".", 1, (E50/E49)^(('Summary, PPI''s'!$E50+'Summary, PPI''s'!$E49)/('Predicted PPIs'!T50+'Predicted PPIs'!T49)))*IF(F$46=".", 1, (F50/F49)^(('Summary, PPI''s'!$F50+'Summary, PPI''s'!$F49)/('Predicted PPIs'!T50+'Predicted PPIs'!T49)))*IF(G$46=".", 1, (G50/G49)^(('Summary, PPI''s'!$G50+'Summary, PPI''s'!$G49)/('Predicted PPIs'!T50+'Predicted PPIs'!T49)))*IF(H$46=".", 1, (H50/H49)^(('Summary, PPI''s'!$H50+'Summary, PPI''s'!$H49)/('Predicted PPIs'!T50+'Predicted PPIs'!T49)))*IF(I$46=".", 1, (I50/I49)^(('Summary, PPI''s'!$I50+'Summary, PPI''s'!$I49)/('Predicted PPIs'!T50+'Predicted PPIs'!T49)))*IF(J$46=".", 1, (J50/J49)^(('Summary, PPI''s'!$J50+'Summary, PPI''s'!$J49)/('Predicted PPIs'!T50+'Predicted PPIs'!T49)))*IF(K$46=".", 1, (K50/K49)^(('Summary, PPI''s'!$K50+'Summary, PPI''s'!$K49)/('Predicted PPIs'!T50+'Predicted PPIs'!T49)))*IF(L$46=".", 1, (L50/L49)^(('Summary, PPI''s'!$L50+'Summary, PPI''s'!$L49)/('Predicted PPIs'!T50+'Predicted PPIs'!T49)))*IF(M$46=".", 1, (M50/M49)^(('Summary, PPI''s'!$M50+'Summary, PPI''s'!$M49)/('Predicted PPIs'!T50+'Predicted PPIs'!T49)))*IF(B$46=".", 1, (B50/B49)^(('Summary, PPI''s'!$B50+'Summary, PPI''s'!$B49)/('Predicted PPIs'!T50+'Predicted PPIs'!T49)))*IF(C$46=".", 1, (C50/C49)^(('Summary, PPI''s'!$C50+'Summary, PPI''s'!$C49)/('Predicted PPIs'!T50+'Predicted PPIs'!T49)))*IF(D$46=".", 1, (D50/D49)^(('Summary, PPI''s'!$D50+'Summary, PPI''s'!$D49)/('Predicted PPIs'!T50+'Predicted PPIs'!T49)))*IF(N$46=".", 1, (N50/N49)^(('Summary, PPI''s'!$N50+'Summary, PPI''s'!$N49)/('Predicted PPIs'!T50+'Predicted PPIs'!T49)))*IF(O$46=".", 1, (O50/O49)^(('Summary, PPI''s'!$O50+'Summary, PPI''s'!$O49)/('Predicted PPIs'!T50+'Predicted PPIs'!T49)))*IF(P$46=".", 1, (P50/P49)^(('Summary, PPI''s'!$P50+'Summary, PPI''s'!$P49)/('Predicted PPIs'!T50+'Predicted PPIs'!T49)))</f>
        <v>#VALUE!</v>
      </c>
      <c r="AC50" s="4">
        <f>AC49*IF(E$60=".",1,(E50/E49)^(('Summary, PPI''s'!$E50+'Summary, PPI''s'!$E49)/('Predicted PPIs'!U50+'Predicted PPIs'!U49)))*IF(F$60=".",1,(F50/F49)^(('Summary, PPI''s'!$F50+'Summary, PPI''s'!$F49)/('Predicted PPIs'!U50+'Predicted PPIs'!U49)))*IF(G$60=".",1,(G50/G49)^(('Summary, PPI''s'!$G50+'Summary, PPI''s'!$G49)/('Predicted PPIs'!U50+'Predicted PPIs'!U49)))*IF(H$60=".",1,(H50/H49)^(('Summary, PPI''s'!$H50+'Summary, PPI''s'!$H49)/('Predicted PPIs'!U50+'Predicted PPIs'!U49)))*IF(I$60=".",1,(I50/I49)^(('Summary, PPI''s'!$I50+'Summary, PPI''s'!$I49)/('Predicted PPIs'!U50+'Predicted PPIs'!U49)))*IF(J$60=".",1,(J50/J49)^(('Summary, PPI''s'!$J50+'Summary, PPI''s'!$J49)/('Predicted PPIs'!U50+'Predicted PPIs'!U49)))*IF(K$60=".",1,(K50/K49)^(('Summary, PPI''s'!$K50+'Summary, PPI''s'!$K49)/('Predicted PPIs'!U50+'Predicted PPIs'!U49)))*IF(L$60=".",1,(L50/L49)^(('Summary, PPI''s'!$L50+'Summary, PPI''s'!$L49)/('Predicted PPIs'!U50+'Predicted PPIs'!U49)))*IF(M$60=".",1,(M50/M49)^(('Summary, PPI''s'!$M50+'Summary, PPI''s'!$M49)/('Predicted PPIs'!U50+'Predicted PPIs'!U49)))*IF(B$60=".",1,(B50/B49)^(('Summary, PPI''s'!$B50+'Summary, PPI''s'!$B49)/('Predicted PPIs'!U50+'Predicted PPIs'!U49)))*IF(C$60=".",1,(C50/C49)^(('Summary, PPI''s'!$C50+'Summary, PPI''s'!$C49)/('Predicted PPIs'!U50+'Predicted PPIs'!U49)))*IF(D$60=".",1,(D50/D49)^(('Summary, PPI''s'!$D50+'Summary, PPI''s'!$D49)/('Predicted PPIs'!U50+'Predicted PPIs'!U49)))*IF(N$60=".",1,(N50/N49)^(('Summary, PPI''s'!$N50+'Summary, PPI''s'!$N49)/('Predicted PPIs'!U50+'Predicted PPIs'!U49)))*IF(O$60=".",1,(O50/O49)^(('Summary, PPI''s'!$O50+'Summary, PPI''s'!$O49)/('Predicted PPIs'!U50+'Predicted PPIs'!U49)))*IF(P$60=".",1,(P50/P49)^(('Summary, PPI''s'!$P50+'Summary, PPI''s'!$P49)/('Predicted PPIs'!U50+'Predicted PPIs'!U49)))</f>
        <v>16.146643765551534</v>
      </c>
      <c r="AD50" s="4">
        <f>AD49*IF(E$73=".", 1, (E50/E49)^(('Summary, PPI''s'!$E50+'Summary, PPI''s'!$E49)/('Predicted PPIs'!V50+'Predicted PPIs'!V49)))*IF(F$73=".", 1, (F50/F49)^(('Summary, PPI''s'!$F50+'Summary, PPI''s'!$F49)/('Predicted PPIs'!V50+'Predicted PPIs'!V49)))*IF(G$73=".", 1, (G50/G49)^(('Summary, PPI''s'!$G50+'Summary, PPI''s'!$G49)/('Predicted PPIs'!V50+'Predicted PPIs'!V49)))*IF(H$73=".", 1, (H50/H49)^(('Summary, PPI''s'!$H50+'Summary, PPI''s'!$H49)/('Predicted PPIs'!V50+'Predicted PPIs'!V49)))*IF(I$73=".", 1, (I50/I49)^(('Summary, PPI''s'!$I50+'Summary, PPI''s'!$I49)/('Predicted PPIs'!V50+'Predicted PPIs'!V49)))*IF(J$73=".", 1, (J50/J49)^(('Summary, PPI''s'!$J50+'Summary, PPI''s'!$J49)/('Predicted PPIs'!V50+'Predicted PPIs'!V49)))*IF(K$73=".", 1, (K50/K49)^(('Summary, PPI''s'!$K50+'Summary, PPI''s'!$K49)/('Predicted PPIs'!V50+'Predicted PPIs'!V49)))*IF(L$73=".", 1, (L50/L49)^(('Summary, PPI''s'!$L50+'Summary, PPI''s'!$L49)/('Predicted PPIs'!V50+'Predicted PPIs'!V49)))*IF(M$73=".", 1, (M50/M49)^(('Summary, PPI''s'!$M50+'Summary, PPI''s'!$M49)/('Predicted PPIs'!V50+'Predicted PPIs'!V49)))*IF(B$73=".", 1, (B50/B49)^(('Summary, PPI''s'!$B50+'Summary, PPI''s'!$B49)/('Predicted PPIs'!V50+'Predicted PPIs'!V49)))*IF(C$73=".", 1, (C50/C49)^(('Summary, PPI''s'!$C50+'Summary, PPI''s'!$C49)/('Predicted PPIs'!V50+'Predicted PPIs'!V49)))*IF(D$73=".", 1, (D50/D49)^(('Summary, PPI''s'!$D50+'Summary, PPI''s'!$D49)/('Predicted PPIs'!V50+'Predicted PPIs'!V49)))*IF(N$73=".", 1, (N50/N49)^(('Summary, PPI''s'!$N50+'Summary, PPI''s'!$N49)/('Predicted PPIs'!V50+'Predicted PPIs'!V49)))*IF(O$73=".", 1, (O50/O49)^(('Summary, PPI''s'!$O50+'Summary, PPI''s'!$O49)/('Predicted PPIs'!V50+'Predicted PPIs'!V49)))*IF(P$73=".", 1, (P50/P49)^(('Summary, PPI''s'!$P50+'Summary, PPI''s'!$P49)/('Predicted PPIs'!V50+'Predicted PPIs'!V49)))</f>
        <v>15.351664094372385</v>
      </c>
      <c r="AE50" s="4">
        <f>AE49*IF(E$94=".", 1, (E50/E49)^(('Summary, PPI''s'!$E50+'Summary, PPI''s'!$E49)/('Predicted PPIs'!W50+'Predicted PPIs'!W49)))*IF(F$94=".", 1, (F50/F49)^(('Summary, PPI''s'!$F50+'Summary, PPI''s'!$F49)/('Predicted PPIs'!W50+'Predicted PPIs'!W49)))*IF(G$94=".", 1, (G50/G49)^(('Summary, PPI''s'!$G50+'Summary, PPI''s'!$G49)/('Predicted PPIs'!W50+'Predicted PPIs'!W49)))*IF(H$94=".", 1, (H50/H49)^(('Summary, PPI''s'!$H50+'Summary, PPI''s'!$H49)/('Predicted PPIs'!W50+'Predicted PPIs'!W49)))*IF(I$94=".", 1, (I50/I49)^(('Summary, PPI''s'!$I50+'Summary, PPI''s'!$I49)/('Predicted PPIs'!W50+'Predicted PPIs'!W49)))*IF(J$94=".", 1, (J50/J49)^(('Summary, PPI''s'!$J50+'Summary, PPI''s'!$J49)/('Predicted PPIs'!W50+'Predicted PPIs'!W49)))*IF(K$94=".", 1, (K50/K49)^(('Summary, PPI''s'!$K50+'Summary, PPI''s'!$K49)/('Predicted PPIs'!W50+'Predicted PPIs'!W49)))*IF(L$94=".", 1, (L50/L49)^(('Summary, PPI''s'!$L50+'Summary, PPI''s'!$L49)/('Predicted PPIs'!W50+'Predicted PPIs'!W49)))*IF(M$94=".", 1, (M50/M49)^(('Summary, PPI''s'!$M50+'Summary, PPI''s'!$M49)/('Predicted PPIs'!W50+'Predicted PPIs'!W49)))*IF(B$94=".", 1, (B50/B49)^(('Summary, PPI''s'!$B50+'Summary, PPI''s'!$B49)/('Predicted PPIs'!W50+'Predicted PPIs'!W49)))*IF(C$94=".", 1, (C50/C49)^(('Summary, PPI''s'!$C50+'Summary, PPI''s'!$C49)/('Predicted PPIs'!W50+'Predicted PPIs'!W49)))*IF(D$94=".", 1, (D50/D49)^(('Summary, PPI''s'!$D50+'Summary, PPI''s'!$D49)/('Predicted PPIs'!W50+'Predicted PPIs'!W49)))*IF(N$94=".", 1, (N50/N49)^(('Summary, PPI''s'!$N50+'Summary, PPI''s'!$N49)/('Predicted PPIs'!W50+'Predicted PPIs'!W49)))*IF(O$94=".", 1, (O50/O49)^(('Summary, PPI''s'!$O50+'Summary, PPI''s'!$O49)/('Predicted PPIs'!W50+'Predicted PPIs'!W49)))*IF(P$94=".", 1, (P50/P49)^(('Summary, PPI''s'!$P50+'Summary, PPI''s'!$P49)/('Predicted PPIs'!W50+'Predicted PPIs'!W49)))</f>
        <v>13.999873461612001</v>
      </c>
      <c r="AF50" s="4">
        <f>AF49*IF(E$123=".", 1, (E50/E49)^(('Summary, PPI''s'!$E50+'Summary, PPI''s'!$E49)/('Predicted PPIs'!X50+'Predicted PPIs'!X49)))*IF(F$123=".", 1, (F50/F49)^(('Summary, PPI''s'!$F50+'Summary, PPI''s'!$F49)/('Predicted PPIs'!X50+'Predicted PPIs'!X49)))*IF(G$123=".", 1, (G50/G49)^(('Summary, PPI''s'!$G50+'Summary, PPI''s'!$G49)/('Predicted PPIs'!X50+'Predicted PPIs'!X49)))*IF(H$123=".", 1, (H50/H49)^(('Summary, PPI''s'!$H50+'Summary, PPI''s'!$H49)/('Predicted PPIs'!X50+'Predicted PPIs'!X49)))*IF(I$123=".", 1, (I50/I49)^(('Summary, PPI''s'!$I50+'Summary, PPI''s'!$I49)/('Predicted PPIs'!X50+'Predicted PPIs'!X49)))*IF(J$123=".", 1, (J50/J49)^(('Summary, PPI''s'!$J50+'Summary, PPI''s'!$J49)/('Predicted PPIs'!X50+'Predicted PPIs'!X49)))*IF(K$123=".", 1, (K50/K49)^(('Summary, PPI''s'!$K50+'Summary, PPI''s'!$K49)/('Predicted PPIs'!X50+'Predicted PPIs'!X49)))*IF(L$123=".", 1, (L50/L49)^(('Summary, PPI''s'!$L50+'Summary, PPI''s'!$L49)/('Predicted PPIs'!X50+'Predicted PPIs'!X49)))*IF(M$123=".", 1, (M50/M49)^(('Summary, PPI''s'!$M50+'Summary, PPI''s'!$M49)/('Predicted PPIs'!X50+'Predicted PPIs'!X49)))*IF(B$123=".", 1, (B50/B49)^(('Summary, PPI''s'!$B50+'Summary, PPI''s'!$B49)/('Predicted PPIs'!X50+'Predicted PPIs'!X49)))*IF(C$123=".", 1, (C50/C49)^(('Summary, PPI''s'!$C50+'Summary, PPI''s'!$C49)/('Predicted PPIs'!X50+'Predicted PPIs'!X49)))*IF(D$123=".", 1, (D50/D49)^(('Summary, PPI''s'!$D50+'Summary, PPI''s'!$D49)/('Predicted PPIs'!X50+'Predicted PPIs'!X49)))*IF(N$123=".", 1, (N50/N49)^(('Summary, PPI''s'!$N50+'Summary, PPI''s'!$N49)/('Predicted PPIs'!X50+'Predicted PPIs'!X49)))*IF(O$123=".", 1, (O50/O49)^(('Summary, PPI''s'!$O50+'Summary, PPI''s'!$O49)/('Predicted PPIs'!X50+'Predicted PPIs'!X49)))*IF(P$123=".", 1, (P50/P49)^(('Summary, PPI''s'!$P50+'Summary, PPI''s'!$P49)/('Predicted PPIs'!X50+'Predicted PPIs'!X49)))</f>
        <v>12.875560966887347</v>
      </c>
      <c r="AH50" s="13">
        <f t="shared" si="91"/>
        <v>17.853801945061218</v>
      </c>
      <c r="AJ50" s="4">
        <v>849.6</v>
      </c>
      <c r="AK50" s="4">
        <v>-1.115</v>
      </c>
      <c r="AL50" s="4">
        <v>-80.98</v>
      </c>
      <c r="AM50" s="4">
        <v>-3.7839999999999998</v>
      </c>
      <c r="AN50" s="4">
        <v>1060.9000000000001</v>
      </c>
      <c r="AO50" s="4">
        <v>249.5</v>
      </c>
      <c r="AP50" s="4">
        <f>('[3]1973'!$I$14+'[3]1973'!$I$69+'[3]1973'!$I$71-'[3]1973'!$I$73)*0.001</f>
        <v>-13.367000000000001</v>
      </c>
      <c r="AQ50" s="4">
        <f>('[3]1973'!$AY$56+'[3]1973'!$AY$69+'[3]1973'!$AY$71-'[3]1973'!$AY$73)*0.001</f>
        <v>-41.4</v>
      </c>
      <c r="AR50" s="4">
        <f>AR$38*3220/23762</f>
        <v>-1.5160912381112701</v>
      </c>
      <c r="AS50" s="4">
        <v>-4.8609999999999998</v>
      </c>
      <c r="AT50" s="4">
        <v>23.756</v>
      </c>
      <c r="AU50" s="4">
        <v>45.441000000000003</v>
      </c>
      <c r="AV50" s="4">
        <v>19.469000000000001</v>
      </c>
      <c r="AW50" s="4">
        <v>22.216999999999999</v>
      </c>
      <c r="AX50" s="4">
        <v>23.466000000000001</v>
      </c>
      <c r="AY50" s="4">
        <v>33.168999999999997</v>
      </c>
      <c r="AZ50" s="4">
        <v>14.734</v>
      </c>
      <c r="BA50" s="4">
        <v>24.626999999999999</v>
      </c>
      <c r="BB50" s="4">
        <f>BB$38*160.097/184.05</f>
        <v>89.577772670469997</v>
      </c>
      <c r="BC50" s="4">
        <v>31.791</v>
      </c>
      <c r="BG50" s="4">
        <f t="shared" si="50"/>
        <v>34.821651985626822</v>
      </c>
      <c r="BI50" s="4">
        <f>BI$13*'[2]Ordinary Experience'!$D$376/'[2]Ordinary Experience'!$D$413</f>
        <v>210193812.09986705</v>
      </c>
      <c r="BJ50" s="4">
        <f>'[2]Ordinary Experience'!$E$376</f>
        <v>26.58422069924784</v>
      </c>
      <c r="BL50" s="4">
        <f t="shared" si="90"/>
        <v>56.934532549097064</v>
      </c>
      <c r="BM50" s="4">
        <f t="shared" si="34"/>
        <v>3.2050169761687064E-2</v>
      </c>
      <c r="BO50" s="4">
        <f>IF(OR('Summary, hourly ad costs'!R50=-9999,'Summary, PPI''s'!R50="."),".",(('Summary, hourly ad costs'!B50/'Summary, hourly ad costs'!R50)*100/('Summary, hourly ad costs'!B$11/'Summary, hourly ad costs'!R$11))/('Summary, PPI''s'!R50))</f>
        <v>1.6273049610443113</v>
      </c>
      <c r="BP50" s="4" t="str">
        <f>IF(OR('Summary, hourly ad costs'!S50=-9999,'Summary, PPI''s'!S50="."),".",(('Summary, hourly ad costs'!C50/'Summary, hourly ad costs'!S50)*100/('Summary, hourly ad costs'!C$11/'Summary, hourly ad costs'!S$11))/('Summary, PPI''s'!S50))</f>
        <v>.</v>
      </c>
      <c r="BQ50" s="4" t="str">
        <f>IF(OR('Summary, hourly ad costs'!T50=-9999,'Summary, PPI''s'!T50="."),".",(('Summary, hourly ad costs'!D50/'Summary, hourly ad costs'!T50)*100/('Summary, hourly ad costs'!D$11/'Summary, hourly ad costs'!T$11))/('Summary, PPI''s'!T50))</f>
        <v>.</v>
      </c>
      <c r="BR50" s="4">
        <f>IF(OR('Summary, hourly ad costs'!U50=-9999,'Summary, PPI''s'!U50="."),".",(('Summary, hourly ad costs'!E50/'Summary, hourly ad costs'!U50)*100/('Summary, hourly ad costs'!E$11/'Summary, hourly ad costs'!U$11))/('Summary, PPI''s'!U50))</f>
        <v>2.1888002231682968</v>
      </c>
      <c r="BS50" s="4">
        <f>IF(OR('Summary, hourly ad costs'!V50=-9999,'Summary, PPI''s'!V50="."),".",(('Summary, hourly ad costs'!F50/'Summary, hourly ad costs'!V50)*100/('Summary, hourly ad costs'!F$11/'Summary, hourly ad costs'!V$11))/('Summary, PPI''s'!V50))</f>
        <v>1.759061989400668</v>
      </c>
      <c r="BT50" s="4" t="str">
        <f>IF(OR('Summary, hourly ad costs'!W50=-9999,'Summary, PPI''s'!W50="."),".",(('Summary, hourly ad costs'!G50/'Summary, hourly ad costs'!W50)*100/('Summary, hourly ad costs'!G$11/'Summary, hourly ad costs'!W$11))/('Summary, PPI''s'!W50))</f>
        <v>.</v>
      </c>
      <c r="BU50" s="4">
        <f>IF(OR('Summary, hourly ad costs'!X50=-9999,'Summary, PPI''s'!X50="."),".",(('Summary, hourly ad costs'!H50/'Summary, hourly ad costs'!X50)*100/('Summary, hourly ad costs'!H$11/'Summary, hourly ad costs'!X$11))/('Summary, PPI''s'!X50))</f>
        <v>1.1131571903307718</v>
      </c>
      <c r="BV50" s="4" t="str">
        <f>IF(OR('Summary, hourly ad costs'!Y50=-9999,'Summary, PPI''s'!Y50="."),".",(('Summary, hourly ad costs'!I50/'Summary, hourly ad costs'!Y50)*100/('Summary, hourly ad costs'!I$11/'Summary, hourly ad costs'!Y$11))/('Summary, PPI''s'!Y50))</f>
        <v>.</v>
      </c>
      <c r="BW50" s="4" t="str">
        <f>IF(OR('Summary, hourly ad costs'!Z50=-9999,'Summary, PPI''s'!Z50="."),".",(('Summary, hourly ad costs'!J50/'Summary, hourly ad costs'!Z50)*100/('Summary, hourly ad costs'!J$11/'Summary, hourly ad costs'!Z$11))/('Summary, PPI''s'!Z50))</f>
        <v>.</v>
      </c>
      <c r="BX50" s="4" t="str">
        <f>IF(OR('Summary, hourly ad costs'!AA50=-9999,'Summary, PPI''s'!AA50="."),".",(('Summary, hourly ad costs'!K50/'Summary, hourly ad costs'!AA50)*100/('Summary, hourly ad costs'!K$11/'Summary, hourly ad costs'!AA$11))/('Summary, PPI''s'!AA50))</f>
        <v>.</v>
      </c>
      <c r="BY50" s="4" t="str">
        <f>IF(OR('Summary, hourly ad costs'!AB50=-9999,'Summary, PPI''s'!AB50="."),".",(('Summary, hourly ad costs'!L50/'Summary, hourly ad costs'!AB50)*100/('Summary, hourly ad costs'!L$11/'Summary, hourly ad costs'!AB$11))/('Summary, PPI''s'!AB50))</f>
        <v>.</v>
      </c>
      <c r="BZ50" s="4" t="str">
        <f>IF(OR('Summary, hourly ad costs'!AC50=-9999,'Summary, PPI''s'!AC50="."),".",(('Summary, hourly ad costs'!M50/'Summary, hourly ad costs'!AC50)*100/('Summary, hourly ad costs'!M$11/'Summary, hourly ad costs'!AC$11))/('Summary, PPI''s'!AC50))</f>
        <v>.</v>
      </c>
      <c r="CA50" s="4" t="str">
        <f>IF(OR('Summary, hourly ad costs'!AD50=-9999,'Summary, PPI''s'!AD50="."),".",(('Summary, hourly ad costs'!N50/'Summary, hourly ad costs'!AD50)*100/('Summary, hourly ad costs'!N$11/'Summary, hourly ad costs'!AD$11))/('Summary, PPI''s'!AD50))</f>
        <v>.</v>
      </c>
      <c r="CB50" s="4" t="str">
        <f>IF(OR('Summary, hourly ad costs'!AE50=-9999,'Summary, PPI''s'!AE50="."),".",(('Summary, hourly ad costs'!O50/'Summary, hourly ad costs'!AE50)*100/('Summary, hourly ad costs'!O$11/'Summary, hourly ad costs'!AE$11))/('Summary, PPI''s'!AE50))</f>
        <v>.</v>
      </c>
      <c r="CC50" s="4" t="str">
        <f>IF(OR('Summary, hourly ad costs'!AF50=-9999,'Summary, PPI''s'!AF50="."),".",(('Summary, hourly ad costs'!P50/'Summary, hourly ad costs'!AF50)*100/('Summary, hourly ad costs'!P$11/'Summary, hourly ad costs'!AF$11))/('Summary, PPI''s'!AF50))</f>
        <v>.</v>
      </c>
      <c r="CE50" s="4">
        <f t="shared" si="113"/>
        <v>-3.150766756560508E-2</v>
      </c>
      <c r="CF50" s="4" t="str">
        <f t="shared" si="114"/>
        <v>.</v>
      </c>
      <c r="CG50" s="4" t="str">
        <f t="shared" si="115"/>
        <v>.</v>
      </c>
      <c r="CH50" s="4">
        <f t="shared" si="116"/>
        <v>7.6819996170027771E-3</v>
      </c>
      <c r="CI50" s="4">
        <f t="shared" si="117"/>
        <v>2.0769475581428498E-2</v>
      </c>
      <c r="CJ50" s="4" t="str">
        <f t="shared" si="118"/>
        <v>.</v>
      </c>
      <c r="CK50" s="4">
        <f t="shared" si="119"/>
        <v>-3.3444557251405271E-6</v>
      </c>
      <c r="CL50" s="4">
        <f t="shared" si="130"/>
        <v>1.6945316314475933E-2</v>
      </c>
      <c r="CM50" s="4">
        <f t="shared" si="130"/>
        <v>2.3162362158143313E-2</v>
      </c>
      <c r="CN50" s="4">
        <f t="shared" si="89"/>
        <v>2.6989309248630702E-3</v>
      </c>
      <c r="CO50" s="4">
        <f t="shared" si="120"/>
        <v>0.20472295426068499</v>
      </c>
      <c r="CP50" s="4">
        <f t="shared" si="120"/>
        <v>0.10602218279718427</v>
      </c>
      <c r="CQ50" s="4" t="str">
        <f t="shared" si="110"/>
        <v>.</v>
      </c>
      <c r="CR50" s="4" t="str">
        <f t="shared" si="111"/>
        <v>.</v>
      </c>
      <c r="CS50" s="4" t="str">
        <f t="shared" si="112"/>
        <v>.</v>
      </c>
      <c r="CU50" s="5">
        <f>IF(CU49=".", ".", IF('Summary, PPI''s'!R50=".",IF(OR('Summary, hourly ad costs'!R50=-9999,'Summary, hourly ad costs'!R50=0), ".", 'Predicted PPIs'!CU49*('Summary, hourly ad costs'!B50/'Summary, hourly ad costs'!R50)/('Summary, hourly ad costs'!B49/'Summary, hourly ad costs'!R49)/(1-CE49)), 'Summary, PPI''s'!R50))</f>
        <v>27.725127207969479</v>
      </c>
      <c r="CV50" s="5">
        <f>IF(CV49=".", ".", IF('Summary, PPI''s'!S50=".",IF(OR('Summary, hourly ad costs'!S50=-9999,'Summary, hourly ad costs'!S50=0), ".", 'Predicted PPIs'!CV49*('Summary, hourly ad costs'!C50/'Summary, hourly ad costs'!S50)/('Summary, hourly ad costs'!C49/'Summary, hourly ad costs'!S49)/(1-CF49)), 'Summary, PPI''s'!S50))</f>
        <v>27.725127207969479</v>
      </c>
      <c r="CW50" s="5" t="str">
        <f>IF(CW49=".", ".", IF('Summary, PPI''s'!T50=".",IF(OR('Summary, hourly ad costs'!T50=-9999,'Summary, hourly ad costs'!T50=0), ".", 'Predicted PPIs'!CW49*('Summary, hourly ad costs'!D50/'Summary, hourly ad costs'!T50)/('Summary, hourly ad costs'!D49/'Summary, hourly ad costs'!T49)/(1-CG49)), 'Summary, PPI''s'!T50))</f>
        <v>.</v>
      </c>
      <c r="CX50" s="5">
        <f>IF(CX49=".", ".", IF('Summary, PPI''s'!U50=".",IF(OR('Summary, hourly ad costs'!U50=-9999,'Summary, hourly ad costs'!U50=0), ".", 'Predicted PPIs'!CX49*('Summary, hourly ad costs'!E50/'Summary, hourly ad costs'!U50)/('Summary, hourly ad costs'!E49/'Summary, hourly ad costs'!U49)/(1-CH49)), 'Summary, PPI''s'!U50))</f>
        <v>10.684630897176508</v>
      </c>
      <c r="CY50" s="5">
        <f>IF(CY49=".", ".", IF('Summary, PPI''s'!V50=".",IF(OR('Summary, hourly ad costs'!V50=-9999,'Summary, hourly ad costs'!V50=0), ".", 'Predicted PPIs'!CY49*('Summary, hourly ad costs'!F50/'Summary, hourly ad costs'!V50)/('Summary, hourly ad costs'!F49/'Summary, hourly ad costs'!V49)/(1-CI49)), 'Summary, PPI''s'!V50))</f>
        <v>14.642063183083479</v>
      </c>
      <c r="CZ50" s="5">
        <f>IF(CZ49=".", ".", IF('Summary, PPI''s'!W50=".",IF(OR('Summary, hourly ad costs'!W50=-9999,'Summary, hourly ad costs'!W50=0), ".", 'Predicted PPIs'!CZ49*('Summary, hourly ad costs'!G50/'Summary, hourly ad costs'!W50)/('Summary, hourly ad costs'!G49/'Summary, hourly ad costs'!W49)/(1-CJ49)), 'Summary, PPI''s'!W50))</f>
        <v>13.70472984550493</v>
      </c>
      <c r="DA50" s="5">
        <f>IF(DA49=".", ".", IF('Summary, PPI''s'!X50=".",IF(OR('Summary, hourly ad costs'!X50=-9999,'Summary, hourly ad costs'!X50=0), ".", 'Predicted PPIs'!DA49*('Summary, hourly ad costs'!H50/'Summary, hourly ad costs'!X50)/('Summary, hourly ad costs'!H49/'Summary, hourly ad costs'!X49)/(1-CK49)), 'Summary, PPI''s'!X50))</f>
        <v>19.780999999999999</v>
      </c>
      <c r="DB50" s="5">
        <f>IF(DB49=".", ".", IF('Summary, PPI''s'!Y50=".",IF(OR('Summary, hourly ad costs'!Y50=-9999,'Summary, hourly ad costs'!Y50=0), ".", 'Predicted PPIs'!DB49*('Summary, hourly ad costs'!I50/'Summary, hourly ad costs'!Y50)/('Summary, hourly ad costs'!I49/'Summary, hourly ad costs'!Y49)/(1-CL49)), 'Summary, PPI''s'!Y50))</f>
        <v>17.402129208279472</v>
      </c>
      <c r="DC50" s="5">
        <f>IF(DC49=".", ".", IF('Summary, PPI''s'!Z50=".",IF(OR('Summary, hourly ad costs'!Z50=-9999,'Summary, hourly ad costs'!Z50=0), ".", 'Predicted PPIs'!DC49*('Summary, hourly ad costs'!J50/'Summary, hourly ad costs'!Z50)/('Summary, hourly ad costs'!J49/'Summary, hourly ad costs'!Z49)/(1-CM49)), 'Summary, PPI''s'!Z50))</f>
        <v>18.101168631666646</v>
      </c>
      <c r="DD50" s="5" t="str">
        <f>IF(DD49=".", ".", IF('Summary, PPI''s'!AA50=".",IF(OR('Summary, hourly ad costs'!AA50=-9999,'Summary, hourly ad costs'!AA50=0), ".", 'Predicted PPIs'!DD49*('Summary, hourly ad costs'!K50/'Summary, hourly ad costs'!AA50)/('Summary, hourly ad costs'!K49/'Summary, hourly ad costs'!AA49)/(1-CN49)), 'Summary, PPI''s'!AA50))</f>
        <v>.</v>
      </c>
      <c r="DE50" s="5" t="str">
        <f>IF(DE49=".", ".", IF('Summary, PPI''s'!AB50=".",IF(OR('Summary, hourly ad costs'!AB50=-9999,'Summary, hourly ad costs'!AB50=0), ".", 'Predicted PPIs'!DE49*('Summary, hourly ad costs'!L50/'Summary, hourly ad costs'!AB50)/('Summary, hourly ad costs'!L49/'Summary, hourly ad costs'!AB49)/(1-CO49)), 'Summary, PPI''s'!AB50))</f>
        <v>.</v>
      </c>
      <c r="DF50" s="5" t="str">
        <f>IF(DF49=".", ".", IF('Summary, PPI''s'!AC50=".",IF(OR('Summary, hourly ad costs'!AC50=-9999,'Summary, hourly ad costs'!AC50=0), ".", 'Predicted PPIs'!DF49*('Summary, hourly ad costs'!M50/'Summary, hourly ad costs'!AC50)/('Summary, hourly ad costs'!M49/'Summary, hourly ad costs'!AC49)/(1-CP49)), 'Summary, PPI''s'!AC50))</f>
        <v>.</v>
      </c>
      <c r="DG50" s="5" t="str">
        <f>IF(DG49=".", ".", IF('Summary, PPI''s'!AD50=".",IF(OR('Summary, hourly ad costs'!AD50=-9999,'Summary, hourly ad costs'!AD50=0), ".", 'Predicted PPIs'!DG49*('Summary, hourly ad costs'!N50/'Summary, hourly ad costs'!AD50)/('Summary, hourly ad costs'!N49/'Summary, hourly ad costs'!AD49)/(1-CQ49)), 'Summary, PPI''s'!AD50))</f>
        <v>.</v>
      </c>
      <c r="DH50" s="5" t="str">
        <f>IF(DH49=".", ".", IF('Summary, PPI''s'!AE50=".",IF(OR('Summary, hourly ad costs'!AE50=-9999,'Summary, hourly ad costs'!AE50=0), ".", 'Predicted PPIs'!DH49*('Summary, hourly ad costs'!O50/'Summary, hourly ad costs'!AE50)/('Summary, hourly ad costs'!O49/'Summary, hourly ad costs'!AE49)/(1-CR49)), 'Summary, PPI''s'!AE50))</f>
        <v>.</v>
      </c>
      <c r="DI50" s="5" t="str">
        <f>IF(DI49=".", ".", IF('Summary, PPI''s'!AF50=".",IF(OR('Summary, hourly ad costs'!AF50=-9999,'Summary, hourly ad costs'!AF50=0), ".", 'Predicted PPIs'!DI49*('Summary, hourly ad costs'!P50/'Summary, hourly ad costs'!AF50)/('Summary, hourly ad costs'!P49/'Summary, hourly ad costs'!AF49)/(1-CS49)), 'Summary, PPI''s'!AF50))</f>
        <v>.</v>
      </c>
      <c r="DK50" s="4">
        <v>11.144</v>
      </c>
      <c r="DM50" s="5">
        <f t="shared" si="121"/>
        <v>-2.9529971284996459E-2</v>
      </c>
      <c r="DN50" s="5">
        <f t="shared" si="122"/>
        <v>-2.9529971284996459E-2</v>
      </c>
      <c r="DO50" s="4">
        <f t="shared" si="123"/>
        <v>-2.2623340785950186E-2</v>
      </c>
      <c r="DP50" s="5">
        <f t="shared" si="124"/>
        <v>-1.3696966977745695E-2</v>
      </c>
      <c r="DQ50" s="5">
        <f t="shared" si="125"/>
        <v>-5.0951094759511872E-2</v>
      </c>
      <c r="DR50" s="5">
        <f t="shared" si="126"/>
        <v>-2.3941852117731588E-2</v>
      </c>
      <c r="DS50" s="5">
        <f t="shared" si="127"/>
        <v>-3.1790122909511442E-2</v>
      </c>
      <c r="DT50" s="5">
        <f t="shared" si="128"/>
        <v>-2.8972864032865031E-2</v>
      </c>
      <c r="DU50" s="5">
        <f t="shared" si="129"/>
        <v>-7.5169393616869806E-2</v>
      </c>
      <c r="DV50" s="4">
        <f t="shared" si="131"/>
        <v>-3.4376259984752122E-4</v>
      </c>
      <c r="DW50" s="4">
        <f t="shared" si="78"/>
        <v>-0.11099597555601501</v>
      </c>
      <c r="DX50" s="4">
        <f t="shared" si="78"/>
        <v>3.004767238502698E-2</v>
      </c>
      <c r="DY50" s="4">
        <f t="shared" si="108"/>
        <v>-1.6054863567093573E-2</v>
      </c>
      <c r="DZ50" s="4">
        <f t="shared" si="132"/>
        <v>-9.306349696794964E-3</v>
      </c>
      <c r="EA50" s="4">
        <f t="shared" si="109"/>
        <v>-9.4175390359797963E-3</v>
      </c>
      <c r="EC50" s="1">
        <f t="shared" si="93"/>
        <v>27.725127207969479</v>
      </c>
      <c r="ED50" s="1">
        <f t="shared" si="94"/>
        <v>27.725127207969479</v>
      </c>
      <c r="EE50" s="1">
        <f t="shared" si="95"/>
        <v>24.749754716466899</v>
      </c>
      <c r="EF50" s="1">
        <f t="shared" si="96"/>
        <v>10.684630897176508</v>
      </c>
      <c r="EG50" s="1">
        <f t="shared" si="97"/>
        <v>14.642063183083479</v>
      </c>
      <c r="EH50" s="1">
        <f t="shared" si="98"/>
        <v>13.70472984550493</v>
      </c>
      <c r="EI50" s="1">
        <f t="shared" si="99"/>
        <v>19.780999999999999</v>
      </c>
      <c r="EJ50" s="1">
        <f t="shared" si="100"/>
        <v>17.402129208279472</v>
      </c>
      <c r="EK50" s="1">
        <f t="shared" si="101"/>
        <v>18.101168631666646</v>
      </c>
      <c r="EL50" s="1">
        <f t="shared" si="102"/>
        <v>9.1151868808220016</v>
      </c>
      <c r="EM50" s="1">
        <f t="shared" si="103"/>
        <v>14.013752373737049</v>
      </c>
      <c r="EN50" s="1">
        <f t="shared" si="104"/>
        <v>7.7436365454675524</v>
      </c>
      <c r="EO50" s="1">
        <f t="shared" si="105"/>
        <v>13.908002918524424</v>
      </c>
      <c r="EP50" s="1">
        <f t="shared" si="106"/>
        <v>17.183524776803974</v>
      </c>
      <c r="EQ50" s="1">
        <f t="shared" si="107"/>
        <v>13.170394335213551</v>
      </c>
      <c r="ES50" s="1">
        <f>IF(EF$26=".", 0, 'Summary, PPI''s'!E50)+IF(EG$26=".", 0, 'Summary, PPI''s'!F50)+IF(EH$26=".", 0, 'Summary, PPI''s'!G50)+IF(EI$26=".", 0, 'Summary, PPI''s'!H50)+IF(EJ$26=".", 0, 'Summary, PPI''s'!I50)+IF(EK$26=".", 0, 'Summary, PPI''s'!J50)+IF(EL$26=".", 0, 'Summary, PPI''s'!K50)+IF(EM$26=".", 0, 'Summary, PPI''s'!L50)+IF(EN$26=".", 0, 'Summary, PPI''s'!M50)+IF(EC$26=".", 0, 'Summary, PPI''s'!B50)+IF(ED$26=".", 0, 'Summary, PPI''s'!C50)+IF(EE$26=".", 0, 'Summary, PPI''s'!D50)+IF(EO$26=".", 0, 'Summary, PPI''s'!N50)+IF(EP$26=".", 0, 'Summary, PPI''s'!O50)+IF(EQ$26=".", 0, 'Summary, PPI''s'!P50)</f>
        <v>25244124.996593475</v>
      </c>
      <c r="ET50" s="1">
        <f>'Summary, hourly ad costs'!E50+'Summary, hourly ad costs'!F50+'Summary, hourly ad costs'!H50+'Summary, hourly ad costs'!I50+'Summary, hourly ad costs'!J50+'Summary, hourly ad costs'!K50+'Summary, hourly ad costs'!L50+'Summary, hourly ad costs'!M50+'Summary, hourly ad costs'!B50</f>
        <v>14300994.565379377</v>
      </c>
      <c r="EV50" s="13">
        <f>EV49*IF(EF$26=".", 1, (EF50/EF49)^(('Summary, PPI''s'!$E50+'Summary, PPI''s'!$E49)/('Predicted PPIs'!ES50+'Predicted PPIs'!ES49)))*IF(EG$26=".", 1, (EG50/EG49)^(('Summary, PPI''s'!$F50+'Summary, PPI''s'!$F49)/('Predicted PPIs'!ES50+'Predicted PPIs'!ES49)))*IF(EH$26=".", 1, (EH50/EH49)^(('Summary, PPI''s'!$G50+'Summary, PPI''s'!$G49)/('Predicted PPIs'!ES50+'Predicted PPIs'!ES49)))*IF(EI$26=".", 1, (EI50/EI49)^(('Summary, PPI''s'!$H50+'Summary, PPI''s'!$H49)/('Predicted PPIs'!ES50+'Predicted PPIs'!ES49)))*IF(EJ$26=".", 1, (EJ50/EJ49)^(('Summary, PPI''s'!$I50+'Summary, PPI''s'!$I49)/('Predicted PPIs'!ES50+'Predicted PPIs'!ES49)))*IF(EK$26=".", 1, (EK50/EK49)^(('Summary, PPI''s'!$J50+'Summary, PPI''s'!$J49)/('Predicted PPIs'!ES50+'Predicted PPIs'!ES49)))*IF(EL$26=".", 1, (EL50/EL49)^(('Summary, PPI''s'!$K50+'Summary, PPI''s'!$K49)/('Predicted PPIs'!ES50+'Predicted PPIs'!ES49)))*IF(EM$26=".", 1, (EM50/EM49)^(('Summary, PPI''s'!$L50+'Summary, PPI''s'!$L49)/('Predicted PPIs'!ES50+'Predicted PPIs'!ES49)))*IF(EN$26=".", 1, (EN50/EN49)^(('Summary, PPI''s'!$M50+'Summary, PPI''s'!$M49)/('Predicted PPIs'!ES50+'Predicted PPIs'!ES49)))*IF(EC$26=".", 1, (EC50/EC49)^(('Summary, PPI''s'!$B50+'Summary, PPI''s'!$B49)/('Predicted PPIs'!ES50+'Predicted PPIs'!ES49)))*IF(ED$26=".", 1, (ED50/ED49)^(('Summary, PPI''s'!$C50+'Summary, PPI''s'!$C49)/('Predicted PPIs'!ES50+'Predicted PPIs'!ES49)))*IF(EE$26=".", 1, (EE50/EE49)^(('Summary, PPI''s'!$D50+'Summary, PPI''s'!$D49)/('Predicted PPIs'!ES50+'Predicted PPIs'!ES49)))*IF(EO$26=".", 1, (EO50/EO49)^(('Summary, PPI''s'!$N50+'Summary, PPI''s'!$N49)/('Predicted PPIs'!ES50+'Predicted PPIs'!ES49)))*IF(EP$26=".", 1, (EP50/EP49)^(('Summary, PPI''s'!$O50+'Summary, PPI''s'!$O49)/('Predicted PPIs'!ES50+'Predicted PPIs'!ES49)))*IF(EQ$26=".", 1, (EQ50/EQ49)^(('Summary, PPI''s'!$P50+'Summary, PPI''s'!$P49)/('Predicted PPIs'!ES50+'Predicted PPIs'!ES49)))</f>
        <v>17.377392620566685</v>
      </c>
      <c r="EW50" s="13">
        <f>EW49*IF(EF$26=".", 1, (EF50/EF49)^(('Summary, PPI''s'!$E50+'Summary, PPI''s'!$E49)/('Predicted PPIs'!ET50+'Predicted PPIs'!ET49)))*IF(EG$26=".", 1, (EG50/EG49)^(('Summary, PPI''s'!$F50+'Summary, PPI''s'!$F49)/('Predicted PPIs'!ET50+'Predicted PPIs'!ET49)))*IF(EH$26=".", 1, (EH50/EH49)^(('Summary, PPI''s'!$G50+'Summary, PPI''s'!$G49)/('Predicted PPIs'!ET50+'Predicted PPIs'!ET49)))*IF(EK$26=".", 1, (EK50/EK49)^(('Summary, PPI''s'!$J50+'Summary, PPI''s'!$J49)/('Predicted PPIs'!ET50+'Predicted PPIs'!ET49)))*IF(EL$26=".", 1, (EL50/EL49)^(('Summary, PPI''s'!$K50+'Summary, PPI''s'!$K49)/('Predicted PPIs'!ET50+'Predicted PPIs'!ET49)))*IF(EM$26=".", 1, (EM50/EM49)^(('Summary, PPI''s'!$L50+'Summary, PPI''s'!$L49)/('Predicted PPIs'!ET50+'Predicted PPIs'!ET49)))*IF(EN$26=".", 1, (EN50/EN49)^(('Summary, PPI''s'!$M50+'Summary, PPI''s'!$M49)/('Predicted PPIs'!ET50+'Predicted PPIs'!ET49)))*IF(EC$26=".", 1, (EC50/EC49)^(('Summary, PPI''s'!$B50+'Summary, PPI''s'!$B49)/('Predicted PPIs'!ET50+'Predicted PPIs'!ET49)))</f>
        <v>18.753522946650271</v>
      </c>
      <c r="EY50" s="2"/>
    </row>
    <row r="51" spans="1:155" x14ac:dyDescent="0.3">
      <c r="A51" s="4">
        <v>1972</v>
      </c>
      <c r="B51" s="10">
        <f>IF(B50=".", ".", IF('Summary, PPI''s'!R51=".",IF(OR('Summary, hourly ad costs'!R51=-9999,'Summary, hourly ad costs'!R51=0), ".", 'Predicted PPIs'!B50*('Summary, hourly ad costs'!B51/'Summary, hourly ad costs'!R51)/('Summary, hourly ad costs'!B50/'Summary, hourly ad costs'!R50)), 'Summary, PPI''s'!R51))</f>
        <v>26.607607685191439</v>
      </c>
      <c r="C51" s="10">
        <f>IF(C50=".", ".", IF('Summary, PPI''s'!S51=".",IF(OR('Summary, hourly ad costs'!S51=-9999,'Summary, hourly ad costs'!S51=0), ".", 'Predicted PPIs'!C50*('Summary, hourly ad costs'!C51/'Summary, hourly ad costs'!S51)/('Summary, hourly ad costs'!C50/'Summary, hourly ad costs'!S50)), 'Summary, PPI''s'!S51))</f>
        <v>26.607607685191439</v>
      </c>
      <c r="D51" s="10" t="str">
        <f>IF(D50=".", ".", IF('Summary, PPI''s'!T51=".",IF(OR('Summary, hourly ad costs'!T51=-9999,'Summary, hourly ad costs'!T51=0), ".", 'Predicted PPIs'!D50*('Summary, hourly ad costs'!D51/'Summary, hourly ad costs'!T51)/('Summary, hourly ad costs'!D50/'Summary, hourly ad costs'!T50)), 'Summary, PPI''s'!T51))</f>
        <v>.</v>
      </c>
      <c r="E51" s="10">
        <f>IF(E50=".", ".", IF('Summary, PPI''s'!U51=".",IF(OR('Summary, hourly ad costs'!U51=-9999,'Summary, hourly ad costs'!U51=0), ".", 'Predicted PPIs'!E50*('Summary, hourly ad costs'!E51/'Summary, hourly ad costs'!U51)/('Summary, hourly ad costs'!E50/'Summary, hourly ad costs'!U50)), 'Summary, PPI''s'!U51))</f>
        <v>10.089358731989146</v>
      </c>
      <c r="F51" s="10">
        <f>IF(F50=".", ".", IF('Summary, PPI''s'!V51=".",IF(OR('Summary, hourly ad costs'!V51=-9999,'Summary, hourly ad costs'!V51=0), ".", 'Predicted PPIs'!F50*('Summary, hourly ad costs'!F51/'Summary, hourly ad costs'!V51)/('Summary, hourly ad costs'!F50/'Summary, hourly ad costs'!V50)), 'Summary, PPI''s'!V51))</f>
        <v>14.369051210091735</v>
      </c>
      <c r="G51" s="10">
        <f>IF(G50=".", ".", IF('Summary, PPI''s'!W51=".",IF(OR('Summary, hourly ad costs'!W51=-9999,'Summary, hourly ad costs'!W51=0), ".", 'Predicted PPIs'!G50*('Summary, hourly ad costs'!G51/'Summary, hourly ad costs'!W51)/('Summary, hourly ad costs'!G50/'Summary, hourly ad costs'!W50)), 'Summary, PPI''s'!W51))</f>
        <v>13.077032295329134</v>
      </c>
      <c r="H51" s="10">
        <f>IF(H50=".", ".", IF('Summary, PPI''s'!X51=".",IF(OR('Summary, hourly ad costs'!X51=-9999,'Summary, hourly ad costs'!X51=0), ".", 'Predicted PPIs'!H50*('Summary, hourly ad costs'!H51/'Summary, hourly ad costs'!X51)/('Summary, hourly ad costs'!H50/'Summary, hourly ad costs'!X50)), 'Summary, PPI''s'!X51))</f>
        <v>19.027999999999999</v>
      </c>
      <c r="I51" s="10">
        <f>IF(I50=".", ".", IF('Summary, PPI''s'!Y51=".",IF(OR('Summary, hourly ad costs'!Y51=-9999,'Summary, hourly ad costs'!Y51=0), ".", 'Predicted PPIs'!I50*('Summary, hourly ad costs'!I51/'Summary, hourly ad costs'!Y51)/('Summary, hourly ad costs'!I50/'Summary, hourly ad costs'!Y50)), 'Summary, PPI''s'!Y51))</f>
        <v>16.862912088340966</v>
      </c>
      <c r="J51" s="10">
        <f>IF(J50=".", ".", IF('Summary, PPI''s'!Z51=".",IF(OR('Summary, hourly ad costs'!Z51=-9999,'Summary, hourly ad costs'!Z51=0), ".", 'Predicted PPIs'!J50*('Summary, hourly ad costs'!J51/'Summary, hourly ad costs'!Z51)/('Summary, hourly ad costs'!J50/'Summary, hourly ad costs'!Z50)), 'Summary, PPI''s'!Z51))</f>
        <v>16.878684925402812</v>
      </c>
      <c r="K51" s="10" t="str">
        <f>IF(K50=".", ".", IF('Summary, PPI''s'!AA51=".",IF(OR('Summary, hourly ad costs'!AA51=-9999,'Summary, hourly ad costs'!AA51=0), ".", 'Predicted PPIs'!K50*('Summary, hourly ad costs'!K51/'Summary, hourly ad costs'!AA51)/('Summary, hourly ad costs'!K50/'Summary, hourly ad costs'!AA50)), 'Summary, PPI''s'!AA51))</f>
        <v>.</v>
      </c>
      <c r="L51" s="10" t="str">
        <f>IF(L50=".", ".", IF('Summary, PPI''s'!AB51=".",IF(OR('Summary, hourly ad costs'!AB51=-9999,'Summary, hourly ad costs'!AB51=0), ".", 'Predicted PPIs'!L50*('Summary, hourly ad costs'!L51/'Summary, hourly ad costs'!AB51)/('Summary, hourly ad costs'!L50/'Summary, hourly ad costs'!AB50)), 'Summary, PPI''s'!AB51))</f>
        <v>.</v>
      </c>
      <c r="M51" s="10" t="str">
        <f>IF(M50=".", ".", IF('Summary, PPI''s'!AC51=".",IF(OR('Summary, hourly ad costs'!AC51=-9999,'Summary, hourly ad costs'!AC51=0), ".", 'Predicted PPIs'!M50*('Summary, hourly ad costs'!M51/'Summary, hourly ad costs'!AC51)/('Summary, hourly ad costs'!M50/'Summary, hourly ad costs'!AC50)), 'Summary, PPI''s'!AC51))</f>
        <v>.</v>
      </c>
      <c r="N51" s="10" t="str">
        <f>IF(N50=".", ".", IF('Summary, PPI''s'!AD51=".",IF(OR('Summary, hourly ad costs'!AD51=-9999,'Summary, hourly ad costs'!AD51=0), ".", 'Predicted PPIs'!N50*('Summary, hourly ad costs'!N51/'Summary, hourly ad costs'!AD51)/('Summary, hourly ad costs'!N50/'Summary, hourly ad costs'!AD50)), 'Summary, PPI''s'!AD51))</f>
        <v>.</v>
      </c>
      <c r="O51" s="10" t="str">
        <f>IF(O50=".", ".", IF('Summary, PPI''s'!AE51=".",IF(OR('Summary, hourly ad costs'!AE51=-9999,'Summary, hourly ad costs'!AE51=0), ".", 'Predicted PPIs'!O50*('Summary, hourly ad costs'!O51/'Summary, hourly ad costs'!AE51)/('Summary, hourly ad costs'!O50/'Summary, hourly ad costs'!AE50)), 'Summary, PPI''s'!AE51))</f>
        <v>.</v>
      </c>
      <c r="P51" s="10" t="str">
        <f>IF(P50=".", ".", IF('Summary, PPI''s'!AF51=".",IF(OR('Summary, hourly ad costs'!AF51=-9999,'Summary, hourly ad costs'!AF51=0), ".", 'Predicted PPIs'!P50*('Summary, hourly ad costs'!P51/'Summary, hourly ad costs'!AF51)/('Summary, hourly ad costs'!P50/'Summary, hourly ad costs'!AF50)), 'Summary, PPI''s'!AF51))</f>
        <v>.</v>
      </c>
      <c r="R51" s="1">
        <f>IF(E$26=".", 0, 'Summary, PPI''s'!E51)+IF(F$26=".", 0, 'Summary, PPI''s'!F51)+IF(G$26=".", 0, 'Summary, PPI''s'!G51)+IF(H$26=".", 0, 'Summary, PPI''s'!H51)+IF(I$26=".", 0, 'Summary, PPI''s'!I51)+IF(J$26=".", 0, 'Summary, PPI''s'!J51)+IF(K$26=".", 0, 'Summary, PPI''s'!K51)+IF(L$26=".", 0, 'Summary, PPI''s'!L51)+IF(M$26=".", 0, 'Summary, PPI''s'!M51)+IF(B$26=".", 0, 'Summary, PPI''s'!B51)+IF(C$26=".", 0, 'Summary, PPI''s'!C51)+IF(D$26=".", 0, 'Summary, PPI''s'!D51)+IF(N$26=".", 0, 'Summary, PPI''s'!N51)+IF(O$26=".", 0, 'Summary, PPI''s'!O51)+IF(P$26=".", 0, 'Summary, PPI''s'!P51)</f>
        <v>23612196.719981093</v>
      </c>
      <c r="S51" s="1">
        <f>IF(E$36=".", 0, 'Summary, PPI''s'!E51)+IF(F$36=".", 0, 'Summary, PPI''s'!F51)+IF(G$36=".", 0, 'Summary, PPI''s'!G51)+IF(H$36=".", 0, 'Summary, PPI''s'!H51)+IF(I$36=".", 0, 'Summary, PPI''s'!I51)+IF(J$36=".", 0, 'Summary, PPI''s'!J51)+IF(K$36=".", 0, 'Summary, PPI''s'!K51)+IF(L$36=".", 0, 'Summary, PPI''s'!L51)+IF(M$36=".", 0, 'Summary, PPI''s'!M51)+IF(B$36=".", 0, 'Summary, PPI''s'!B51)+IF(C$36=".", 0, 'Summary, PPI''s'!C51)+IF(D$36=".", 0, 'Summary, PPI''s'!D51)+IF(N$36=".", 0, 'Summary, PPI''s'!N51)+IF(O$36=".", 0, 'Summary, PPI''s'!O51)+IF(P$36=".", 0, 'Summary, PPI''s'!P51)</f>
        <v>23612196.719981093</v>
      </c>
      <c r="T51" s="1">
        <f>IF(E$46=".", 0, 'Summary, PPI''s'!E51)+IF(F$46=".", 0, 'Summary, PPI''s'!F51)+IF(G$46=".", 0, 'Summary, PPI''s'!G51)+IF(H$46=".", 0, 'Summary, PPI''s'!H51)+IF(I$46=".", 0, 'Summary, PPI''s'!I51)+IF(J$46=".", 0, 'Summary, PPI''s'!J51)+IF(K$46=".", 0, 'Summary, PPI''s'!K51)+IF(L$46=".", 0, 'Summary, PPI''s'!L51)+IF(M$46=".", 0, 'Summary, PPI''s'!M51)+IF(B$46=".", 0, 'Summary, PPI''s'!B51)+IF(C$46=".", 0, 'Summary, PPI''s'!C51)+IF(D$46=".", 0, 'Summary, PPI''s'!D51)+IF(N$46=".", 0, 'Summary, PPI''s'!N51)+IF(O$46=".", 0, 'Summary, PPI''s'!O51)+IF(P$46=".", 0, 'Summary, PPI''s'!P51)</f>
        <v>17487358.178149387</v>
      </c>
      <c r="U51" s="1">
        <f>IF(E$60=".", 0, 'Summary, PPI''s'!E51)+IF(F$60=".", 0, 'Summary, PPI''s'!F51)+IF(G$60=".", 0, 'Summary, PPI''s'!G51)+IF(H$60=".", 0, 'Summary, PPI''s'!H51)+IF(I$60=".", 0, 'Summary, PPI''s'!I51)+IF(J$60=".", 0, 'Summary, PPI''s'!J51)+IF(K$60=".", 0, 'Summary, PPI''s'!K51)+IF(L$60=".", 0, 'Summary, PPI''s'!L51)+IF(M$60=".", 0, 'Summary, PPI''s'!M51)+IF(B$60=".", 0, 'Summary, PPI''s'!B51)+IF(C$60=".", 0, 'Summary, PPI''s'!C51)+IF(D$60=".", 0, 'Summary, PPI''s'!D51)+IF(N$60=".", 0, 'Summary, PPI''s'!N51)+IF(O$60=".", 0, 'Summary, PPI''s'!O51)+IF(P$60=".", 0, 'Summary, PPI''s'!P51)</f>
        <v>15763383.452031907</v>
      </c>
      <c r="V51" s="1">
        <f>IF(E$73=".", 0, 'Summary, PPI''s'!E51)+IF(F$73=".", 0, 'Summary, PPI''s'!F51)+IF(G$73=".", 0, 'Summary, PPI''s'!G51)+IF(H$73=".", 0, 'Summary, PPI''s'!H51)+IF(I$73=".", 0, 'Summary, PPI''s'!I51)+IF(J$73=".", 0, 'Summary, PPI''s'!J51)+IF(K$73=".", 0, 'Summary, PPI''s'!K51)+IF(L$73=".", 0, 'Summary, PPI''s'!L51)+IF(M$73=".", 0, 'Summary, PPI''s'!M51)+IF(B$73=".", 0, 'Summary, PPI''s'!B51)+IF(C$73=".", 0, 'Summary, PPI''s'!C51)+IF(D$73=".", 0, 'Summary, PPI''s'!D51)+IF(N$73=".", 0, 'Summary, PPI''s'!N51)+IF(O$73=".", 0, 'Summary, PPI''s'!O51)+IF(P$73=".", 0, 'Summary, PPI''s'!P51)</f>
        <v>13416753.119621262</v>
      </c>
      <c r="W51" s="1">
        <f>IF(E$94=".",0,'Summary, PPI''s'!E51)+IF(F$94=".",0,'Summary, PPI''s'!F51)+IF(G$94=".",0,'Summary, PPI''s'!G51)+IF(H$94=".",0,'Summary, PPI''s'!H51)+IF(I$94=".",0,'Summary, PPI''s'!I51)+IF(J$94=".",0,'Summary, PPI''s'!J51)+IF(K$94=".",0,'Summary, PPI''s'!K51)+IF(L$94=".",0,'Summary, PPI''s'!L51)+IF(M$94=".",0,'Summary, PPI''s'!M51)+IF(B$94=".",0,'Summary, PPI''s'!B51)+IF(C$94=".",0,'Summary, PPI''s'!C51)+IF(D$94=".",0,'Summary, PPI''s'!D51)+IF(N$94=".",0,'Summary, PPI''s'!N51)+IF(O$94=".",0,'Summary, PPI''s'!O51)+IF(P$94=".",0,'Summary, PPI''s'!P51)</f>
        <v>10390604.453414282</v>
      </c>
      <c r="X51" s="1">
        <f>IF(E$123=".", 0, 'Summary, PPI''s'!E51)+IF(F$123=".", 0, 'Summary, PPI''s'!F51)+IF(G$123=".", 0, 'Summary, PPI''s'!G51)+IF(H$123=".", 0, 'Summary, PPI''s'!H51)+IF(I$123=".", 0, 'Summary, PPI''s'!I51)+IF(J$123=".", 0, 'Summary, PPI''s'!J51)+IF(K$123=".", 0, 'Summary, PPI''s'!K51)+IF(L$123=".", 0, 'Summary, PPI''s'!L51)+IF(M$123=".", 0, 'Summary, PPI''s'!M51)+IF(B$123=".", 0, 'Summary, PPI''s'!B51)+IF(C$123=".", 0, 'Summary, PPI''s'!C51)+IF(D$123=".", 0, 'Summary, PPI''s'!D51)+IF(N$123=".", 0, 'Summary, PPI''s'!N51)+IF(O$123=".", 0, 'Summary, PPI''s'!O51)+IF(P$123=".", 0, 'Summary, PPI''s'!P51)</f>
        <v>9075572.5407141857</v>
      </c>
      <c r="Z51" s="4" t="e">
        <f>Z50*IF(E$26=".", 1, (E51/E50)^(('Summary, PPI''s'!$E51+'Summary, PPI''s'!$E50)/('Predicted PPIs'!R51+'Predicted PPIs'!R50)))*IF(F$26=".", 1, (F51/F50)^(('Summary, PPI''s'!$F51+'Summary, PPI''s'!$F50)/('Predicted PPIs'!R51+'Predicted PPIs'!R50)))*IF(G$26=".", 1, (G51/G50)^(('Summary, PPI''s'!$G51+'Summary, PPI''s'!$G50)/('Predicted PPIs'!R51+'Predicted PPIs'!R50)))*IF(H$26=".", 1, (H51/H50)^(('Summary, PPI''s'!$H51+'Summary, PPI''s'!$H50)/('Predicted PPIs'!R51+'Predicted PPIs'!R50)))*IF(I$26=".", 1, (I51/I50)^(('Summary, PPI''s'!$I51+'Summary, PPI''s'!$I50)/('Predicted PPIs'!R51+'Predicted PPIs'!R50)))*IF(J$26=".", 1, (J51/J50)^(('Summary, PPI''s'!$J51+'Summary, PPI''s'!$J50)/('Predicted PPIs'!R51+'Predicted PPIs'!R50)))*IF(K$26=".", 1, (K51/K50)^(('Summary, PPI''s'!$K51+'Summary, PPI''s'!$K50)/('Predicted PPIs'!R51+'Predicted PPIs'!R50)))*IF(L$26=".", 1, (L51/L50)^(('Summary, PPI''s'!$L51+'Summary, PPI''s'!$L50)/('Predicted PPIs'!R51+'Predicted PPIs'!R50)))*IF(M$26=".", 1, (M51/M50)^(('Summary, PPI''s'!$M51+'Summary, PPI''s'!$M50)/('Predicted PPIs'!R51+'Predicted PPIs'!R50)))*IF(B$26=".", 1, (B51/B50)^(('Summary, PPI''s'!$B51+'Summary, PPI''s'!$B50)/('Predicted PPIs'!R51+'Predicted PPIs'!R50)))*IF(C$26=".", 1, (C51/C50)^(('Summary, PPI''s'!$C51+'Summary, PPI''s'!$C50)/('Predicted PPIs'!R51+'Predicted PPIs'!R50)))*IF(D$26=".", 1, (D51/D50)^(('Summary, PPI''s'!$D51+'Summary, PPI''s'!$D50)/('Predicted PPIs'!R51+'Predicted PPIs'!R50)))*IF(N$26=".", 1, (N51/N50)^(('Summary, PPI''s'!$N51+'Summary, PPI''s'!$N50)/('Predicted PPIs'!R51+'Predicted PPIs'!R50)))*IF(O$26=".", 1, (O51/O50)^(('Summary, PPI''s'!$O51+'Summary, PPI''s'!$O50)/('Predicted PPIs'!R51+'Predicted PPIs'!R50)))*IF(P$26=".", 1, (P51/P50)^(('Summary, PPI''s'!$P51+'Summary, PPI''s'!$P50)/('Predicted PPIs'!R51+'Predicted PPIs'!R50)))</f>
        <v>#VALUE!</v>
      </c>
      <c r="AA51" s="4" t="e">
        <f>AA50*IF(E$36=".", 1, (E51/E50)^(('Summary, PPI''s'!$E51+'Summary, PPI''s'!$E50)/('Predicted PPIs'!S51+'Predicted PPIs'!S50)))*IF(F$36=".", 1, (F51/F50)^(('Summary, PPI''s'!$F51+'Summary, PPI''s'!$F50)/('Predicted PPIs'!S51+'Predicted PPIs'!S50)))*IF(G$36=".", 1, (G51/G50)^(('Summary, PPI''s'!$G51+'Summary, PPI''s'!$G50)/('Predicted PPIs'!S51+'Predicted PPIs'!S50)))*IF(H$36=".", 1, (H51/H50)^(('Summary, PPI''s'!$H51+'Summary, PPI''s'!$H50)/('Predicted PPIs'!S51+'Predicted PPIs'!S50)))*IF(I$36=".", 1, (I51/I50)^(('Summary, PPI''s'!$I51+'Summary, PPI''s'!$I50)/('Predicted PPIs'!S51+'Predicted PPIs'!S50)))*IF(J$36=".", 1, (J51/J50)^(('Summary, PPI''s'!$J51+'Summary, PPI''s'!$J50)/('Predicted PPIs'!S51+'Predicted PPIs'!S50)))*IF(K$36=".", 1, (K51/K50)^(('Summary, PPI''s'!$K51+'Summary, PPI''s'!$K50)/('Predicted PPIs'!S51+'Predicted PPIs'!S50)))*IF(L$36=".", 1, (L51/L50)^(('Summary, PPI''s'!$L51+'Summary, PPI''s'!$L50)/('Predicted PPIs'!S51+'Predicted PPIs'!S50)))*IF(M$36=".", 1, (M51/M50)^(('Summary, PPI''s'!$M51+'Summary, PPI''s'!$M50)/('Predicted PPIs'!S51+'Predicted PPIs'!S50)))*IF(B$36=".", 1, (B51/B50)^(('Summary, PPI''s'!$B51+'Summary, PPI''s'!$B50)/('Predicted PPIs'!S51+'Predicted PPIs'!S50)))*IF(C$36=".", 1, (C51/C50)^(('Summary, PPI''s'!$C51+'Summary, PPI''s'!$C50)/('Predicted PPIs'!S51+'Predicted PPIs'!S50)))*IF(D$36=".", 1, (D51/D50)^(('Summary, PPI''s'!$D51+'Summary, PPI''s'!$D50)/('Predicted PPIs'!S51+'Predicted PPIs'!S50)))*IF(N$36=".", 1, (N51/N50)^(('Summary, PPI''s'!$N51+'Summary, PPI''s'!$N50)/('Predicted PPIs'!S51+'Predicted PPIs'!S50)))*IF(O$36=".", 1, (O51/O50)^(('Summary, PPI''s'!$O51+'Summary, PPI''s'!$O50)/('Predicted PPIs'!S51+'Predicted PPIs'!S50)))*IF(P$36=".", 1, (P51/P50)^(('Summary, PPI''s'!$P51+'Summary, PPI''s'!$P50)/('Predicted PPIs'!S51+'Predicted PPIs'!S50)))</f>
        <v>#VALUE!</v>
      </c>
      <c r="AB51" s="4" t="e">
        <f>AB50*IF(E$46=".", 1, (E51/E50)^(('Summary, PPI''s'!$E51+'Summary, PPI''s'!$E50)/('Predicted PPIs'!T51+'Predicted PPIs'!T50)))*IF(F$46=".", 1, (F51/F50)^(('Summary, PPI''s'!$F51+'Summary, PPI''s'!$F50)/('Predicted PPIs'!T51+'Predicted PPIs'!T50)))*IF(G$46=".", 1, (G51/G50)^(('Summary, PPI''s'!$G51+'Summary, PPI''s'!$G50)/('Predicted PPIs'!T51+'Predicted PPIs'!T50)))*IF(H$46=".", 1, (H51/H50)^(('Summary, PPI''s'!$H51+'Summary, PPI''s'!$H50)/('Predicted PPIs'!T51+'Predicted PPIs'!T50)))*IF(I$46=".", 1, (I51/I50)^(('Summary, PPI''s'!$I51+'Summary, PPI''s'!$I50)/('Predicted PPIs'!T51+'Predicted PPIs'!T50)))*IF(J$46=".", 1, (J51/J50)^(('Summary, PPI''s'!$J51+'Summary, PPI''s'!$J50)/('Predicted PPIs'!T51+'Predicted PPIs'!T50)))*IF(K$46=".", 1, (K51/K50)^(('Summary, PPI''s'!$K51+'Summary, PPI''s'!$K50)/('Predicted PPIs'!T51+'Predicted PPIs'!T50)))*IF(L$46=".", 1, (L51/L50)^(('Summary, PPI''s'!$L51+'Summary, PPI''s'!$L50)/('Predicted PPIs'!T51+'Predicted PPIs'!T50)))*IF(M$46=".", 1, (M51/M50)^(('Summary, PPI''s'!$M51+'Summary, PPI''s'!$M50)/('Predicted PPIs'!T51+'Predicted PPIs'!T50)))*IF(B$46=".", 1, (B51/B50)^(('Summary, PPI''s'!$B51+'Summary, PPI''s'!$B50)/('Predicted PPIs'!T51+'Predicted PPIs'!T50)))*IF(C$46=".", 1, (C51/C50)^(('Summary, PPI''s'!$C51+'Summary, PPI''s'!$C50)/('Predicted PPIs'!T51+'Predicted PPIs'!T50)))*IF(D$46=".", 1, (D51/D50)^(('Summary, PPI''s'!$D51+'Summary, PPI''s'!$D50)/('Predicted PPIs'!T51+'Predicted PPIs'!T50)))*IF(N$46=".", 1, (N51/N50)^(('Summary, PPI''s'!$N51+'Summary, PPI''s'!$N50)/('Predicted PPIs'!T51+'Predicted PPIs'!T50)))*IF(O$46=".", 1, (O51/O50)^(('Summary, PPI''s'!$O51+'Summary, PPI''s'!$O50)/('Predicted PPIs'!T51+'Predicted PPIs'!T50)))*IF(P$46=".", 1, (P51/P50)^(('Summary, PPI''s'!$P51+'Summary, PPI''s'!$P50)/('Predicted PPIs'!T51+'Predicted PPIs'!T50)))</f>
        <v>#VALUE!</v>
      </c>
      <c r="AC51" s="4">
        <f>AC50*IF(E$60=".",1,(E51/E50)^(('Summary, PPI''s'!$E51+'Summary, PPI''s'!$E50)/('Predicted PPIs'!U51+'Predicted PPIs'!U50)))*IF(F$60=".",1,(F51/F50)^(('Summary, PPI''s'!$F51+'Summary, PPI''s'!$F50)/('Predicted PPIs'!U51+'Predicted PPIs'!U50)))*IF(G$60=".",1,(G51/G50)^(('Summary, PPI''s'!$G51+'Summary, PPI''s'!$G50)/('Predicted PPIs'!U51+'Predicted PPIs'!U50)))*IF(H$60=".",1,(H51/H50)^(('Summary, PPI''s'!$H51+'Summary, PPI''s'!$H50)/('Predicted PPIs'!U51+'Predicted PPIs'!U50)))*IF(I$60=".",1,(I51/I50)^(('Summary, PPI''s'!$I51+'Summary, PPI''s'!$I50)/('Predicted PPIs'!U51+'Predicted PPIs'!U50)))*IF(J$60=".",1,(J51/J50)^(('Summary, PPI''s'!$J51+'Summary, PPI''s'!$J50)/('Predicted PPIs'!U51+'Predicted PPIs'!U50)))*IF(K$60=".",1,(K51/K50)^(('Summary, PPI''s'!$K51+'Summary, PPI''s'!$K50)/('Predicted PPIs'!U51+'Predicted PPIs'!U50)))*IF(L$60=".",1,(L51/L50)^(('Summary, PPI''s'!$L51+'Summary, PPI''s'!$L50)/('Predicted PPIs'!U51+'Predicted PPIs'!U50)))*IF(M$60=".",1,(M51/M50)^(('Summary, PPI''s'!$M51+'Summary, PPI''s'!$M50)/('Predicted PPIs'!U51+'Predicted PPIs'!U50)))*IF(B$60=".",1,(B51/B50)^(('Summary, PPI''s'!$B51+'Summary, PPI''s'!$B50)/('Predicted PPIs'!U51+'Predicted PPIs'!U50)))*IF(C$60=".",1,(C51/C50)^(('Summary, PPI''s'!$C51+'Summary, PPI''s'!$C50)/('Predicted PPIs'!U51+'Predicted PPIs'!U50)))*IF(D$60=".",1,(D51/D50)^(('Summary, PPI''s'!$D51+'Summary, PPI''s'!$D50)/('Predicted PPIs'!U51+'Predicted PPIs'!U50)))*IF(N$60=".",1,(N51/N50)^(('Summary, PPI''s'!$N51+'Summary, PPI''s'!$N50)/('Predicted PPIs'!U51+'Predicted PPIs'!U50)))*IF(O$60=".",1,(O51/O50)^(('Summary, PPI''s'!$O51+'Summary, PPI''s'!$O50)/('Predicted PPIs'!U51+'Predicted PPIs'!U50)))*IF(P$60=".",1,(P51/P50)^(('Summary, PPI''s'!$P51+'Summary, PPI''s'!$P50)/('Predicted PPIs'!U51+'Predicted PPIs'!U50)))</f>
        <v>15.517660581265265</v>
      </c>
      <c r="AD51" s="4">
        <f>AD50*IF(E$73=".", 1, (E51/E50)^(('Summary, PPI''s'!$E51+'Summary, PPI''s'!$E50)/('Predicted PPIs'!V51+'Predicted PPIs'!V50)))*IF(F$73=".", 1, (F51/F50)^(('Summary, PPI''s'!$F51+'Summary, PPI''s'!$F50)/('Predicted PPIs'!V51+'Predicted PPIs'!V50)))*IF(G$73=".", 1, (G51/G50)^(('Summary, PPI''s'!$G51+'Summary, PPI''s'!$G50)/('Predicted PPIs'!V51+'Predicted PPIs'!V50)))*IF(H$73=".", 1, (H51/H50)^(('Summary, PPI''s'!$H51+'Summary, PPI''s'!$H50)/('Predicted PPIs'!V51+'Predicted PPIs'!V50)))*IF(I$73=".", 1, (I51/I50)^(('Summary, PPI''s'!$I51+'Summary, PPI''s'!$I50)/('Predicted PPIs'!V51+'Predicted PPIs'!V50)))*IF(J$73=".", 1, (J51/J50)^(('Summary, PPI''s'!$J51+'Summary, PPI''s'!$J50)/('Predicted PPIs'!V51+'Predicted PPIs'!V50)))*IF(K$73=".", 1, (K51/K50)^(('Summary, PPI''s'!$K51+'Summary, PPI''s'!$K50)/('Predicted PPIs'!V51+'Predicted PPIs'!V50)))*IF(L$73=".", 1, (L51/L50)^(('Summary, PPI''s'!$L51+'Summary, PPI''s'!$L50)/('Predicted PPIs'!V51+'Predicted PPIs'!V50)))*IF(M$73=".", 1, (M51/M50)^(('Summary, PPI''s'!$M51+'Summary, PPI''s'!$M50)/('Predicted PPIs'!V51+'Predicted PPIs'!V50)))*IF(B$73=".", 1, (B51/B50)^(('Summary, PPI''s'!$B51+'Summary, PPI''s'!$B50)/('Predicted PPIs'!V51+'Predicted PPIs'!V50)))*IF(C$73=".", 1, (C51/C50)^(('Summary, PPI''s'!$C51+'Summary, PPI''s'!$C50)/('Predicted PPIs'!V51+'Predicted PPIs'!V50)))*IF(D$73=".", 1, (D51/D50)^(('Summary, PPI''s'!$D51+'Summary, PPI''s'!$D50)/('Predicted PPIs'!V51+'Predicted PPIs'!V50)))*IF(N$73=".", 1, (N51/N50)^(('Summary, PPI''s'!$N51+'Summary, PPI''s'!$N50)/('Predicted PPIs'!V51+'Predicted PPIs'!V50)))*IF(O$73=".", 1, (O51/O50)^(('Summary, PPI''s'!$O51+'Summary, PPI''s'!$O50)/('Predicted PPIs'!V51+'Predicted PPIs'!V50)))*IF(P$73=".", 1, (P51/P50)^(('Summary, PPI''s'!$P51+'Summary, PPI''s'!$P50)/('Predicted PPIs'!V51+'Predicted PPIs'!V50)))</f>
        <v>14.764117946866609</v>
      </c>
      <c r="AE51" s="4">
        <f>AE50*IF(E$94=".", 1, (E51/E50)^(('Summary, PPI''s'!$E51+'Summary, PPI''s'!$E50)/('Predicted PPIs'!W51+'Predicted PPIs'!W50)))*IF(F$94=".", 1, (F51/F50)^(('Summary, PPI''s'!$F51+'Summary, PPI''s'!$F50)/('Predicted PPIs'!W51+'Predicted PPIs'!W50)))*IF(G$94=".", 1, (G51/G50)^(('Summary, PPI''s'!$G51+'Summary, PPI''s'!$G50)/('Predicted PPIs'!W51+'Predicted PPIs'!W50)))*IF(H$94=".", 1, (H51/H50)^(('Summary, PPI''s'!$H51+'Summary, PPI''s'!$H50)/('Predicted PPIs'!W51+'Predicted PPIs'!W50)))*IF(I$94=".", 1, (I51/I50)^(('Summary, PPI''s'!$I51+'Summary, PPI''s'!$I50)/('Predicted PPIs'!W51+'Predicted PPIs'!W50)))*IF(J$94=".", 1, (J51/J50)^(('Summary, PPI''s'!$J51+'Summary, PPI''s'!$J50)/('Predicted PPIs'!W51+'Predicted PPIs'!W50)))*IF(K$94=".", 1, (K51/K50)^(('Summary, PPI''s'!$K51+'Summary, PPI''s'!$K50)/('Predicted PPIs'!W51+'Predicted PPIs'!W50)))*IF(L$94=".", 1, (L51/L50)^(('Summary, PPI''s'!$L51+'Summary, PPI''s'!$L50)/('Predicted PPIs'!W51+'Predicted PPIs'!W50)))*IF(M$94=".", 1, (M51/M50)^(('Summary, PPI''s'!$M51+'Summary, PPI''s'!$M50)/('Predicted PPIs'!W51+'Predicted PPIs'!W50)))*IF(B$94=".", 1, (B51/B50)^(('Summary, PPI''s'!$B51+'Summary, PPI''s'!$B50)/('Predicted PPIs'!W51+'Predicted PPIs'!W50)))*IF(C$94=".", 1, (C51/C50)^(('Summary, PPI''s'!$C51+'Summary, PPI''s'!$C50)/('Predicted PPIs'!W51+'Predicted PPIs'!W50)))*IF(D$94=".", 1, (D51/D50)^(('Summary, PPI''s'!$D51+'Summary, PPI''s'!$D50)/('Predicted PPIs'!W51+'Predicted PPIs'!W50)))*IF(N$94=".", 1, (N51/N50)^(('Summary, PPI''s'!$N51+'Summary, PPI''s'!$N50)/('Predicted PPIs'!W51+'Predicted PPIs'!W50)))*IF(O$94=".", 1, (O51/O50)^(('Summary, PPI''s'!$O51+'Summary, PPI''s'!$O50)/('Predicted PPIs'!W51+'Predicted PPIs'!W50)))*IF(P$94=".", 1, (P51/P50)^(('Summary, PPI''s'!$P51+'Summary, PPI''s'!$P50)/('Predicted PPIs'!W51+'Predicted PPIs'!W50)))</f>
        <v>13.37479964178932</v>
      </c>
      <c r="AF51" s="4">
        <f>AF50*IF(E$123=".", 1, (E51/E50)^(('Summary, PPI''s'!$E51+'Summary, PPI''s'!$E50)/('Predicted PPIs'!X51+'Predicted PPIs'!X50)))*IF(F$123=".", 1, (F51/F50)^(('Summary, PPI''s'!$F51+'Summary, PPI''s'!$F50)/('Predicted PPIs'!X51+'Predicted PPIs'!X50)))*IF(G$123=".", 1, (G51/G50)^(('Summary, PPI''s'!$G51+'Summary, PPI''s'!$G50)/('Predicted PPIs'!X51+'Predicted PPIs'!X50)))*IF(H$123=".", 1, (H51/H50)^(('Summary, PPI''s'!$H51+'Summary, PPI''s'!$H50)/('Predicted PPIs'!X51+'Predicted PPIs'!X50)))*IF(I$123=".", 1, (I51/I50)^(('Summary, PPI''s'!$I51+'Summary, PPI''s'!$I50)/('Predicted PPIs'!X51+'Predicted PPIs'!X50)))*IF(J$123=".", 1, (J51/J50)^(('Summary, PPI''s'!$J51+'Summary, PPI''s'!$J50)/('Predicted PPIs'!X51+'Predicted PPIs'!X50)))*IF(K$123=".", 1, (K51/K50)^(('Summary, PPI''s'!$K51+'Summary, PPI''s'!$K50)/('Predicted PPIs'!X51+'Predicted PPIs'!X50)))*IF(L$123=".", 1, (L51/L50)^(('Summary, PPI''s'!$L51+'Summary, PPI''s'!$L50)/('Predicted PPIs'!X51+'Predicted PPIs'!X50)))*IF(M$123=".", 1, (M51/M50)^(('Summary, PPI''s'!$M51+'Summary, PPI''s'!$M50)/('Predicted PPIs'!X51+'Predicted PPIs'!X50)))*IF(B$123=".", 1, (B51/B50)^(('Summary, PPI''s'!$B51+'Summary, PPI''s'!$B50)/('Predicted PPIs'!X51+'Predicted PPIs'!X50)))*IF(C$123=".", 1, (C51/C50)^(('Summary, PPI''s'!$C51+'Summary, PPI''s'!$C50)/('Predicted PPIs'!X51+'Predicted PPIs'!X50)))*IF(D$123=".", 1, (D51/D50)^(('Summary, PPI''s'!$D51+'Summary, PPI''s'!$D50)/('Predicted PPIs'!X51+'Predicted PPIs'!X50)))*IF(N$123=".", 1, (N51/N50)^(('Summary, PPI''s'!$N51+'Summary, PPI''s'!$N50)/('Predicted PPIs'!X51+'Predicted PPIs'!X50)))*IF(O$123=".", 1, (O51/O50)^(('Summary, PPI''s'!$O51+'Summary, PPI''s'!$O50)/('Predicted PPIs'!X51+'Predicted PPIs'!X50)))*IF(P$123=".", 1, (P51/P50)^(('Summary, PPI''s'!$P51+'Summary, PPI''s'!$P50)/('Predicted PPIs'!X51+'Predicted PPIs'!X50)))</f>
        <v>12.324191863380214</v>
      </c>
      <c r="AH51" s="13">
        <f t="shared" si="91"/>
        <v>17.158317399661176</v>
      </c>
      <c r="AJ51" s="4">
        <v>768.2</v>
      </c>
      <c r="AK51" s="4">
        <v>-0.88900000000000001</v>
      </c>
      <c r="AL51" s="4">
        <v>-73.715999999999994</v>
      </c>
      <c r="AM51" s="4">
        <v>-3.7130000000000001</v>
      </c>
      <c r="AN51" s="4">
        <v>927.9</v>
      </c>
      <c r="AO51" s="4">
        <v>217.3</v>
      </c>
      <c r="AP51" s="4">
        <f>('[3]1972'!$I$14+'[3]1972'!$I$69+'[3]1972'!$I$71-'[3]1972'!$I$73)*0.001</f>
        <v>-12.712</v>
      </c>
      <c r="AQ51" s="4">
        <f>('[3]1972'!$AY$56+'[3]1972'!$AY$69+'[3]1972'!$AY$71-'[3]1972'!$AY$73)*0.001</f>
        <v>-37.853000000000002</v>
      </c>
      <c r="AR51" s="4">
        <f>AR$38*2778/23762</f>
        <v>-1.3079818197121456</v>
      </c>
      <c r="AS51" s="4">
        <v>-4.9009999999999998</v>
      </c>
      <c r="AT51" s="4">
        <v>22.542000000000002</v>
      </c>
      <c r="AU51" s="4">
        <v>34.665999999999997</v>
      </c>
      <c r="AV51" s="4">
        <v>18.664000000000001</v>
      </c>
      <c r="AW51" s="4">
        <v>21.814</v>
      </c>
      <c r="AX51" s="4">
        <v>21.423999999999999</v>
      </c>
      <c r="AY51" s="4">
        <v>31.42</v>
      </c>
      <c r="AZ51" s="4">
        <v>13.673999999999999</v>
      </c>
      <c r="BA51" s="4">
        <v>23.210999999999999</v>
      </c>
      <c r="BB51" s="4">
        <f>BB$38*157.067/184.05</f>
        <v>87.882421407226303</v>
      </c>
      <c r="BC51" s="4">
        <v>30.678000000000001</v>
      </c>
      <c r="BG51" s="4">
        <f t="shared" si="50"/>
        <v>33.093371270550854</v>
      </c>
      <c r="BI51" s="4">
        <f>BI$13*'[2]Ordinary Experience'!$D$375/'[2]Ordinary Experience'!$D$413</f>
        <v>207930642.69716069</v>
      </c>
      <c r="BJ51" s="4">
        <f>'[2]Ordinary Experience'!$E$375</f>
        <v>27.208059949368913</v>
      </c>
      <c r="BL51" s="4">
        <f t="shared" si="90"/>
        <v>55.166438819775529</v>
      </c>
      <c r="BM51" s="4">
        <f t="shared" si="34"/>
        <v>5.9068198515196402E-2</v>
      </c>
      <c r="BO51" s="4">
        <f>IF(OR('Summary, hourly ad costs'!R51=-9999,'Summary, PPI''s'!R51="."),".",(('Summary, hourly ad costs'!B51/'Summary, hourly ad costs'!R51)*100/('Summary, hourly ad costs'!B$11/'Summary, hourly ad costs'!R$11))/('Summary, PPI''s'!R51))</f>
        <v>1.6802455802142802</v>
      </c>
      <c r="BP51" s="4" t="str">
        <f>IF(OR('Summary, hourly ad costs'!S51=-9999,'Summary, PPI''s'!S51="."),".",(('Summary, hourly ad costs'!C51/'Summary, hourly ad costs'!S51)*100/('Summary, hourly ad costs'!C$11/'Summary, hourly ad costs'!S$11))/('Summary, PPI''s'!S51))</f>
        <v>.</v>
      </c>
      <c r="BQ51" s="4" t="str">
        <f>IF(OR('Summary, hourly ad costs'!T51=-9999,'Summary, PPI''s'!T51="."),".",(('Summary, hourly ad costs'!D51/'Summary, hourly ad costs'!T51)*100/('Summary, hourly ad costs'!D$11/'Summary, hourly ad costs'!T$11))/('Summary, PPI''s'!T51))</f>
        <v>.</v>
      </c>
      <c r="BR51" s="4">
        <f>IF(OR('Summary, hourly ad costs'!U51=-9999,'Summary, PPI''s'!U51="."),".",(('Summary, hourly ad costs'!E51/'Summary, hourly ad costs'!U51)*100/('Summary, hourly ad costs'!E$11/'Summary, hourly ad costs'!U$11))/('Summary, PPI''s'!U51))</f>
        <v>2.1721140439148563</v>
      </c>
      <c r="BS51" s="4">
        <f>IF(OR('Summary, hourly ad costs'!V51=-9999,'Summary, PPI''s'!V51="."),".",(('Summary, hourly ad costs'!F51/'Summary, hourly ad costs'!V51)*100/('Summary, hourly ad costs'!F$11/'Summary, hourly ad costs'!V$11))/('Summary, PPI''s'!V51))</f>
        <v>1.7232705635116188</v>
      </c>
      <c r="BT51" s="4" t="str">
        <f>IF(OR('Summary, hourly ad costs'!W51=-9999,'Summary, PPI''s'!W51="."),".",(('Summary, hourly ad costs'!G51/'Summary, hourly ad costs'!W51)*100/('Summary, hourly ad costs'!G$11/'Summary, hourly ad costs'!W$11))/('Summary, PPI''s'!W51))</f>
        <v>.</v>
      </c>
      <c r="BU51" s="4">
        <f>IF(OR('Summary, hourly ad costs'!X51=-9999,'Summary, PPI''s'!X51="."),".",(('Summary, hourly ad costs'!H51/'Summary, hourly ad costs'!X51)*100/('Summary, hourly ad costs'!H$11/'Summary, hourly ad costs'!X$11))/('Summary, PPI''s'!X51))</f>
        <v>1.113160913248161</v>
      </c>
      <c r="BV51" s="4" t="str">
        <f>IF(OR('Summary, hourly ad costs'!Y51=-9999,'Summary, PPI''s'!Y51="."),".",(('Summary, hourly ad costs'!I51/'Summary, hourly ad costs'!Y51)*100/('Summary, hourly ad costs'!I$11/'Summary, hourly ad costs'!Y$11))/('Summary, PPI''s'!Y51))</f>
        <v>.</v>
      </c>
      <c r="BW51" s="4" t="str">
        <f>IF(OR('Summary, hourly ad costs'!Z51=-9999,'Summary, PPI''s'!Z51="."),".",(('Summary, hourly ad costs'!J51/'Summary, hourly ad costs'!Z51)*100/('Summary, hourly ad costs'!J$11/'Summary, hourly ad costs'!Z$11))/('Summary, PPI''s'!Z51))</f>
        <v>.</v>
      </c>
      <c r="BX51" s="4" t="str">
        <f>IF(OR('Summary, hourly ad costs'!AA51=-9999,'Summary, PPI''s'!AA51="."),".",(('Summary, hourly ad costs'!K51/'Summary, hourly ad costs'!AA51)*100/('Summary, hourly ad costs'!K$11/'Summary, hourly ad costs'!AA$11))/('Summary, PPI''s'!AA51))</f>
        <v>.</v>
      </c>
      <c r="BY51" s="4" t="str">
        <f>IF(OR('Summary, hourly ad costs'!AB51=-9999,'Summary, PPI''s'!AB51="."),".",(('Summary, hourly ad costs'!L51/'Summary, hourly ad costs'!AB51)*100/('Summary, hourly ad costs'!L$11/'Summary, hourly ad costs'!AB$11))/('Summary, PPI''s'!AB51))</f>
        <v>.</v>
      </c>
      <c r="BZ51" s="4" t="str">
        <f>IF(OR('Summary, hourly ad costs'!AC51=-9999,'Summary, PPI''s'!AC51="."),".",(('Summary, hourly ad costs'!M51/'Summary, hourly ad costs'!AC51)*100/('Summary, hourly ad costs'!M$11/'Summary, hourly ad costs'!AC$11))/('Summary, PPI''s'!AC51))</f>
        <v>.</v>
      </c>
      <c r="CA51" s="4" t="str">
        <f>IF(OR('Summary, hourly ad costs'!AD51=-9999,'Summary, PPI''s'!AD51="."),".",(('Summary, hourly ad costs'!N51/'Summary, hourly ad costs'!AD51)*100/('Summary, hourly ad costs'!N$11/'Summary, hourly ad costs'!AD$11))/('Summary, PPI''s'!AD51))</f>
        <v>.</v>
      </c>
      <c r="CB51" s="4" t="str">
        <f>IF(OR('Summary, hourly ad costs'!AE51=-9999,'Summary, PPI''s'!AE51="."),".",(('Summary, hourly ad costs'!O51/'Summary, hourly ad costs'!AE51)*100/('Summary, hourly ad costs'!O$11/'Summary, hourly ad costs'!AE$11))/('Summary, PPI''s'!AE51))</f>
        <v>.</v>
      </c>
      <c r="CC51" s="4" t="str">
        <f>IF(OR('Summary, hourly ad costs'!AF51=-9999,'Summary, PPI''s'!AF51="."),".",(('Summary, hourly ad costs'!P51/'Summary, hourly ad costs'!AF51)*100/('Summary, hourly ad costs'!P$11/'Summary, hourly ad costs'!AF$11))/('Summary, PPI''s'!AF51))</f>
        <v>.</v>
      </c>
      <c r="CE51" s="4">
        <f t="shared" si="113"/>
        <v>-3.2581255315157875E-2</v>
      </c>
      <c r="CF51" s="4" t="str">
        <f t="shared" si="114"/>
        <v>.</v>
      </c>
      <c r="CG51" s="4" t="str">
        <f t="shared" si="115"/>
        <v>.</v>
      </c>
      <c r="CH51" s="4">
        <f t="shared" si="116"/>
        <v>8.5586023765883423E-2</v>
      </c>
      <c r="CI51" s="4">
        <f t="shared" si="117"/>
        <v>4.7459173182966774E-2</v>
      </c>
      <c r="CJ51" s="4" t="str">
        <f t="shared" si="118"/>
        <v>.</v>
      </c>
      <c r="CK51" s="4">
        <f t="shared" si="119"/>
        <v>7.3811369021292705E-6</v>
      </c>
      <c r="CL51" s="4">
        <f t="shared" si="130"/>
        <v>4.4663172558489464E-2</v>
      </c>
      <c r="CM51" s="4">
        <f t="shared" si="130"/>
        <v>3.4291660313725186E-2</v>
      </c>
      <c r="CN51" s="4">
        <f t="shared" si="89"/>
        <v>3.0659156707944266E-2</v>
      </c>
      <c r="CO51" s="4">
        <f t="shared" si="120"/>
        <v>0.38223572315508142</v>
      </c>
      <c r="CP51" s="4">
        <f t="shared" si="120"/>
        <v>3.4478876833364536E-2</v>
      </c>
      <c r="CQ51" s="4" t="str">
        <f t="shared" si="110"/>
        <v>.</v>
      </c>
      <c r="CR51" s="4" t="str">
        <f t="shared" si="111"/>
        <v>.</v>
      </c>
      <c r="CS51" s="4" t="str">
        <f t="shared" si="112"/>
        <v>.</v>
      </c>
      <c r="CU51" s="5">
        <f>IF(CU50=".", ".", IF('Summary, PPI''s'!R51=".",IF(OR('Summary, hourly ad costs'!R51=-9999,'Summary, hourly ad costs'!R51=0), ".", 'Predicted PPIs'!CU50*('Summary, hourly ad costs'!B51/'Summary, hourly ad costs'!R51)/('Summary, hourly ad costs'!B50/'Summary, hourly ad costs'!R50)/(1-CE50)), 'Summary, PPI''s'!R51))</f>
        <v>26.607607685191439</v>
      </c>
      <c r="CV51" s="5">
        <f>IF(CV50=".", ".", IF('Summary, PPI''s'!S51=".",IF(OR('Summary, hourly ad costs'!S51=-9999,'Summary, hourly ad costs'!S51=0), ".", 'Predicted PPIs'!CV50*('Summary, hourly ad costs'!C51/'Summary, hourly ad costs'!S51)/('Summary, hourly ad costs'!C50/'Summary, hourly ad costs'!S50)/(1-CF50)), 'Summary, PPI''s'!S51))</f>
        <v>26.607607685191439</v>
      </c>
      <c r="CW51" s="5" t="str">
        <f>IF(CW50=".", ".", IF('Summary, PPI''s'!T51=".",IF(OR('Summary, hourly ad costs'!T51=-9999,'Summary, hourly ad costs'!T51=0), ".", 'Predicted PPIs'!CW50*('Summary, hourly ad costs'!D51/'Summary, hourly ad costs'!T51)/('Summary, hourly ad costs'!D50/'Summary, hourly ad costs'!T50)/(1-CG50)), 'Summary, PPI''s'!T51))</f>
        <v>.</v>
      </c>
      <c r="CX51" s="5">
        <f>IF(CX50=".", ".", IF('Summary, PPI''s'!U51=".",IF(OR('Summary, hourly ad costs'!U51=-9999,'Summary, hourly ad costs'!U51=0), ".", 'Predicted PPIs'!CX50*('Summary, hourly ad costs'!E51/'Summary, hourly ad costs'!U51)/('Summary, hourly ad costs'!E50/'Summary, hourly ad costs'!U50)/(1-CH50)), 'Summary, PPI''s'!U51))</f>
        <v>10.089358731989146</v>
      </c>
      <c r="CY51" s="5">
        <f>IF(CY50=".", ".", IF('Summary, PPI''s'!V51=".",IF(OR('Summary, hourly ad costs'!V51=-9999,'Summary, hourly ad costs'!V51=0), ".", 'Predicted PPIs'!CY50*('Summary, hourly ad costs'!F51/'Summary, hourly ad costs'!V51)/('Summary, hourly ad costs'!F50/'Summary, hourly ad costs'!V50)/(1-CI50)), 'Summary, PPI''s'!V51))</f>
        <v>14.369051210091735</v>
      </c>
      <c r="CZ51" s="5">
        <f>IF(CZ50=".", ".", IF('Summary, PPI''s'!W51=".",IF(OR('Summary, hourly ad costs'!W51=-9999,'Summary, hourly ad costs'!W51=0), ".", 'Predicted PPIs'!CZ50*('Summary, hourly ad costs'!G51/'Summary, hourly ad costs'!W51)/('Summary, hourly ad costs'!G50/'Summary, hourly ad costs'!W50)/(1-CJ50)), 'Summary, PPI''s'!W51))</f>
        <v>13.077032295329134</v>
      </c>
      <c r="DA51" s="5">
        <f>IF(DA50=".", ".", IF('Summary, PPI''s'!X51=".",IF(OR('Summary, hourly ad costs'!X51=-9999,'Summary, hourly ad costs'!X51=0), ".", 'Predicted PPIs'!DA50*('Summary, hourly ad costs'!H51/'Summary, hourly ad costs'!X51)/('Summary, hourly ad costs'!H50/'Summary, hourly ad costs'!X50)/(1-CK50)), 'Summary, PPI''s'!X51))</f>
        <v>19.027999999999999</v>
      </c>
      <c r="DB51" s="5">
        <f>IF(DB50=".", ".", IF('Summary, PPI''s'!Y51=".",IF(OR('Summary, hourly ad costs'!Y51=-9999,'Summary, hourly ad costs'!Y51=0), ".", 'Predicted PPIs'!DB50*('Summary, hourly ad costs'!I51/'Summary, hourly ad costs'!Y51)/('Summary, hourly ad costs'!I50/'Summary, hourly ad costs'!Y50)/(1-CL50)), 'Summary, PPI''s'!Y51))</f>
        <v>16.691118126022882</v>
      </c>
      <c r="DC51" s="5">
        <f>IF(DC50=".", ".", IF('Summary, PPI''s'!Z51=".",IF(OR('Summary, hourly ad costs'!Z51=-9999,'Summary, hourly ad costs'!Z51=0), ".", 'Predicted PPIs'!DC50*('Summary, hourly ad costs'!J51/'Summary, hourly ad costs'!Z51)/('Summary, hourly ad costs'!J50/'Summary, hourly ad costs'!Z50)/(1-CM50)), 'Summary, PPI''s'!Z51))</f>
        <v>18.228831435430525</v>
      </c>
      <c r="DD51" s="5" t="str">
        <f>IF(DD50=".", ".", IF('Summary, PPI''s'!AA51=".",IF(OR('Summary, hourly ad costs'!AA51=-9999,'Summary, hourly ad costs'!AA51=0), ".", 'Predicted PPIs'!DD50*('Summary, hourly ad costs'!K51/'Summary, hourly ad costs'!AA51)/('Summary, hourly ad costs'!K50/'Summary, hourly ad costs'!AA50)/(1-CN50)), 'Summary, PPI''s'!AA51))</f>
        <v>.</v>
      </c>
      <c r="DE51" s="5" t="str">
        <f>IF(DE50=".", ".", IF('Summary, PPI''s'!AB51=".",IF(OR('Summary, hourly ad costs'!AB51=-9999,'Summary, hourly ad costs'!AB51=0), ".", 'Predicted PPIs'!DE50*('Summary, hourly ad costs'!L51/'Summary, hourly ad costs'!AB51)/('Summary, hourly ad costs'!L50/'Summary, hourly ad costs'!AB50)/(1-CO50)), 'Summary, PPI''s'!AB51))</f>
        <v>.</v>
      </c>
      <c r="DF51" s="5" t="str">
        <f>IF(DF50=".", ".", IF('Summary, PPI''s'!AC51=".",IF(OR('Summary, hourly ad costs'!AC51=-9999,'Summary, hourly ad costs'!AC51=0), ".", 'Predicted PPIs'!DF50*('Summary, hourly ad costs'!M51/'Summary, hourly ad costs'!AC51)/('Summary, hourly ad costs'!M50/'Summary, hourly ad costs'!AC50)/(1-CP50)), 'Summary, PPI''s'!AC51))</f>
        <v>.</v>
      </c>
      <c r="DG51" s="5" t="str">
        <f>IF(DG50=".", ".", IF('Summary, PPI''s'!AD51=".",IF(OR('Summary, hourly ad costs'!AD51=-9999,'Summary, hourly ad costs'!AD51=0), ".", 'Predicted PPIs'!DG50*('Summary, hourly ad costs'!N51/'Summary, hourly ad costs'!AD51)/('Summary, hourly ad costs'!N50/'Summary, hourly ad costs'!AD50)/(1-CQ50)), 'Summary, PPI''s'!AD51))</f>
        <v>.</v>
      </c>
      <c r="DH51" s="5" t="str">
        <f>IF(DH50=".", ".", IF('Summary, PPI''s'!AE51=".",IF(OR('Summary, hourly ad costs'!AE51=-9999,'Summary, hourly ad costs'!AE51=0), ".", 'Predicted PPIs'!DH50*('Summary, hourly ad costs'!O51/'Summary, hourly ad costs'!AE51)/('Summary, hourly ad costs'!O50/'Summary, hourly ad costs'!AE50)/(1-CR50)), 'Summary, PPI''s'!AE51))</f>
        <v>.</v>
      </c>
      <c r="DI51" s="5" t="str">
        <f>IF(DI50=".", ".", IF('Summary, PPI''s'!AF51=".",IF(OR('Summary, hourly ad costs'!AF51=-9999,'Summary, hourly ad costs'!AF51=0), ".", 'Predicted PPIs'!DI50*('Summary, hourly ad costs'!P51/'Summary, hourly ad costs'!AF51)/('Summary, hourly ad costs'!P50/'Summary, hourly ad costs'!AF50)/(1-CS50)), 'Summary, PPI''s'!AF51))</f>
        <v>.</v>
      </c>
      <c r="DK51" s="4">
        <v>10.379</v>
      </c>
      <c r="DM51" s="5">
        <f t="shared" si="121"/>
        <v>-6.0627349097350791E-2</v>
      </c>
      <c r="DN51" s="5">
        <f t="shared" si="122"/>
        <v>-6.0627349097350791E-2</v>
      </c>
      <c r="DO51" s="4">
        <f t="shared" si="123"/>
        <v>-2.243703785787083E-2</v>
      </c>
      <c r="DP51" s="5">
        <f t="shared" si="124"/>
        <v>-4.1358166514732564E-2</v>
      </c>
      <c r="DQ51" s="5">
        <f t="shared" si="125"/>
        <v>-5.6835733957481427E-2</v>
      </c>
      <c r="DR51" s="5">
        <f t="shared" si="126"/>
        <v>5.0277286539095467E-3</v>
      </c>
      <c r="DS51" s="5">
        <f t="shared" si="127"/>
        <v>-4.0256279349806912E-2</v>
      </c>
      <c r="DT51" s="5">
        <f t="shared" si="128"/>
        <v>-8.9617118919644856E-3</v>
      </c>
      <c r="DU51" s="5">
        <f t="shared" si="129"/>
        <v>1.3297040427066253E-2</v>
      </c>
      <c r="DV51" s="4">
        <f t="shared" si="131"/>
        <v>-1.3517977490284422E-3</v>
      </c>
      <c r="DW51" s="4">
        <f t="shared" si="78"/>
        <v>-0.18937648780603425</v>
      </c>
      <c r="DX51" s="4">
        <f t="shared" si="78"/>
        <v>0.17546528148355006</v>
      </c>
      <c r="DY51" s="4">
        <f t="shared" si="108"/>
        <v>-1.2580361746922973E-2</v>
      </c>
      <c r="DZ51" s="4">
        <f t="shared" si="132"/>
        <v>-5.5174656216628835E-3</v>
      </c>
      <c r="EA51" s="4">
        <f t="shared" si="109"/>
        <v>-7.2467306997774147E-3</v>
      </c>
      <c r="EC51" s="1">
        <f t="shared" si="93"/>
        <v>26.607607685191439</v>
      </c>
      <c r="ED51" s="1">
        <f t="shared" si="94"/>
        <v>26.607607685191439</v>
      </c>
      <c r="EE51" s="1">
        <f t="shared" si="95"/>
        <v>22.540814589318504</v>
      </c>
      <c r="EF51" s="1">
        <f t="shared" si="96"/>
        <v>10.089358731989146</v>
      </c>
      <c r="EG51" s="1">
        <f t="shared" si="97"/>
        <v>14.369051210091735</v>
      </c>
      <c r="EH51" s="1">
        <f t="shared" si="98"/>
        <v>13.077032295329134</v>
      </c>
      <c r="EI51" s="1">
        <f t="shared" si="99"/>
        <v>19.027999999999999</v>
      </c>
      <c r="EJ51" s="1">
        <f t="shared" si="100"/>
        <v>16.691118126022882</v>
      </c>
      <c r="EK51" s="1">
        <f t="shared" si="101"/>
        <v>18.228831435430525</v>
      </c>
      <c r="EL51" s="1">
        <f t="shared" si="102"/>
        <v>8.4865410649003081</v>
      </c>
      <c r="EM51" s="1">
        <f t="shared" si="103"/>
        <v>11.747795066763141</v>
      </c>
      <c r="EN51" s="1">
        <f t="shared" si="104"/>
        <v>7.435479485619509</v>
      </c>
      <c r="EO51" s="1">
        <f t="shared" si="105"/>
        <v>12.748586136797451</v>
      </c>
      <c r="EP51" s="1">
        <f t="shared" si="106"/>
        <v>15.856365809263613</v>
      </c>
      <c r="EQ51" s="1">
        <f t="shared" si="107"/>
        <v>12.15184833148623</v>
      </c>
      <c r="ES51" s="1">
        <f>IF(EF$26=".", 0, 'Summary, PPI''s'!E51)+IF(EG$26=".", 0, 'Summary, PPI''s'!F51)+IF(EH$26=".", 0, 'Summary, PPI''s'!G51)+IF(EI$26=".", 0, 'Summary, PPI''s'!H51)+IF(EJ$26=".", 0, 'Summary, PPI''s'!I51)+IF(EK$26=".", 0, 'Summary, PPI''s'!J51)+IF(EL$26=".", 0, 'Summary, PPI''s'!K51)+IF(EM$26=".", 0, 'Summary, PPI''s'!L51)+IF(EN$26=".", 0, 'Summary, PPI''s'!M51)+IF(EC$26=".", 0, 'Summary, PPI''s'!B51)+IF(ED$26=".", 0, 'Summary, PPI''s'!C51)+IF(EE$26=".", 0, 'Summary, PPI''s'!D51)+IF(EO$26=".", 0, 'Summary, PPI''s'!N51)+IF(EP$26=".", 0, 'Summary, PPI''s'!O51)+IF(EQ$26=".", 0, 'Summary, PPI''s'!P51)</f>
        <v>23612196.719981093</v>
      </c>
      <c r="ET51" s="1">
        <f>'Summary, hourly ad costs'!E51+'Summary, hourly ad costs'!F51+'Summary, hourly ad costs'!H51+'Summary, hourly ad costs'!I51+'Summary, hourly ad costs'!J51+'Summary, hourly ad costs'!K51+'Summary, hourly ad costs'!L51+'Summary, hourly ad costs'!M51+'Summary, hourly ad costs'!B51</f>
        <v>13416753.119621262</v>
      </c>
      <c r="EV51" s="13">
        <f>EV50*IF(EF$26=".", 1, (EF51/EF50)^(('Summary, PPI''s'!$E51+'Summary, PPI''s'!$E50)/('Predicted PPIs'!ES51+'Predicted PPIs'!ES50)))*IF(EG$26=".", 1, (EG51/EG50)^(('Summary, PPI''s'!$F51+'Summary, PPI''s'!$F50)/('Predicted PPIs'!ES51+'Predicted PPIs'!ES50)))*IF(EH$26=".", 1, (EH51/EH50)^(('Summary, PPI''s'!$G51+'Summary, PPI''s'!$G50)/('Predicted PPIs'!ES51+'Predicted PPIs'!ES50)))*IF(EI$26=".", 1, (EI51/EI50)^(('Summary, PPI''s'!$H51+'Summary, PPI''s'!$H50)/('Predicted PPIs'!ES51+'Predicted PPIs'!ES50)))*IF(EJ$26=".", 1, (EJ51/EJ50)^(('Summary, PPI''s'!$I51+'Summary, PPI''s'!$I50)/('Predicted PPIs'!ES51+'Predicted PPIs'!ES50)))*IF(EK$26=".", 1, (EK51/EK50)^(('Summary, PPI''s'!$J51+'Summary, PPI''s'!$J50)/('Predicted PPIs'!ES51+'Predicted PPIs'!ES50)))*IF(EL$26=".", 1, (EL51/EL50)^(('Summary, PPI''s'!$K51+'Summary, PPI''s'!$K50)/('Predicted PPIs'!ES51+'Predicted PPIs'!ES50)))*IF(EM$26=".", 1, (EM51/EM50)^(('Summary, PPI''s'!$L51+'Summary, PPI''s'!$L50)/('Predicted PPIs'!ES51+'Predicted PPIs'!ES50)))*IF(EN$26=".", 1, (EN51/EN50)^(('Summary, PPI''s'!$M51+'Summary, PPI''s'!$M50)/('Predicted PPIs'!ES51+'Predicted PPIs'!ES50)))*IF(EC$26=".", 1, (EC51/EC50)^(('Summary, PPI''s'!$B51+'Summary, PPI''s'!$B50)/('Predicted PPIs'!ES51+'Predicted PPIs'!ES50)))*IF(ED$26=".", 1, (ED51/ED50)^(('Summary, PPI''s'!$C51+'Summary, PPI''s'!$C50)/('Predicted PPIs'!ES51+'Predicted PPIs'!ES50)))*IF(EE$26=".", 1, (EE51/EE50)^(('Summary, PPI''s'!$D51+'Summary, PPI''s'!$D50)/('Predicted PPIs'!ES51+'Predicted PPIs'!ES50)))*IF(EO$26=".", 1, (EO51/EO50)^(('Summary, PPI''s'!$N51+'Summary, PPI''s'!$N50)/('Predicted PPIs'!ES51+'Predicted PPIs'!ES50)))*IF(EP$26=".", 1, (EP51/EP50)^(('Summary, PPI''s'!$O51+'Summary, PPI''s'!$O50)/('Predicted PPIs'!ES51+'Predicted PPIs'!ES50)))*IF(EQ$26=".", 1, (EQ51/EQ50)^(('Summary, PPI''s'!$P51+'Summary, PPI''s'!$P50)/('Predicted PPIs'!ES51+'Predicted PPIs'!ES50)))</f>
        <v>16.50394892374138</v>
      </c>
      <c r="EW51" s="13">
        <f>EW50*IF(EF$26=".", 1, (EF51/EF50)^(('Summary, PPI''s'!$E51+'Summary, PPI''s'!$E50)/('Predicted PPIs'!ET51+'Predicted PPIs'!ET50)))*IF(EG$26=".", 1, (EG51/EG50)^(('Summary, PPI''s'!$F51+'Summary, PPI''s'!$F50)/('Predicted PPIs'!ET51+'Predicted PPIs'!ET50)))*IF(EH$26=".", 1, (EH51/EH50)^(('Summary, PPI''s'!$G51+'Summary, PPI''s'!$G50)/('Predicted PPIs'!ET51+'Predicted PPIs'!ET50)))*IF(EK$26=".", 1, (EK51/EK50)^(('Summary, PPI''s'!$J51+'Summary, PPI''s'!$J50)/('Predicted PPIs'!ET51+'Predicted PPIs'!ET50)))*IF(EL$26=".", 1, (EL51/EL50)^(('Summary, PPI''s'!$K51+'Summary, PPI''s'!$K50)/('Predicted PPIs'!ET51+'Predicted PPIs'!ET50)))*IF(EM$26=".", 1, (EM51/EM50)^(('Summary, PPI''s'!$L51+'Summary, PPI''s'!$L50)/('Predicted PPIs'!ET51+'Predicted PPIs'!ET50)))*IF(EN$26=".", 1, (EN51/EN50)^(('Summary, PPI''s'!$M51+'Summary, PPI''s'!$M50)/('Predicted PPIs'!ET51+'Predicted PPIs'!ET50)))*IF(EC$26=".", 1, (EC51/EC50)^(('Summary, PPI''s'!$B51+'Summary, PPI''s'!$B50)/('Predicted PPIs'!ET51+'Predicted PPIs'!ET50)))</f>
        <v>18.169899936195836</v>
      </c>
      <c r="EY51" s="2"/>
    </row>
    <row r="52" spans="1:155" x14ac:dyDescent="0.3">
      <c r="A52" s="4">
        <v>1971</v>
      </c>
      <c r="B52" s="10">
        <f>IF(B51=".", ".", IF('Summary, PPI''s'!R52=".",IF(OR('Summary, hourly ad costs'!R52=-9999,'Summary, hourly ad costs'!R52=0), ".", 'Predicted PPIs'!B51*('Summary, hourly ad costs'!B52/'Summary, hourly ad costs'!R52)/('Summary, hourly ad costs'!B51/'Summary, hourly ad costs'!R51)), 'Summary, PPI''s'!R52))</f>
        <v>26.474569646765477</v>
      </c>
      <c r="C52" s="10">
        <f>IF(C51=".", ".", IF('Summary, PPI''s'!S52=".",IF(OR('Summary, hourly ad costs'!S52=-9999,'Summary, hourly ad costs'!S52=0), ".", 'Predicted PPIs'!C51*('Summary, hourly ad costs'!C52/'Summary, hourly ad costs'!S52)/('Summary, hourly ad costs'!C51/'Summary, hourly ad costs'!S51)), 'Summary, PPI''s'!S52))</f>
        <v>26.474569646765477</v>
      </c>
      <c r="D52" s="10" t="str">
        <f>IF(D51=".", ".", IF('Summary, PPI''s'!T52=".",IF(OR('Summary, hourly ad costs'!T52=-9999,'Summary, hourly ad costs'!T52=0), ".", 'Predicted PPIs'!D51*('Summary, hourly ad costs'!D52/'Summary, hourly ad costs'!T52)/('Summary, hourly ad costs'!D51/'Summary, hourly ad costs'!T51)), 'Summary, PPI''s'!T52))</f>
        <v>.</v>
      </c>
      <c r="E52" s="10">
        <f>IF(E51=".", ".", IF('Summary, PPI''s'!U52=".",IF(OR('Summary, hourly ad costs'!U52=-9999,'Summary, hourly ad costs'!U52=0), ".", 'Predicted PPIs'!E51*('Summary, hourly ad costs'!E52/'Summary, hourly ad costs'!U52)/('Summary, hourly ad costs'!E51/'Summary, hourly ad costs'!U51)), 'Summary, PPI''s'!U52))</f>
        <v>9.8371247636894168</v>
      </c>
      <c r="F52" s="10">
        <f>IF(F51=".", ".", IF('Summary, PPI''s'!V52=".",IF(OR('Summary, hourly ad costs'!V52=-9999,'Summary, hourly ad costs'!V52=0), ".", 'Predicted PPIs'!F51*('Summary, hourly ad costs'!F52/'Summary, hourly ad costs'!V52)/('Summary, hourly ad costs'!F51/'Summary, hourly ad costs'!V51)), 'Summary, PPI''s'!V52))</f>
        <v>14.239729749200908</v>
      </c>
      <c r="G52" s="10">
        <f>IF(G51=".", ".", IF('Summary, PPI''s'!W52=".",IF(OR('Summary, hourly ad costs'!W52=-9999,'Summary, hourly ad costs'!W52=0), ".", 'Predicted PPIs'!G51*('Summary, hourly ad costs'!G52/'Summary, hourly ad costs'!W52)/('Summary, hourly ad costs'!G51/'Summary, hourly ad costs'!W51)), 'Summary, PPI''s'!W52))</f>
        <v>12.161640034656093</v>
      </c>
      <c r="H52" s="10">
        <f>IF(H51=".", ".", IF('Summary, PPI''s'!X52=".",IF(OR('Summary, hourly ad costs'!X52=-9999,'Summary, hourly ad costs'!X52=0), ".", 'Predicted PPIs'!H51*('Summary, hourly ad costs'!H52/'Summary, hourly ad costs'!X52)/('Summary, hourly ad costs'!H51/'Summary, hourly ad costs'!X51)), 'Summary, PPI''s'!X52))</f>
        <v>18.530999999999999</v>
      </c>
      <c r="I52" s="10">
        <f>IF(I51=".", ".", IF('Summary, PPI''s'!Y52=".",IF(OR('Summary, hourly ad costs'!Y52=-9999,'Summary, hourly ad costs'!Y52=0), ".", 'Predicted PPIs'!I51*('Summary, hourly ad costs'!I52/'Summary, hourly ad costs'!Y52)/('Summary, hourly ad costs'!I51/'Summary, hourly ad costs'!Y51)), 'Summary, PPI''s'!Y52))</f>
        <v>15.193563833272163</v>
      </c>
      <c r="J52" s="10">
        <f>IF(J51=".", ".", IF('Summary, PPI''s'!Z52=".",IF(OR('Summary, hourly ad costs'!Z52=-9999,'Summary, hourly ad costs'!Z52=0), ".", 'Predicted PPIs'!J51*('Summary, hourly ad costs'!J52/'Summary, hourly ad costs'!Z52)/('Summary, hourly ad costs'!J51/'Summary, hourly ad costs'!Z51)), 'Summary, PPI''s'!Z52))</f>
        <v>15.035186052298668</v>
      </c>
      <c r="K52" s="10" t="str">
        <f>IF(K51=".", ".", IF('Summary, PPI''s'!AA52=".",IF(OR('Summary, hourly ad costs'!AA52=-9999,'Summary, hourly ad costs'!AA52=0), ".", 'Predicted PPIs'!K51*('Summary, hourly ad costs'!K52/'Summary, hourly ad costs'!AA52)/('Summary, hourly ad costs'!K51/'Summary, hourly ad costs'!AA51)), 'Summary, PPI''s'!AA52))</f>
        <v>.</v>
      </c>
      <c r="L52" s="10" t="str">
        <f>IF(L51=".", ".", IF('Summary, PPI''s'!AB52=".",IF(OR('Summary, hourly ad costs'!AB52=-9999,'Summary, hourly ad costs'!AB52=0), ".", 'Predicted PPIs'!L51*('Summary, hourly ad costs'!L52/'Summary, hourly ad costs'!AB52)/('Summary, hourly ad costs'!L51/'Summary, hourly ad costs'!AB51)), 'Summary, PPI''s'!AB52))</f>
        <v>.</v>
      </c>
      <c r="M52" s="10" t="str">
        <f>IF(M51=".", ".", IF('Summary, PPI''s'!AC52=".",IF(OR('Summary, hourly ad costs'!AC52=-9999,'Summary, hourly ad costs'!AC52=0), ".", 'Predicted PPIs'!M51*('Summary, hourly ad costs'!M52/'Summary, hourly ad costs'!AC52)/('Summary, hourly ad costs'!M51/'Summary, hourly ad costs'!AC51)), 'Summary, PPI''s'!AC52))</f>
        <v>.</v>
      </c>
      <c r="N52" s="10" t="str">
        <f>IF(N51=".", ".", IF('Summary, PPI''s'!AD52=".",IF(OR('Summary, hourly ad costs'!AD52=-9999,'Summary, hourly ad costs'!AD52=0), ".", 'Predicted PPIs'!N51*('Summary, hourly ad costs'!N52/'Summary, hourly ad costs'!AD52)/('Summary, hourly ad costs'!N51/'Summary, hourly ad costs'!AD51)), 'Summary, PPI''s'!AD52))</f>
        <v>.</v>
      </c>
      <c r="O52" s="10" t="str">
        <f>IF(O51=".", ".", IF('Summary, PPI''s'!AE52=".",IF(OR('Summary, hourly ad costs'!AE52=-9999,'Summary, hourly ad costs'!AE52=0), ".", 'Predicted PPIs'!O51*('Summary, hourly ad costs'!O52/'Summary, hourly ad costs'!AE52)/('Summary, hourly ad costs'!O51/'Summary, hourly ad costs'!AE51)), 'Summary, PPI''s'!AE52))</f>
        <v>.</v>
      </c>
      <c r="P52" s="10" t="str">
        <f>IF(P51=".", ".", IF('Summary, PPI''s'!AF52=".",IF(OR('Summary, hourly ad costs'!AF52=-9999,'Summary, hourly ad costs'!AF52=0), ".", 'Predicted PPIs'!P51*('Summary, hourly ad costs'!P52/'Summary, hourly ad costs'!AF52)/('Summary, hourly ad costs'!P51/'Summary, hourly ad costs'!AF51)), 'Summary, PPI''s'!AF52))</f>
        <v>.</v>
      </c>
      <c r="R52" s="1">
        <f>IF(E$26=".", 0, 'Summary, PPI''s'!E52)+IF(F$26=".", 0, 'Summary, PPI''s'!F52)+IF(G$26=".", 0, 'Summary, PPI''s'!G52)+IF(H$26=".", 0, 'Summary, PPI''s'!H52)+IF(I$26=".", 0, 'Summary, PPI''s'!I52)+IF(J$26=".", 0, 'Summary, PPI''s'!J52)+IF(K$26=".", 0, 'Summary, PPI''s'!K52)+IF(L$26=".", 0, 'Summary, PPI''s'!L52)+IF(M$26=".", 0, 'Summary, PPI''s'!M52)+IF(B$26=".", 0, 'Summary, PPI''s'!B52)+IF(C$26=".", 0, 'Summary, PPI''s'!C52)+IF(D$26=".", 0, 'Summary, PPI''s'!D52)+IF(N$26=".", 0, 'Summary, PPI''s'!N52)+IF(O$26=".", 0, 'Summary, PPI''s'!O52)+IF(P$26=".", 0, 'Summary, PPI''s'!P52)</f>
        <v>21220414.833941408</v>
      </c>
      <c r="S52" s="1">
        <f>IF(E$36=".", 0, 'Summary, PPI''s'!E52)+IF(F$36=".", 0, 'Summary, PPI''s'!F52)+IF(G$36=".", 0, 'Summary, PPI''s'!G52)+IF(H$36=".", 0, 'Summary, PPI''s'!H52)+IF(I$36=".", 0, 'Summary, PPI''s'!I52)+IF(J$36=".", 0, 'Summary, PPI''s'!J52)+IF(K$36=".", 0, 'Summary, PPI''s'!K52)+IF(L$36=".", 0, 'Summary, PPI''s'!L52)+IF(M$36=".", 0, 'Summary, PPI''s'!M52)+IF(B$36=".", 0, 'Summary, PPI''s'!B52)+IF(C$36=".", 0, 'Summary, PPI''s'!C52)+IF(D$36=".", 0, 'Summary, PPI''s'!D52)+IF(N$36=".", 0, 'Summary, PPI''s'!N52)+IF(O$36=".", 0, 'Summary, PPI''s'!O52)+IF(P$36=".", 0, 'Summary, PPI''s'!P52)</f>
        <v>21220414.833941408</v>
      </c>
      <c r="T52" s="1">
        <f>IF(E$46=".", 0, 'Summary, PPI''s'!E52)+IF(F$46=".", 0, 'Summary, PPI''s'!F52)+IF(G$46=".", 0, 'Summary, PPI''s'!G52)+IF(H$46=".", 0, 'Summary, PPI''s'!H52)+IF(I$46=".", 0, 'Summary, PPI''s'!I52)+IF(J$46=".", 0, 'Summary, PPI''s'!J52)+IF(K$46=".", 0, 'Summary, PPI''s'!K52)+IF(L$46=".", 0, 'Summary, PPI''s'!L52)+IF(M$46=".", 0, 'Summary, PPI''s'!M52)+IF(B$46=".", 0, 'Summary, PPI''s'!B52)+IF(C$46=".", 0, 'Summary, PPI''s'!C52)+IF(D$46=".", 0, 'Summary, PPI''s'!D52)+IF(N$46=".", 0, 'Summary, PPI''s'!N52)+IF(O$46=".", 0, 'Summary, PPI''s'!O52)+IF(P$46=".", 0, 'Summary, PPI''s'!P52)</f>
        <v>15693504.026388053</v>
      </c>
      <c r="U52" s="1">
        <f>IF(E$60=".", 0, 'Summary, PPI''s'!E52)+IF(F$60=".", 0, 'Summary, PPI''s'!F52)+IF(G$60=".", 0, 'Summary, PPI''s'!G52)+IF(H$60=".", 0, 'Summary, PPI''s'!H52)+IF(I$60=".", 0, 'Summary, PPI''s'!I52)+IF(J$60=".", 0, 'Summary, PPI''s'!J52)+IF(K$60=".", 0, 'Summary, PPI''s'!K52)+IF(L$60=".", 0, 'Summary, PPI''s'!L52)+IF(M$60=".", 0, 'Summary, PPI''s'!M52)+IF(B$60=".", 0, 'Summary, PPI''s'!B52)+IF(C$60=".", 0, 'Summary, PPI''s'!C52)+IF(D$60=".", 0, 'Summary, PPI''s'!D52)+IF(N$60=".", 0, 'Summary, PPI''s'!N52)+IF(O$60=".", 0, 'Summary, PPI''s'!O52)+IF(P$60=".", 0, 'Summary, PPI''s'!P52)</f>
        <v>14145204.039639879</v>
      </c>
      <c r="V52" s="1">
        <f>IF(E$73=".", 0, 'Summary, PPI''s'!E52)+IF(F$73=".", 0, 'Summary, PPI''s'!F52)+IF(G$73=".", 0, 'Summary, PPI''s'!G52)+IF(H$73=".", 0, 'Summary, PPI''s'!H52)+IF(I$73=".", 0, 'Summary, PPI''s'!I52)+IF(J$73=".", 0, 'Summary, PPI''s'!J52)+IF(K$73=".", 0, 'Summary, PPI''s'!K52)+IF(L$73=".", 0, 'Summary, PPI''s'!L52)+IF(M$73=".", 0, 'Summary, PPI''s'!M52)+IF(B$73=".", 0, 'Summary, PPI''s'!B52)+IF(C$73=".", 0, 'Summary, PPI''s'!C52)+IF(D$73=".", 0, 'Summary, PPI''s'!D52)+IF(N$73=".", 0, 'Summary, PPI''s'!N52)+IF(O$73=".", 0, 'Summary, PPI''s'!O52)+IF(P$73=".", 0, 'Summary, PPI''s'!P52)</f>
        <v>12080426.853733607</v>
      </c>
      <c r="W52" s="1">
        <f>IF(E$94=".",0,'Summary, PPI''s'!E52)+IF(F$94=".",0,'Summary, PPI''s'!F52)+IF(G$94=".",0,'Summary, PPI''s'!G52)+IF(H$94=".",0,'Summary, PPI''s'!H52)+IF(I$94=".",0,'Summary, PPI''s'!I52)+IF(J$94=".",0,'Summary, PPI''s'!J52)+IF(K$94=".",0,'Summary, PPI''s'!K52)+IF(L$94=".",0,'Summary, PPI''s'!L52)+IF(M$94=".",0,'Summary, PPI''s'!M52)+IF(B$94=".",0,'Summary, PPI''s'!B52)+IF(C$94=".",0,'Summary, PPI''s'!C52)+IF(D$94=".",0,'Summary, PPI''s'!D52)+IF(N$94=".",0,'Summary, PPI''s'!N52)+IF(O$94=".",0,'Summary, PPI''s'!O52)+IF(P$94=".",0,'Summary, PPI''s'!P52)</f>
        <v>9463500.8589781485</v>
      </c>
      <c r="X52" s="1">
        <f>IF(E$123=".", 0, 'Summary, PPI''s'!E52)+IF(F$123=".", 0, 'Summary, PPI''s'!F52)+IF(G$123=".", 0, 'Summary, PPI''s'!G52)+IF(H$123=".", 0, 'Summary, PPI''s'!H52)+IF(I$123=".", 0, 'Summary, PPI''s'!I52)+IF(J$123=".", 0, 'Summary, PPI''s'!J52)+IF(K$123=".", 0, 'Summary, PPI''s'!K52)+IF(L$123=".", 0, 'Summary, PPI''s'!L52)+IF(M$123=".", 0, 'Summary, PPI''s'!M52)+IF(B$123=".", 0, 'Summary, PPI''s'!B52)+IF(C$123=".", 0, 'Summary, PPI''s'!C52)+IF(D$123=".", 0, 'Summary, PPI''s'!D52)+IF(N$123=".", 0, 'Summary, PPI''s'!N52)+IF(O$123=".", 0, 'Summary, PPI''s'!O52)+IF(P$123=".", 0, 'Summary, PPI''s'!P52)</f>
        <v>8287729.6108070603</v>
      </c>
      <c r="Z52" s="4" t="e">
        <f>Z51*IF(E$26=".", 1, (E52/E51)^(('Summary, PPI''s'!$E52+'Summary, PPI''s'!$E51)/('Predicted PPIs'!R52+'Predicted PPIs'!R51)))*IF(F$26=".", 1, (F52/F51)^(('Summary, PPI''s'!$F52+'Summary, PPI''s'!$F51)/('Predicted PPIs'!R52+'Predicted PPIs'!R51)))*IF(G$26=".", 1, (G52/G51)^(('Summary, PPI''s'!$G52+'Summary, PPI''s'!$G51)/('Predicted PPIs'!R52+'Predicted PPIs'!R51)))*IF(H$26=".", 1, (H52/H51)^(('Summary, PPI''s'!$H52+'Summary, PPI''s'!$H51)/('Predicted PPIs'!R52+'Predicted PPIs'!R51)))*IF(I$26=".", 1, (I52/I51)^(('Summary, PPI''s'!$I52+'Summary, PPI''s'!$I51)/('Predicted PPIs'!R52+'Predicted PPIs'!R51)))*IF(J$26=".", 1, (J52/J51)^(('Summary, PPI''s'!$J52+'Summary, PPI''s'!$J51)/('Predicted PPIs'!R52+'Predicted PPIs'!R51)))*IF(K$26=".", 1, (K52/K51)^(('Summary, PPI''s'!$K52+'Summary, PPI''s'!$K51)/('Predicted PPIs'!R52+'Predicted PPIs'!R51)))*IF(L$26=".", 1, (L52/L51)^(('Summary, PPI''s'!$L52+'Summary, PPI''s'!$L51)/('Predicted PPIs'!R52+'Predicted PPIs'!R51)))*IF(M$26=".", 1, (M52/M51)^(('Summary, PPI''s'!$M52+'Summary, PPI''s'!$M51)/('Predicted PPIs'!R52+'Predicted PPIs'!R51)))*IF(B$26=".", 1, (B52/B51)^(('Summary, PPI''s'!$B52+'Summary, PPI''s'!$B51)/('Predicted PPIs'!R52+'Predicted PPIs'!R51)))*IF(C$26=".", 1, (C52/C51)^(('Summary, PPI''s'!$C52+'Summary, PPI''s'!$C51)/('Predicted PPIs'!R52+'Predicted PPIs'!R51)))*IF(D$26=".", 1, (D52/D51)^(('Summary, PPI''s'!$D52+'Summary, PPI''s'!$D51)/('Predicted PPIs'!R52+'Predicted PPIs'!R51)))*IF(N$26=".", 1, (N52/N51)^(('Summary, PPI''s'!$N52+'Summary, PPI''s'!$N51)/('Predicted PPIs'!R52+'Predicted PPIs'!R51)))*IF(O$26=".", 1, (O52/O51)^(('Summary, PPI''s'!$O52+'Summary, PPI''s'!$O51)/('Predicted PPIs'!R52+'Predicted PPIs'!R51)))*IF(P$26=".", 1, (P52/P51)^(('Summary, PPI''s'!$P52+'Summary, PPI''s'!$P51)/('Predicted PPIs'!R52+'Predicted PPIs'!R51)))</f>
        <v>#VALUE!</v>
      </c>
      <c r="AA52" s="4" t="e">
        <f>AA51*IF(E$36=".", 1, (E52/E51)^(('Summary, PPI''s'!$E52+'Summary, PPI''s'!$E51)/('Predicted PPIs'!S52+'Predicted PPIs'!S51)))*IF(F$36=".", 1, (F52/F51)^(('Summary, PPI''s'!$F52+'Summary, PPI''s'!$F51)/('Predicted PPIs'!S52+'Predicted PPIs'!S51)))*IF(G$36=".", 1, (G52/G51)^(('Summary, PPI''s'!$G52+'Summary, PPI''s'!$G51)/('Predicted PPIs'!S52+'Predicted PPIs'!S51)))*IF(H$36=".", 1, (H52/H51)^(('Summary, PPI''s'!$H52+'Summary, PPI''s'!$H51)/('Predicted PPIs'!S52+'Predicted PPIs'!S51)))*IF(I$36=".", 1, (I52/I51)^(('Summary, PPI''s'!$I52+'Summary, PPI''s'!$I51)/('Predicted PPIs'!S52+'Predicted PPIs'!S51)))*IF(J$36=".", 1, (J52/J51)^(('Summary, PPI''s'!$J52+'Summary, PPI''s'!$J51)/('Predicted PPIs'!S52+'Predicted PPIs'!S51)))*IF(K$36=".", 1, (K52/K51)^(('Summary, PPI''s'!$K52+'Summary, PPI''s'!$K51)/('Predicted PPIs'!S52+'Predicted PPIs'!S51)))*IF(L$36=".", 1, (L52/L51)^(('Summary, PPI''s'!$L52+'Summary, PPI''s'!$L51)/('Predicted PPIs'!S52+'Predicted PPIs'!S51)))*IF(M$36=".", 1, (M52/M51)^(('Summary, PPI''s'!$M52+'Summary, PPI''s'!$M51)/('Predicted PPIs'!S52+'Predicted PPIs'!S51)))*IF(B$36=".", 1, (B52/B51)^(('Summary, PPI''s'!$B52+'Summary, PPI''s'!$B51)/('Predicted PPIs'!S52+'Predicted PPIs'!S51)))*IF(C$36=".", 1, (C52/C51)^(('Summary, PPI''s'!$C52+'Summary, PPI''s'!$C51)/('Predicted PPIs'!S52+'Predicted PPIs'!S51)))*IF(D$36=".", 1, (D52/D51)^(('Summary, PPI''s'!$D52+'Summary, PPI''s'!$D51)/('Predicted PPIs'!S52+'Predicted PPIs'!S51)))*IF(N$36=".", 1, (N52/N51)^(('Summary, PPI''s'!$N52+'Summary, PPI''s'!$N51)/('Predicted PPIs'!S52+'Predicted PPIs'!S51)))*IF(O$36=".", 1, (O52/O51)^(('Summary, PPI''s'!$O52+'Summary, PPI''s'!$O51)/('Predicted PPIs'!S52+'Predicted PPIs'!S51)))*IF(P$36=".", 1, (P52/P51)^(('Summary, PPI''s'!$P52+'Summary, PPI''s'!$P51)/('Predicted PPIs'!S52+'Predicted PPIs'!S51)))</f>
        <v>#VALUE!</v>
      </c>
      <c r="AB52" s="4" t="e">
        <f>AB51*IF(E$46=".", 1, (E52/E51)^(('Summary, PPI''s'!$E52+'Summary, PPI''s'!$E51)/('Predicted PPIs'!T52+'Predicted PPIs'!T51)))*IF(F$46=".", 1, (F52/F51)^(('Summary, PPI''s'!$F52+'Summary, PPI''s'!$F51)/('Predicted PPIs'!T52+'Predicted PPIs'!T51)))*IF(G$46=".", 1, (G52/G51)^(('Summary, PPI''s'!$G52+'Summary, PPI''s'!$G51)/('Predicted PPIs'!T52+'Predicted PPIs'!T51)))*IF(H$46=".", 1, (H52/H51)^(('Summary, PPI''s'!$H52+'Summary, PPI''s'!$H51)/('Predicted PPIs'!T52+'Predicted PPIs'!T51)))*IF(I$46=".", 1, (I52/I51)^(('Summary, PPI''s'!$I52+'Summary, PPI''s'!$I51)/('Predicted PPIs'!T52+'Predicted PPIs'!T51)))*IF(J$46=".", 1, (J52/J51)^(('Summary, PPI''s'!$J52+'Summary, PPI''s'!$J51)/('Predicted PPIs'!T52+'Predicted PPIs'!T51)))*IF(K$46=".", 1, (K52/K51)^(('Summary, PPI''s'!$K52+'Summary, PPI''s'!$K51)/('Predicted PPIs'!T52+'Predicted PPIs'!T51)))*IF(L$46=".", 1, (L52/L51)^(('Summary, PPI''s'!$L52+'Summary, PPI''s'!$L51)/('Predicted PPIs'!T52+'Predicted PPIs'!T51)))*IF(M$46=".", 1, (M52/M51)^(('Summary, PPI''s'!$M52+'Summary, PPI''s'!$M51)/('Predicted PPIs'!T52+'Predicted PPIs'!T51)))*IF(B$46=".", 1, (B52/B51)^(('Summary, PPI''s'!$B52+'Summary, PPI''s'!$B51)/('Predicted PPIs'!T52+'Predicted PPIs'!T51)))*IF(C$46=".", 1, (C52/C51)^(('Summary, PPI''s'!$C52+'Summary, PPI''s'!$C51)/('Predicted PPIs'!T52+'Predicted PPIs'!T51)))*IF(D$46=".", 1, (D52/D51)^(('Summary, PPI''s'!$D52+'Summary, PPI''s'!$D51)/('Predicted PPIs'!T52+'Predicted PPIs'!T51)))*IF(N$46=".", 1, (N52/N51)^(('Summary, PPI''s'!$N52+'Summary, PPI''s'!$N51)/('Predicted PPIs'!T52+'Predicted PPIs'!T51)))*IF(O$46=".", 1, (O52/O51)^(('Summary, PPI''s'!$O52+'Summary, PPI''s'!$O51)/('Predicted PPIs'!T52+'Predicted PPIs'!T51)))*IF(P$46=".", 1, (P52/P51)^(('Summary, PPI''s'!$P52+'Summary, PPI''s'!$P51)/('Predicted PPIs'!T52+'Predicted PPIs'!T51)))</f>
        <v>#VALUE!</v>
      </c>
      <c r="AC52" s="4">
        <f>AC51*IF(E$60=".",1,(E52/E51)^(('Summary, PPI''s'!$E52+'Summary, PPI''s'!$E51)/('Predicted PPIs'!U52+'Predicted PPIs'!U51)))*IF(F$60=".",1,(F52/F51)^(('Summary, PPI''s'!$F52+'Summary, PPI''s'!$F51)/('Predicted PPIs'!U52+'Predicted PPIs'!U51)))*IF(G$60=".",1,(G52/G51)^(('Summary, PPI''s'!$G52+'Summary, PPI''s'!$G51)/('Predicted PPIs'!U52+'Predicted PPIs'!U51)))*IF(H$60=".",1,(H52/H51)^(('Summary, PPI''s'!$H52+'Summary, PPI''s'!$H51)/('Predicted PPIs'!U52+'Predicted PPIs'!U51)))*IF(I$60=".",1,(I52/I51)^(('Summary, PPI''s'!$I52+'Summary, PPI''s'!$I51)/('Predicted PPIs'!U52+'Predicted PPIs'!U51)))*IF(J$60=".",1,(J52/J51)^(('Summary, PPI''s'!$J52+'Summary, PPI''s'!$J51)/('Predicted PPIs'!U52+'Predicted PPIs'!U51)))*IF(K$60=".",1,(K52/K51)^(('Summary, PPI''s'!$K52+'Summary, PPI''s'!$K51)/('Predicted PPIs'!U52+'Predicted PPIs'!U51)))*IF(L$60=".",1,(L52/L51)^(('Summary, PPI''s'!$L52+'Summary, PPI''s'!$L51)/('Predicted PPIs'!U52+'Predicted PPIs'!U51)))*IF(M$60=".",1,(M52/M51)^(('Summary, PPI''s'!$M52+'Summary, PPI''s'!$M51)/('Predicted PPIs'!U52+'Predicted PPIs'!U51)))*IF(B$60=".",1,(B52/B51)^(('Summary, PPI''s'!$B52+'Summary, PPI''s'!$B51)/('Predicted PPIs'!U52+'Predicted PPIs'!U51)))*IF(C$60=".",1,(C52/C51)^(('Summary, PPI''s'!$C52+'Summary, PPI''s'!$C51)/('Predicted PPIs'!U52+'Predicted PPIs'!U51)))*IF(D$60=".",1,(D52/D51)^(('Summary, PPI''s'!$D52+'Summary, PPI''s'!$D51)/('Predicted PPIs'!U52+'Predicted PPIs'!U51)))*IF(N$60=".",1,(N52/N51)^(('Summary, PPI''s'!$N52+'Summary, PPI''s'!$N51)/('Predicted PPIs'!U52+'Predicted PPIs'!U51)))*IF(O$60=".",1,(O52/O51)^(('Summary, PPI''s'!$O52+'Summary, PPI''s'!$O51)/('Predicted PPIs'!U52+'Predicted PPIs'!U51)))*IF(P$60=".",1,(P52/P51)^(('Summary, PPI''s'!$P52+'Summary, PPI''s'!$P51)/('Predicted PPIs'!U52+'Predicted PPIs'!U51)))</f>
        <v>14.815911121653809</v>
      </c>
      <c r="AD52" s="4">
        <f>AD51*IF(E$73=".", 1, (E52/E51)^(('Summary, PPI''s'!$E52+'Summary, PPI''s'!$E51)/('Predicted PPIs'!V52+'Predicted PPIs'!V51)))*IF(F$73=".", 1, (F52/F51)^(('Summary, PPI''s'!$F52+'Summary, PPI''s'!$F51)/('Predicted PPIs'!V52+'Predicted PPIs'!V51)))*IF(G$73=".", 1, (G52/G51)^(('Summary, PPI''s'!$G52+'Summary, PPI''s'!$G51)/('Predicted PPIs'!V52+'Predicted PPIs'!V51)))*IF(H$73=".", 1, (H52/H51)^(('Summary, PPI''s'!$H52+'Summary, PPI''s'!$H51)/('Predicted PPIs'!V52+'Predicted PPIs'!V51)))*IF(I$73=".", 1, (I52/I51)^(('Summary, PPI''s'!$I52+'Summary, PPI''s'!$I51)/('Predicted PPIs'!V52+'Predicted PPIs'!V51)))*IF(J$73=".", 1, (J52/J51)^(('Summary, PPI''s'!$J52+'Summary, PPI''s'!$J51)/('Predicted PPIs'!V52+'Predicted PPIs'!V51)))*IF(K$73=".", 1, (K52/K51)^(('Summary, PPI''s'!$K52+'Summary, PPI''s'!$K51)/('Predicted PPIs'!V52+'Predicted PPIs'!V51)))*IF(L$73=".", 1, (L52/L51)^(('Summary, PPI''s'!$L52+'Summary, PPI''s'!$L51)/('Predicted PPIs'!V52+'Predicted PPIs'!V51)))*IF(M$73=".", 1, (M52/M51)^(('Summary, PPI''s'!$M52+'Summary, PPI''s'!$M51)/('Predicted PPIs'!V52+'Predicted PPIs'!V51)))*IF(B$73=".", 1, (B52/B51)^(('Summary, PPI''s'!$B52+'Summary, PPI''s'!$B51)/('Predicted PPIs'!V52+'Predicted PPIs'!V51)))*IF(C$73=".", 1, (C52/C51)^(('Summary, PPI''s'!$C52+'Summary, PPI''s'!$C51)/('Predicted PPIs'!V52+'Predicted PPIs'!V51)))*IF(D$73=".", 1, (D52/D51)^(('Summary, PPI''s'!$D52+'Summary, PPI''s'!$D51)/('Predicted PPIs'!V52+'Predicted PPIs'!V51)))*IF(N$73=".", 1, (N52/N51)^(('Summary, PPI''s'!$N52+'Summary, PPI''s'!$N51)/('Predicted PPIs'!V52+'Predicted PPIs'!V51)))*IF(O$73=".", 1, (O52/O51)^(('Summary, PPI''s'!$O52+'Summary, PPI''s'!$O51)/('Predicted PPIs'!V52+'Predicted PPIs'!V51)))*IF(P$73=".", 1, (P52/P51)^(('Summary, PPI''s'!$P52+'Summary, PPI''s'!$P51)/('Predicted PPIs'!V52+'Predicted PPIs'!V51)))</f>
        <v>14.072477097149786</v>
      </c>
      <c r="AE52" s="4">
        <f>AE51*IF(E$94=".", 1, (E52/E51)^(('Summary, PPI''s'!$E52+'Summary, PPI''s'!$E51)/('Predicted PPIs'!W52+'Predicted PPIs'!W51)))*IF(F$94=".", 1, (F52/F51)^(('Summary, PPI''s'!$F52+'Summary, PPI''s'!$F51)/('Predicted PPIs'!W52+'Predicted PPIs'!W51)))*IF(G$94=".", 1, (G52/G51)^(('Summary, PPI''s'!$G52+'Summary, PPI''s'!$G51)/('Predicted PPIs'!W52+'Predicted PPIs'!W51)))*IF(H$94=".", 1, (H52/H51)^(('Summary, PPI''s'!$H52+'Summary, PPI''s'!$H51)/('Predicted PPIs'!W52+'Predicted PPIs'!W51)))*IF(I$94=".", 1, (I52/I51)^(('Summary, PPI''s'!$I52+'Summary, PPI''s'!$I51)/('Predicted PPIs'!W52+'Predicted PPIs'!W51)))*IF(J$94=".", 1, (J52/J51)^(('Summary, PPI''s'!$J52+'Summary, PPI''s'!$J51)/('Predicted PPIs'!W52+'Predicted PPIs'!W51)))*IF(K$94=".", 1, (K52/K51)^(('Summary, PPI''s'!$K52+'Summary, PPI''s'!$K51)/('Predicted PPIs'!W52+'Predicted PPIs'!W51)))*IF(L$94=".", 1, (L52/L51)^(('Summary, PPI''s'!$L52+'Summary, PPI''s'!$L51)/('Predicted PPIs'!W52+'Predicted PPIs'!W51)))*IF(M$94=".", 1, (M52/M51)^(('Summary, PPI''s'!$M52+'Summary, PPI''s'!$M51)/('Predicted PPIs'!W52+'Predicted PPIs'!W51)))*IF(B$94=".", 1, (B52/B51)^(('Summary, PPI''s'!$B52+'Summary, PPI''s'!$B51)/('Predicted PPIs'!W52+'Predicted PPIs'!W51)))*IF(C$94=".", 1, (C52/C51)^(('Summary, PPI''s'!$C52+'Summary, PPI''s'!$C51)/('Predicted PPIs'!W52+'Predicted PPIs'!W51)))*IF(D$94=".", 1, (D52/D51)^(('Summary, PPI''s'!$D52+'Summary, PPI''s'!$D51)/('Predicted PPIs'!W52+'Predicted PPIs'!W51)))*IF(N$94=".", 1, (N52/N51)^(('Summary, PPI''s'!$N52+'Summary, PPI''s'!$N51)/('Predicted PPIs'!W52+'Predicted PPIs'!W51)))*IF(O$94=".", 1, (O52/O51)^(('Summary, PPI''s'!$O52+'Summary, PPI''s'!$O51)/('Predicted PPIs'!W52+'Predicted PPIs'!W51)))*IF(P$94=".", 1, (P52/P51)^(('Summary, PPI''s'!$P52+'Summary, PPI''s'!$P51)/('Predicted PPIs'!W52+'Predicted PPIs'!W51)))</f>
        <v>12.995846471322105</v>
      </c>
      <c r="AF52" s="4">
        <f>AF51*IF(E$123=".", 1, (E52/E51)^(('Summary, PPI''s'!$E52+'Summary, PPI''s'!$E51)/('Predicted PPIs'!X52+'Predicted PPIs'!X51)))*IF(F$123=".", 1, (F52/F51)^(('Summary, PPI''s'!$F52+'Summary, PPI''s'!$F51)/('Predicted PPIs'!X52+'Predicted PPIs'!X51)))*IF(G$123=".", 1, (G52/G51)^(('Summary, PPI''s'!$G52+'Summary, PPI''s'!$G51)/('Predicted PPIs'!X52+'Predicted PPIs'!X51)))*IF(H$123=".", 1, (H52/H51)^(('Summary, PPI''s'!$H52+'Summary, PPI''s'!$H51)/('Predicted PPIs'!X52+'Predicted PPIs'!X51)))*IF(I$123=".", 1, (I52/I51)^(('Summary, PPI''s'!$I52+'Summary, PPI''s'!$I51)/('Predicted PPIs'!X52+'Predicted PPIs'!X51)))*IF(J$123=".", 1, (J52/J51)^(('Summary, PPI''s'!$J52+'Summary, PPI''s'!$J51)/('Predicted PPIs'!X52+'Predicted PPIs'!X51)))*IF(K$123=".", 1, (K52/K51)^(('Summary, PPI''s'!$K52+'Summary, PPI''s'!$K51)/('Predicted PPIs'!X52+'Predicted PPIs'!X51)))*IF(L$123=".", 1, (L52/L51)^(('Summary, PPI''s'!$L52+'Summary, PPI''s'!$L51)/('Predicted PPIs'!X52+'Predicted PPIs'!X51)))*IF(M$123=".", 1, (M52/M51)^(('Summary, PPI''s'!$M52+'Summary, PPI''s'!$M51)/('Predicted PPIs'!X52+'Predicted PPIs'!X51)))*IF(B$123=".", 1, (B52/B51)^(('Summary, PPI''s'!$B52+'Summary, PPI''s'!$B51)/('Predicted PPIs'!X52+'Predicted PPIs'!X51)))*IF(C$123=".", 1, (C52/C51)^(('Summary, PPI''s'!$C52+'Summary, PPI''s'!$C51)/('Predicted PPIs'!X52+'Predicted PPIs'!X51)))*IF(D$123=".", 1, (D52/D51)^(('Summary, PPI''s'!$D52+'Summary, PPI''s'!$D51)/('Predicted PPIs'!X52+'Predicted PPIs'!X51)))*IF(N$123=".", 1, (N52/N51)^(('Summary, PPI''s'!$N52+'Summary, PPI''s'!$N51)/('Predicted PPIs'!X52+'Predicted PPIs'!X51)))*IF(O$123=".", 1, (O52/O51)^(('Summary, PPI''s'!$O52+'Summary, PPI''s'!$O51)/('Predicted PPIs'!X52+'Predicted PPIs'!X51)))*IF(P$123=".", 1, (P52/P51)^(('Summary, PPI''s'!$P52+'Summary, PPI''s'!$P51)/('Predicted PPIs'!X52+'Predicted PPIs'!X51)))</f>
        <v>12.105411698326096</v>
      </c>
      <c r="AH52" s="13">
        <f t="shared" si="91"/>
        <v>16.38237311991638</v>
      </c>
      <c r="AJ52" s="4">
        <v>699.9</v>
      </c>
      <c r="AK52" s="4">
        <v>-0.74399999999999999</v>
      </c>
      <c r="AL52" s="4">
        <v>-67.343999999999994</v>
      </c>
      <c r="AM52" s="4">
        <v>-3.4750000000000001</v>
      </c>
      <c r="AN52" s="4">
        <v>823.3</v>
      </c>
      <c r="AO52" s="4">
        <v>186.6</v>
      </c>
      <c r="AP52" s="4">
        <f>('[3]1971'!$I$14+'[3]1971'!$I$69+'[3]1971'!$I$71-'[3]1971'!$I$73)*0.001</f>
        <v>-11.644</v>
      </c>
      <c r="AQ52" s="4">
        <f>('[3]1971'!$AY$56+'[3]1971'!$AY$69+'[3]1971'!$AY$71-'[3]1971'!$AY$73)*0.001</f>
        <v>-34.901000000000003</v>
      </c>
      <c r="AR52" s="4">
        <f>AR$38*2410/23762</f>
        <v>-1.1347142496422862</v>
      </c>
      <c r="AS52" s="4">
        <v>-4.3559999999999999</v>
      </c>
      <c r="AT52" s="4">
        <v>21.797999999999998</v>
      </c>
      <c r="AU52" s="4">
        <v>29.463000000000001</v>
      </c>
      <c r="AV52" s="4">
        <v>18.030999999999999</v>
      </c>
      <c r="AW52" s="4">
        <v>20.501999999999999</v>
      </c>
      <c r="AX52" s="4">
        <v>20.591000000000001</v>
      </c>
      <c r="AY52" s="4">
        <v>30.134</v>
      </c>
      <c r="AZ52" s="4">
        <v>12.757</v>
      </c>
      <c r="BA52" s="4">
        <v>22.442</v>
      </c>
      <c r="BB52" s="4">
        <f>BB$38*159.905/184.05</f>
        <v>89.470344471610986</v>
      </c>
      <c r="BC52" s="4">
        <v>29.347999999999999</v>
      </c>
      <c r="BG52" s="4">
        <f t="shared" si="50"/>
        <v>30.64005424412592</v>
      </c>
      <c r="BI52" s="4">
        <f>BI$13*'[2]Ordinary Experience'!$D$374/'[2]Ordinary Experience'!$D$413</f>
        <v>205691840.97537786</v>
      </c>
      <c r="BJ52" s="4">
        <f>'[2]Ordinary Experience'!$E$374</f>
        <v>27.846538538156121</v>
      </c>
      <c r="BL52" s="4">
        <f t="shared" si="90"/>
        <v>52.089599987156973</v>
      </c>
      <c r="BM52" s="4">
        <f t="shared" si="34"/>
        <v>1.8831195896033659E-2</v>
      </c>
      <c r="BO52" s="4">
        <f>IF(OR('Summary, hourly ad costs'!R52=-9999,'Summary, PPI''s'!R52="."),".",(('Summary, hourly ad costs'!B52/'Summary, hourly ad costs'!R52)*100/('Summary, hourly ad costs'!B$11/'Summary, hourly ad costs'!R$11))/('Summary, PPI''s'!R52))</f>
        <v>1.7368338058837769</v>
      </c>
      <c r="BP52" s="4" t="str">
        <f>IF(OR('Summary, hourly ad costs'!S52=-9999,'Summary, PPI''s'!S52="."),".",(('Summary, hourly ad costs'!C52/'Summary, hourly ad costs'!S52)*100/('Summary, hourly ad costs'!C$11/'Summary, hourly ad costs'!S$11))/('Summary, PPI''s'!S52))</f>
        <v>.</v>
      </c>
      <c r="BQ52" s="4" t="str">
        <f>IF(OR('Summary, hourly ad costs'!T52=-9999,'Summary, PPI''s'!T52="."),".",(('Summary, hourly ad costs'!D52/'Summary, hourly ad costs'!T52)*100/('Summary, hourly ad costs'!D$11/'Summary, hourly ad costs'!T$11))/('Summary, PPI''s'!T52))</f>
        <v>.</v>
      </c>
      <c r="BR52" s="4">
        <f>IF(OR('Summary, hourly ad costs'!U52=-9999,'Summary, PPI''s'!U52="."),".",(('Summary, hourly ad costs'!E52/'Summary, hourly ad costs'!U52)*100/('Summary, hourly ad costs'!E$11/'Summary, hourly ad costs'!U$11))/('Summary, PPI''s'!U52))</f>
        <v>2.0008677307578275</v>
      </c>
      <c r="BS52" s="4">
        <f>IF(OR('Summary, hourly ad costs'!V52=-9999,'Summary, PPI''s'!V52="."),".",(('Summary, hourly ad costs'!F52/'Summary, hourly ad costs'!V52)*100/('Summary, hourly ad costs'!F$11/'Summary, hourly ad costs'!V$11))/('Summary, PPI''s'!V52))</f>
        <v>1.6451911517229163</v>
      </c>
      <c r="BT52" s="4" t="str">
        <f>IF(OR('Summary, hourly ad costs'!W52=-9999,'Summary, PPI''s'!W52="."),".",(('Summary, hourly ad costs'!G52/'Summary, hourly ad costs'!W52)*100/('Summary, hourly ad costs'!G$11/'Summary, hourly ad costs'!W$11))/('Summary, PPI''s'!W52))</f>
        <v>.</v>
      </c>
      <c r="BU52" s="4">
        <f>IF(OR('Summary, hourly ad costs'!X52=-9999,'Summary, PPI''s'!X52="."),".",(('Summary, hourly ad costs'!H52/'Summary, hourly ad costs'!X52)*100/('Summary, hourly ad costs'!H$11/'Summary, hourly ad costs'!X$11))/('Summary, PPI''s'!X52))</f>
        <v>1.1131526969157122</v>
      </c>
      <c r="BV52" s="4" t="str">
        <f>IF(OR('Summary, hourly ad costs'!Y52=-9999,'Summary, PPI''s'!Y52="."),".",(('Summary, hourly ad costs'!I52/'Summary, hourly ad costs'!Y52)*100/('Summary, hourly ad costs'!I$11/'Summary, hourly ad costs'!Y$11))/('Summary, PPI''s'!Y52))</f>
        <v>.</v>
      </c>
      <c r="BW52" s="4" t="str">
        <f>IF(OR('Summary, hourly ad costs'!Z52=-9999,'Summary, PPI''s'!Z52="."),".",(('Summary, hourly ad costs'!J52/'Summary, hourly ad costs'!Z52)*100/('Summary, hourly ad costs'!J$11/'Summary, hourly ad costs'!Z$11))/('Summary, PPI''s'!Z52))</f>
        <v>.</v>
      </c>
      <c r="BX52" s="4" t="str">
        <f>IF(OR('Summary, hourly ad costs'!AA52=-9999,'Summary, PPI''s'!AA52="."),".",(('Summary, hourly ad costs'!K52/'Summary, hourly ad costs'!AA52)*100/('Summary, hourly ad costs'!K$11/'Summary, hourly ad costs'!AA$11))/('Summary, PPI''s'!AA52))</f>
        <v>.</v>
      </c>
      <c r="BY52" s="4" t="str">
        <f>IF(OR('Summary, hourly ad costs'!AB52=-9999,'Summary, PPI''s'!AB52="."),".",(('Summary, hourly ad costs'!L52/'Summary, hourly ad costs'!AB52)*100/('Summary, hourly ad costs'!L$11/'Summary, hourly ad costs'!AB$11))/('Summary, PPI''s'!AB52))</f>
        <v>.</v>
      </c>
      <c r="BZ52" s="4" t="str">
        <f>IF(OR('Summary, hourly ad costs'!AC52=-9999,'Summary, PPI''s'!AC52="."),".",(('Summary, hourly ad costs'!M52/'Summary, hourly ad costs'!AC52)*100/('Summary, hourly ad costs'!M$11/'Summary, hourly ad costs'!AC$11))/('Summary, PPI''s'!AC52))</f>
        <v>.</v>
      </c>
      <c r="CA52" s="4" t="str">
        <f>IF(OR('Summary, hourly ad costs'!AD52=-9999,'Summary, PPI''s'!AD52="."),".",(('Summary, hourly ad costs'!N52/'Summary, hourly ad costs'!AD52)*100/('Summary, hourly ad costs'!N$11/'Summary, hourly ad costs'!AD$11))/('Summary, PPI''s'!AD52))</f>
        <v>.</v>
      </c>
      <c r="CB52" s="4" t="str">
        <f>IF(OR('Summary, hourly ad costs'!AE52=-9999,'Summary, PPI''s'!AE52="."),".",(('Summary, hourly ad costs'!O52/'Summary, hourly ad costs'!AE52)*100/('Summary, hourly ad costs'!O$11/'Summary, hourly ad costs'!AE$11))/('Summary, PPI''s'!AE52))</f>
        <v>.</v>
      </c>
      <c r="CC52" s="4" t="str">
        <f>IF(OR('Summary, hourly ad costs'!AF52=-9999,'Summary, PPI''s'!AF52="."),".",(('Summary, hourly ad costs'!P52/'Summary, hourly ad costs'!AF52)*100/('Summary, hourly ad costs'!P$11/'Summary, hourly ad costs'!AF$11))/('Summary, PPI''s'!AF52))</f>
        <v>.</v>
      </c>
      <c r="CE52" s="4">
        <f t="shared" si="113"/>
        <v>1.2093945166851361E-2</v>
      </c>
      <c r="CF52" s="4" t="str">
        <f t="shared" si="114"/>
        <v>.</v>
      </c>
      <c r="CG52" s="4" t="str">
        <f t="shared" si="115"/>
        <v>.</v>
      </c>
      <c r="CH52" s="4">
        <f t="shared" si="116"/>
        <v>3.2264811094626866E-2</v>
      </c>
      <c r="CI52" s="4">
        <f t="shared" si="117"/>
        <v>2.4097936969433187E-2</v>
      </c>
      <c r="CJ52" s="4" t="str">
        <f t="shared" si="118"/>
        <v>.</v>
      </c>
      <c r="CK52" s="4">
        <f t="shared" si="119"/>
        <v>1.6777088456265687E-5</v>
      </c>
      <c r="CL52" s="4">
        <f t="shared" si="130"/>
        <v>3.3839414027714149E-3</v>
      </c>
      <c r="CM52" s="4">
        <f t="shared" si="130"/>
        <v>1.7717186908539195E-2</v>
      </c>
      <c r="CN52" s="4">
        <f t="shared" si="89"/>
        <v>-1.0981026901679371E-2</v>
      </c>
      <c r="CO52" s="4">
        <f t="shared" si="120"/>
        <v>0.11787218234676401</v>
      </c>
      <c r="CP52" s="4">
        <f t="shared" si="120"/>
        <v>0.14102581316660337</v>
      </c>
      <c r="CQ52" s="4" t="str">
        <f t="shared" si="110"/>
        <v>.</v>
      </c>
      <c r="CR52" s="4" t="str">
        <f t="shared" si="111"/>
        <v>.</v>
      </c>
      <c r="CS52" s="4" t="str">
        <f t="shared" si="112"/>
        <v>.</v>
      </c>
      <c r="CU52" s="5">
        <f>IF(CU51=".", ".", IF('Summary, PPI''s'!R52=".",IF(OR('Summary, hourly ad costs'!R52=-9999,'Summary, hourly ad costs'!R52=0), ".", 'Predicted PPIs'!CU51*('Summary, hourly ad costs'!B52/'Summary, hourly ad costs'!R52)/('Summary, hourly ad costs'!B51/'Summary, hourly ad costs'!R51)/(1-CE51)), 'Summary, PPI''s'!R52))</f>
        <v>26.474569646765477</v>
      </c>
      <c r="CV52" s="5">
        <f>IF(CV51=".", ".", IF('Summary, PPI''s'!S52=".",IF(OR('Summary, hourly ad costs'!S52=-9999,'Summary, hourly ad costs'!S52=0), ".", 'Predicted PPIs'!CV51*('Summary, hourly ad costs'!C52/'Summary, hourly ad costs'!S52)/('Summary, hourly ad costs'!C51/'Summary, hourly ad costs'!S51)/(1-CF51)), 'Summary, PPI''s'!S52))</f>
        <v>26.474569646765477</v>
      </c>
      <c r="CW52" s="5" t="str">
        <f>IF(CW51=".", ".", IF('Summary, PPI''s'!T52=".",IF(OR('Summary, hourly ad costs'!T52=-9999,'Summary, hourly ad costs'!T52=0), ".", 'Predicted PPIs'!CW51*('Summary, hourly ad costs'!D52/'Summary, hourly ad costs'!T52)/('Summary, hourly ad costs'!D51/'Summary, hourly ad costs'!T51)/(1-CG51)), 'Summary, PPI''s'!T52))</f>
        <v>.</v>
      </c>
      <c r="CX52" s="5">
        <f>IF(CX51=".", ".", IF('Summary, PPI''s'!U52=".",IF(OR('Summary, hourly ad costs'!U52=-9999,'Summary, hourly ad costs'!U52=0), ".", 'Predicted PPIs'!CX51*('Summary, hourly ad costs'!E52/'Summary, hourly ad costs'!U52)/('Summary, hourly ad costs'!E51/'Summary, hourly ad costs'!U51)/(1-CH51)), 'Summary, PPI''s'!U52))</f>
        <v>9.8371247636894168</v>
      </c>
      <c r="CY52" s="5">
        <f>IF(CY51=".", ".", IF('Summary, PPI''s'!V52=".",IF(OR('Summary, hourly ad costs'!V52=-9999,'Summary, hourly ad costs'!V52=0), ".", 'Predicted PPIs'!CY51*('Summary, hourly ad costs'!F52/'Summary, hourly ad costs'!V52)/('Summary, hourly ad costs'!F51/'Summary, hourly ad costs'!V51)/(1-CI51)), 'Summary, PPI''s'!V52))</f>
        <v>14.239729749200908</v>
      </c>
      <c r="CZ52" s="5">
        <f>IF(CZ51=".", ".", IF('Summary, PPI''s'!W52=".",IF(OR('Summary, hourly ad costs'!W52=-9999,'Summary, hourly ad costs'!W52=0), ".", 'Predicted PPIs'!CZ51*('Summary, hourly ad costs'!G52/'Summary, hourly ad costs'!W52)/('Summary, hourly ad costs'!G51/'Summary, hourly ad costs'!W51)/(1-CJ51)), 'Summary, PPI''s'!W52))</f>
        <v>12.161640034656093</v>
      </c>
      <c r="DA52" s="5">
        <f>IF(DA51=".", ".", IF('Summary, PPI''s'!X52=".",IF(OR('Summary, hourly ad costs'!X52=-9999,'Summary, hourly ad costs'!X52=0), ".", 'Predicted PPIs'!DA51*('Summary, hourly ad costs'!H52/'Summary, hourly ad costs'!X52)/('Summary, hourly ad costs'!H51/'Summary, hourly ad costs'!X51)/(1-CK51)), 'Summary, PPI''s'!X52))</f>
        <v>18.530999999999999</v>
      </c>
      <c r="DB52" s="5">
        <f>IF(DB51=".", ".", IF('Summary, PPI''s'!Y52=".",IF(OR('Summary, hourly ad costs'!Y52=-9999,'Summary, hourly ad costs'!Y52=0), ".", 'Predicted PPIs'!DB51*('Summary, hourly ad costs'!I52/'Summary, hourly ad costs'!Y52)/('Summary, hourly ad costs'!I51/'Summary, hourly ad costs'!Y51)/(1-CL51)), 'Summary, PPI''s'!Y52))</f>
        <v>15.741857977002633</v>
      </c>
      <c r="DC52" s="5">
        <f>IF(DC51=".", ".", IF('Summary, PPI''s'!Z52=".",IF(OR('Summary, hourly ad costs'!Z52=-9999,'Summary, hourly ad costs'!Z52=0), ".", 'Predicted PPIs'!DC51*('Summary, hourly ad costs'!J52/'Summary, hourly ad costs'!Z52)/('Summary, hourly ad costs'!J51/'Summary, hourly ad costs'!Z51)/(1-CM51)), 'Summary, PPI''s'!Z52))</f>
        <v>16.814464762114802</v>
      </c>
      <c r="DD52" s="5" t="str">
        <f>IF(DD51=".", ".", IF('Summary, PPI''s'!AA52=".",IF(OR('Summary, hourly ad costs'!AA52=-9999,'Summary, hourly ad costs'!AA52=0), ".", 'Predicted PPIs'!DD51*('Summary, hourly ad costs'!K52/'Summary, hourly ad costs'!AA52)/('Summary, hourly ad costs'!K51/'Summary, hourly ad costs'!AA51)/(1-CN51)), 'Summary, PPI''s'!AA52))</f>
        <v>.</v>
      </c>
      <c r="DE52" s="5" t="str">
        <f>IF(DE51=".", ".", IF('Summary, PPI''s'!AB52=".",IF(OR('Summary, hourly ad costs'!AB52=-9999,'Summary, hourly ad costs'!AB52=0), ".", 'Predicted PPIs'!DE51*('Summary, hourly ad costs'!L52/'Summary, hourly ad costs'!AB52)/('Summary, hourly ad costs'!L51/'Summary, hourly ad costs'!AB51)/(1-CO51)), 'Summary, PPI''s'!AB52))</f>
        <v>.</v>
      </c>
      <c r="DF52" s="5" t="str">
        <f>IF(DF51=".", ".", IF('Summary, PPI''s'!AC52=".",IF(OR('Summary, hourly ad costs'!AC52=-9999,'Summary, hourly ad costs'!AC52=0), ".", 'Predicted PPIs'!DF51*('Summary, hourly ad costs'!M52/'Summary, hourly ad costs'!AC52)/('Summary, hourly ad costs'!M51/'Summary, hourly ad costs'!AC51)/(1-CP51)), 'Summary, PPI''s'!AC52))</f>
        <v>.</v>
      </c>
      <c r="DG52" s="5" t="str">
        <f>IF(DG51=".", ".", IF('Summary, PPI''s'!AD52=".",IF(OR('Summary, hourly ad costs'!AD52=-9999,'Summary, hourly ad costs'!AD52=0), ".", 'Predicted PPIs'!DG51*('Summary, hourly ad costs'!N52/'Summary, hourly ad costs'!AD52)/('Summary, hourly ad costs'!N51/'Summary, hourly ad costs'!AD51)/(1-CQ51)), 'Summary, PPI''s'!AD52))</f>
        <v>.</v>
      </c>
      <c r="DH52" s="5" t="str">
        <f>IF(DH51=".", ".", IF('Summary, PPI''s'!AE52=".",IF(OR('Summary, hourly ad costs'!AE52=-9999,'Summary, hourly ad costs'!AE52=0), ".", 'Predicted PPIs'!DH51*('Summary, hourly ad costs'!O52/'Summary, hourly ad costs'!AE52)/('Summary, hourly ad costs'!O51/'Summary, hourly ad costs'!AE51)/(1-CR51)), 'Summary, PPI''s'!AE52))</f>
        <v>.</v>
      </c>
      <c r="DI52" s="5" t="str">
        <f>IF(DI51=".", ".", IF('Summary, PPI''s'!AF52=".",IF(OR('Summary, hourly ad costs'!AF52=-9999,'Summary, hourly ad costs'!AF52=0), ".", 'Predicted PPIs'!DI51*('Summary, hourly ad costs'!P52/'Summary, hourly ad costs'!AF52)/('Summary, hourly ad costs'!P51/'Summary, hourly ad costs'!AF51)/(1-CS51)), 'Summary, PPI''s'!AF52))</f>
        <v>.</v>
      </c>
      <c r="DK52" s="4">
        <v>9.7010000000000005</v>
      </c>
      <c r="DM52" s="5">
        <f t="shared" si="121"/>
        <v>-3.2365126612127648E-2</v>
      </c>
      <c r="DN52" s="5">
        <f t="shared" si="122"/>
        <v>-3.2365126612127648E-2</v>
      </c>
      <c r="DO52" s="4">
        <f t="shared" si="123"/>
        <v>-2.2714492274456016E-2</v>
      </c>
      <c r="DP52" s="5">
        <f t="shared" si="124"/>
        <v>-2.7631823838838665E-2</v>
      </c>
      <c r="DQ52" s="5">
        <f t="shared" si="125"/>
        <v>-6.1540047417792176E-2</v>
      </c>
      <c r="DR52" s="5">
        <f t="shared" si="126"/>
        <v>-2.6602989524238119E-4</v>
      </c>
      <c r="DS52" s="5">
        <f t="shared" si="127"/>
        <v>-6.5351967265984134E-3</v>
      </c>
      <c r="DT52" s="5">
        <f t="shared" si="128"/>
        <v>2.4900148772462938E-2</v>
      </c>
      <c r="DU52" s="5">
        <f t="shared" si="129"/>
        <v>-0.15520142377200252</v>
      </c>
      <c r="DV52" s="4">
        <f t="shared" si="131"/>
        <v>1.4943364382557904E-4</v>
      </c>
      <c r="DW52" s="4">
        <f t="shared" si="78"/>
        <v>-7.2647139952123962E-2</v>
      </c>
      <c r="DX52" s="4">
        <f t="shared" si="78"/>
        <v>-4.1100063514450808E-2</v>
      </c>
      <c r="DY52" s="4">
        <f t="shared" si="108"/>
        <v>-1.7754815446485758E-2</v>
      </c>
      <c r="DZ52" s="4">
        <f t="shared" si="132"/>
        <v>-1.1160117787209621E-2</v>
      </c>
      <c r="EA52" s="4">
        <f t="shared" si="109"/>
        <v>-1.0479639418113506E-2</v>
      </c>
      <c r="EC52" s="1">
        <f t="shared" si="93"/>
        <v>26.474569646765477</v>
      </c>
      <c r="ED52" s="1">
        <f t="shared" si="94"/>
        <v>26.474569646765477</v>
      </c>
      <c r="EE52" s="1">
        <f t="shared" si="95"/>
        <v>20.606015676664654</v>
      </c>
      <c r="EF52" s="1">
        <f t="shared" si="96"/>
        <v>9.8371247636894168</v>
      </c>
      <c r="EG52" s="1">
        <f t="shared" si="97"/>
        <v>14.239729749200908</v>
      </c>
      <c r="EH52" s="1">
        <f t="shared" si="98"/>
        <v>12.161640034656093</v>
      </c>
      <c r="EI52" s="1">
        <f t="shared" si="99"/>
        <v>18.530999999999999</v>
      </c>
      <c r="EJ52" s="1">
        <f t="shared" si="100"/>
        <v>15.741857977002633</v>
      </c>
      <c r="EK52" s="1">
        <f t="shared" si="101"/>
        <v>16.814464762114802</v>
      </c>
      <c r="EL52" s="1">
        <f t="shared" si="102"/>
        <v>7.9214562475195205</v>
      </c>
      <c r="EM52" s="1">
        <f t="shared" si="103"/>
        <v>9.2320469756473145</v>
      </c>
      <c r="EN52" s="1">
        <f t="shared" si="104"/>
        <v>8.4287083232436597</v>
      </c>
      <c r="EO52" s="1">
        <f t="shared" si="105"/>
        <v>11.767752209072972</v>
      </c>
      <c r="EP52" s="1">
        <f t="shared" si="106"/>
        <v>14.739237963258653</v>
      </c>
      <c r="EQ52" s="1">
        <f t="shared" si="107"/>
        <v>11.276321942213366</v>
      </c>
      <c r="ES52" s="1">
        <f>IF(EF$26=".", 0, 'Summary, PPI''s'!E52)+IF(EG$26=".", 0, 'Summary, PPI''s'!F52)+IF(EH$26=".", 0, 'Summary, PPI''s'!G52)+IF(EI$26=".", 0, 'Summary, PPI''s'!H52)+IF(EJ$26=".", 0, 'Summary, PPI''s'!I52)+IF(EK$26=".", 0, 'Summary, PPI''s'!J52)+IF(EL$26=".", 0, 'Summary, PPI''s'!K52)+IF(EM$26=".", 0, 'Summary, PPI''s'!L52)+IF(EN$26=".", 0, 'Summary, PPI''s'!M52)+IF(EC$26=".", 0, 'Summary, PPI''s'!B52)+IF(ED$26=".", 0, 'Summary, PPI''s'!C52)+IF(EE$26=".", 0, 'Summary, PPI''s'!D52)+IF(EO$26=".", 0, 'Summary, PPI''s'!N52)+IF(EP$26=".", 0, 'Summary, PPI''s'!O52)+IF(EQ$26=".", 0, 'Summary, PPI''s'!P52)</f>
        <v>21220414.833941408</v>
      </c>
      <c r="ET52" s="1">
        <f>'Summary, hourly ad costs'!E52+'Summary, hourly ad costs'!F52+'Summary, hourly ad costs'!H52+'Summary, hourly ad costs'!I52+'Summary, hourly ad costs'!J52+'Summary, hourly ad costs'!K52+'Summary, hourly ad costs'!L52+'Summary, hourly ad costs'!M52+'Summary, hourly ad costs'!B52</f>
        <v>12080426.853733607</v>
      </c>
      <c r="EV52" s="13">
        <f>EV51*IF(EF$26=".", 1, (EF52/EF51)^(('Summary, PPI''s'!$E52+'Summary, PPI''s'!$E51)/('Predicted PPIs'!ES52+'Predicted PPIs'!ES51)))*IF(EG$26=".", 1, (EG52/EG51)^(('Summary, PPI''s'!$F52+'Summary, PPI''s'!$F51)/('Predicted PPIs'!ES52+'Predicted PPIs'!ES51)))*IF(EH$26=".", 1, (EH52/EH51)^(('Summary, PPI''s'!$G52+'Summary, PPI''s'!$G51)/('Predicted PPIs'!ES52+'Predicted PPIs'!ES51)))*IF(EI$26=".", 1, (EI52/EI51)^(('Summary, PPI''s'!$H52+'Summary, PPI''s'!$H51)/('Predicted PPIs'!ES52+'Predicted PPIs'!ES51)))*IF(EJ$26=".", 1, (EJ52/EJ51)^(('Summary, PPI''s'!$I52+'Summary, PPI''s'!$I51)/('Predicted PPIs'!ES52+'Predicted PPIs'!ES51)))*IF(EK$26=".", 1, (EK52/EK51)^(('Summary, PPI''s'!$J52+'Summary, PPI''s'!$J51)/('Predicted PPIs'!ES52+'Predicted PPIs'!ES51)))*IF(EL$26=".", 1, (EL52/EL51)^(('Summary, PPI''s'!$K52+'Summary, PPI''s'!$K51)/('Predicted PPIs'!ES52+'Predicted PPIs'!ES51)))*IF(EM$26=".", 1, (EM52/EM51)^(('Summary, PPI''s'!$L52+'Summary, PPI''s'!$L51)/('Predicted PPIs'!ES52+'Predicted PPIs'!ES51)))*IF(EN$26=".", 1, (EN52/EN51)^(('Summary, PPI''s'!$M52+'Summary, PPI''s'!$M51)/('Predicted PPIs'!ES52+'Predicted PPIs'!ES51)))*IF(EC$26=".", 1, (EC52/EC51)^(('Summary, PPI''s'!$B52+'Summary, PPI''s'!$B51)/('Predicted PPIs'!ES52+'Predicted PPIs'!ES51)))*IF(ED$26=".", 1, (ED52/ED51)^(('Summary, PPI''s'!$C52+'Summary, PPI''s'!$C51)/('Predicted PPIs'!ES52+'Predicted PPIs'!ES51)))*IF(EE$26=".", 1, (EE52/EE51)^(('Summary, PPI''s'!$D52+'Summary, PPI''s'!$D51)/('Predicted PPIs'!ES52+'Predicted PPIs'!ES51)))*IF(EO$26=".", 1, (EO52/EO51)^(('Summary, PPI''s'!$N52+'Summary, PPI''s'!$N51)/('Predicted PPIs'!ES52+'Predicted PPIs'!ES51)))*IF(EP$26=".", 1, (EP52/EP51)^(('Summary, PPI''s'!$O52+'Summary, PPI''s'!$O51)/('Predicted PPIs'!ES52+'Predicted PPIs'!ES51)))*IF(EQ$26=".", 1, (EQ52/EQ51)^(('Summary, PPI''s'!$P52+'Summary, PPI''s'!$P51)/('Predicted PPIs'!ES52+'Predicted PPIs'!ES51)))</f>
        <v>15.685870958555775</v>
      </c>
      <c r="EW52" s="13">
        <f>EW51*IF(EF$26=".", 1, (EF52/EF51)^(('Summary, PPI''s'!$E52+'Summary, PPI''s'!$E51)/('Predicted PPIs'!ET52+'Predicted PPIs'!ET51)))*IF(EG$26=".", 1, (EG52/EG51)^(('Summary, PPI''s'!$F52+'Summary, PPI''s'!$F51)/('Predicted PPIs'!ET52+'Predicted PPIs'!ET51)))*IF(EH$26=".", 1, (EH52/EH51)^(('Summary, PPI''s'!$G52+'Summary, PPI''s'!$G51)/('Predicted PPIs'!ET52+'Predicted PPIs'!ET51)))*IF(EK$26=".", 1, (EK52/EK51)^(('Summary, PPI''s'!$J52+'Summary, PPI''s'!$J51)/('Predicted PPIs'!ET52+'Predicted PPIs'!ET51)))*IF(EL$26=".", 1, (EL52/EL51)^(('Summary, PPI''s'!$K52+'Summary, PPI''s'!$K51)/('Predicted PPIs'!ET52+'Predicted PPIs'!ET51)))*IF(EM$26=".", 1, (EM52/EM51)^(('Summary, PPI''s'!$L52+'Summary, PPI''s'!$L51)/('Predicted PPIs'!ET52+'Predicted PPIs'!ET51)))*IF(EN$26=".", 1, (EN52/EN51)^(('Summary, PPI''s'!$M52+'Summary, PPI''s'!$M51)/('Predicted PPIs'!ET52+'Predicted PPIs'!ET51)))*IF(EC$26=".", 1, (EC52/EC51)^(('Summary, PPI''s'!$B52+'Summary, PPI''s'!$B51)/('Predicted PPIs'!ET52+'Predicted PPIs'!ET51)))</f>
        <v>17.529833243922297</v>
      </c>
      <c r="EY52" s="2"/>
    </row>
    <row r="53" spans="1:155" x14ac:dyDescent="0.3">
      <c r="A53" s="4">
        <v>1970</v>
      </c>
      <c r="B53" s="10">
        <f>IF(B52=".", ".", IF('Summary, PPI''s'!R53=".",IF(OR('Summary, hourly ad costs'!R53=-9999,'Summary, hourly ad costs'!R53=0), ".", 'Predicted PPIs'!B52*('Summary, hourly ad costs'!B53/'Summary, hourly ad costs'!R53)/('Summary, hourly ad costs'!B52/'Summary, hourly ad costs'!R52)), 'Summary, PPI''s'!R53))</f>
        <v>25.676341416209734</v>
      </c>
      <c r="C53" s="10">
        <f>IF(C52=".", ".", IF('Summary, PPI''s'!S53=".",IF(OR('Summary, hourly ad costs'!S53=-9999,'Summary, hourly ad costs'!S53=0), ".", 'Predicted PPIs'!C52*('Summary, hourly ad costs'!C53/'Summary, hourly ad costs'!S53)/('Summary, hourly ad costs'!C52/'Summary, hourly ad costs'!S52)), 'Summary, PPI''s'!S53))</f>
        <v>25.676341416209734</v>
      </c>
      <c r="D53" s="10" t="str">
        <f>IF(D52=".", ".", IF('Summary, PPI''s'!T53=".",IF(OR('Summary, hourly ad costs'!T53=-9999,'Summary, hourly ad costs'!T53=0), ".", 'Predicted PPIs'!D52*('Summary, hourly ad costs'!D53/'Summary, hourly ad costs'!T53)/('Summary, hourly ad costs'!D52/'Summary, hourly ad costs'!T52)), 'Summary, PPI''s'!T53))</f>
        <v>.</v>
      </c>
      <c r="E53" s="10">
        <f>IF(E52=".", ".", IF('Summary, PPI''s'!U53=".",IF(OR('Summary, hourly ad costs'!U53=-9999,'Summary, hourly ad costs'!U53=0), ".", 'Predicted PPIs'!E52*('Summary, hourly ad costs'!E53/'Summary, hourly ad costs'!U53)/('Summary, hourly ad costs'!E52/'Summary, hourly ad costs'!U52)), 'Summary, PPI''s'!U53))</f>
        <v>9.4940865668017853</v>
      </c>
      <c r="F53" s="10">
        <f>IF(F52=".", ".", IF('Summary, PPI''s'!V53=".",IF(OR('Summary, hourly ad costs'!V53=-9999,'Summary, hourly ad costs'!V53=0), ".", 'Predicted PPIs'!F52*('Summary, hourly ad costs'!F53/'Summary, hourly ad costs'!V53)/('Summary, hourly ad costs'!F52/'Summary, hourly ad costs'!V52)), 'Summary, PPI''s'!V53))</f>
        <v>14.239729749200908</v>
      </c>
      <c r="G53" s="10">
        <f>IF(G52=".", ".", IF('Summary, PPI''s'!W53=".",IF(OR('Summary, hourly ad costs'!W53=-9999,'Summary, hourly ad costs'!W53=0), ".", 'Predicted PPIs'!G52*('Summary, hourly ad costs'!G53/'Summary, hourly ad costs'!W53)/('Summary, hourly ad costs'!G52/'Summary, hourly ad costs'!W52)), 'Summary, PPI''s'!W53))</f>
        <v>11.416249193822331</v>
      </c>
      <c r="H53" s="10">
        <f>IF(H52=".", ".", IF('Summary, PPI''s'!X53=".",IF(OR('Summary, hourly ad costs'!X53=-9999,'Summary, hourly ad costs'!X53=0), ".", 'Predicted PPIs'!H52*('Summary, hourly ad costs'!H53/'Summary, hourly ad costs'!X53)/('Summary, hourly ad costs'!H52/'Summary, hourly ad costs'!X52)), 'Summary, PPI''s'!X53))</f>
        <v>17.504999999999999</v>
      </c>
      <c r="I53" s="10">
        <f>IF(I52=".", ".", IF('Summary, PPI''s'!Y53=".",IF(OR('Summary, hourly ad costs'!Y53=-9999,'Summary, hourly ad costs'!Y53=0), ".", 'Predicted PPIs'!I52*('Summary, hourly ad costs'!I53/'Summary, hourly ad costs'!Y53)/('Summary, hourly ad costs'!I52/'Summary, hourly ad costs'!Y52)), 'Summary, PPI''s'!Y53))</f>
        <v>13.865059059476694</v>
      </c>
      <c r="J53" s="10">
        <f>IF(J52=".", ".", IF('Summary, PPI''s'!Z53=".",IF(OR('Summary, hourly ad costs'!Z53=-9999,'Summary, hourly ad costs'!Z53=0), ".", 'Predicted PPIs'!J52*('Summary, hourly ad costs'!J53/'Summary, hourly ad costs'!Z53)/('Summary, hourly ad costs'!J52/'Summary, hourly ad costs'!Z52)), 'Summary, PPI''s'!Z53))</f>
        <v>16.406197039141528</v>
      </c>
      <c r="K53" s="10" t="str">
        <f>IF(K52=".", ".", IF('Summary, PPI''s'!AA53=".",IF(OR('Summary, hourly ad costs'!AA53=-9999,'Summary, hourly ad costs'!AA53=0), ".", 'Predicted PPIs'!K52*('Summary, hourly ad costs'!K53/'Summary, hourly ad costs'!AA53)/('Summary, hourly ad costs'!K52/'Summary, hourly ad costs'!AA52)), 'Summary, PPI''s'!AA53))</f>
        <v>.</v>
      </c>
      <c r="L53" s="10" t="str">
        <f>IF(L52=".", ".", IF('Summary, PPI''s'!AB53=".",IF(OR('Summary, hourly ad costs'!AB53=-9999,'Summary, hourly ad costs'!AB53=0), ".", 'Predicted PPIs'!L52*('Summary, hourly ad costs'!L53/'Summary, hourly ad costs'!AB53)/('Summary, hourly ad costs'!L52/'Summary, hourly ad costs'!AB52)), 'Summary, PPI''s'!AB53))</f>
        <v>.</v>
      </c>
      <c r="M53" s="10" t="str">
        <f>IF(M52=".", ".", IF('Summary, PPI''s'!AC53=".",IF(OR('Summary, hourly ad costs'!AC53=-9999,'Summary, hourly ad costs'!AC53=0), ".", 'Predicted PPIs'!M52*('Summary, hourly ad costs'!M53/'Summary, hourly ad costs'!AC53)/('Summary, hourly ad costs'!M52/'Summary, hourly ad costs'!AC52)), 'Summary, PPI''s'!AC53))</f>
        <v>.</v>
      </c>
      <c r="N53" s="10" t="str">
        <f>IF(N52=".", ".", IF('Summary, PPI''s'!AD53=".",IF(OR('Summary, hourly ad costs'!AD53=-9999,'Summary, hourly ad costs'!AD53=0), ".", 'Predicted PPIs'!N52*('Summary, hourly ad costs'!N53/'Summary, hourly ad costs'!AD53)/('Summary, hourly ad costs'!N52/'Summary, hourly ad costs'!AD52)), 'Summary, PPI''s'!AD53))</f>
        <v>.</v>
      </c>
      <c r="O53" s="10" t="str">
        <f>IF(O52=".", ".", IF('Summary, PPI''s'!AE53=".",IF(OR('Summary, hourly ad costs'!AE53=-9999,'Summary, hourly ad costs'!AE53=0), ".", 'Predicted PPIs'!O52*('Summary, hourly ad costs'!O53/'Summary, hourly ad costs'!AE53)/('Summary, hourly ad costs'!O52/'Summary, hourly ad costs'!AE52)), 'Summary, PPI''s'!AE53))</f>
        <v>.</v>
      </c>
      <c r="P53" s="10" t="str">
        <f>IF(P52=".", ".", IF('Summary, PPI''s'!AF53=".",IF(OR('Summary, hourly ad costs'!AF53=-9999,'Summary, hourly ad costs'!AF53=0), ".", 'Predicted PPIs'!P52*('Summary, hourly ad costs'!P53/'Summary, hourly ad costs'!AF53)/('Summary, hourly ad costs'!P52/'Summary, hourly ad costs'!AF52)), 'Summary, PPI''s'!AF53))</f>
        <v>.</v>
      </c>
      <c r="R53" s="1">
        <f>IF(E$26=".", 0, 'Summary, PPI''s'!E53)+IF(F$26=".", 0, 'Summary, PPI''s'!F53)+IF(G$26=".", 0, 'Summary, PPI''s'!G53)+IF(H$26=".", 0, 'Summary, PPI''s'!H53)+IF(I$26=".", 0, 'Summary, PPI''s'!I53)+IF(J$26=".", 0, 'Summary, PPI''s'!J53)+IF(K$26=".", 0, 'Summary, PPI''s'!K53)+IF(L$26=".", 0, 'Summary, PPI''s'!L53)+IF(M$26=".", 0, 'Summary, PPI''s'!M53)+IF(B$26=".", 0, 'Summary, PPI''s'!B53)+IF(C$26=".", 0, 'Summary, PPI''s'!C53)+IF(D$26=".", 0, 'Summary, PPI''s'!D53)+IF(N$26=".", 0, 'Summary, PPI''s'!N53)+IF(O$26=".", 0, 'Summary, PPI''s'!O53)+IF(P$26=".", 0, 'Summary, PPI''s'!P53)</f>
        <v>20207723.420030188</v>
      </c>
      <c r="S53" s="1">
        <f>IF(E$36=".", 0, 'Summary, PPI''s'!E53)+IF(F$36=".", 0, 'Summary, PPI''s'!F53)+IF(G$36=".", 0, 'Summary, PPI''s'!G53)+IF(H$36=".", 0, 'Summary, PPI''s'!H53)+IF(I$36=".", 0, 'Summary, PPI''s'!I53)+IF(J$36=".", 0, 'Summary, PPI''s'!J53)+IF(K$36=".", 0, 'Summary, PPI''s'!K53)+IF(L$36=".", 0, 'Summary, PPI''s'!L53)+IF(M$36=".", 0, 'Summary, PPI''s'!M53)+IF(B$36=".", 0, 'Summary, PPI''s'!B53)+IF(C$36=".", 0, 'Summary, PPI''s'!C53)+IF(D$36=".", 0, 'Summary, PPI''s'!D53)+IF(N$36=".", 0, 'Summary, PPI''s'!N53)+IF(O$36=".", 0, 'Summary, PPI''s'!O53)+IF(P$36=".", 0, 'Summary, PPI''s'!P53)</f>
        <v>20207723.420030188</v>
      </c>
      <c r="T53" s="1">
        <f>IF(E$46=".", 0, 'Summary, PPI''s'!E53)+IF(F$46=".", 0, 'Summary, PPI''s'!F53)+IF(G$46=".", 0, 'Summary, PPI''s'!G53)+IF(H$46=".", 0, 'Summary, PPI''s'!H53)+IF(I$46=".", 0, 'Summary, PPI''s'!I53)+IF(J$46=".", 0, 'Summary, PPI''s'!J53)+IF(K$46=".", 0, 'Summary, PPI''s'!K53)+IF(L$46=".", 0, 'Summary, PPI''s'!L53)+IF(M$46=".", 0, 'Summary, PPI''s'!M53)+IF(B$46=".", 0, 'Summary, PPI''s'!B53)+IF(C$46=".", 0, 'Summary, PPI''s'!C53)+IF(D$46=".", 0, 'Summary, PPI''s'!D53)+IF(N$46=".", 0, 'Summary, PPI''s'!N53)+IF(O$46=".", 0, 'Summary, PPI''s'!O53)+IF(P$46=".", 0, 'Summary, PPI''s'!P53)</f>
        <v>14893871.829014603</v>
      </c>
      <c r="U53" s="1">
        <f>IF(E$60=".", 0, 'Summary, PPI''s'!E53)+IF(F$60=".", 0, 'Summary, PPI''s'!F53)+IF(G$60=".", 0, 'Summary, PPI''s'!G53)+IF(H$60=".", 0, 'Summary, PPI''s'!H53)+IF(I$60=".", 0, 'Summary, PPI''s'!I53)+IF(J$60=".", 0, 'Summary, PPI''s'!J53)+IF(K$60=".", 0, 'Summary, PPI''s'!K53)+IF(L$60=".", 0, 'Summary, PPI''s'!L53)+IF(M$60=".", 0, 'Summary, PPI''s'!M53)+IF(B$60=".", 0, 'Summary, PPI''s'!B53)+IF(C$60=".", 0, 'Summary, PPI''s'!C53)+IF(D$60=".", 0, 'Summary, PPI''s'!D53)+IF(N$60=".", 0, 'Summary, PPI''s'!N53)+IF(O$60=".", 0, 'Summary, PPI''s'!O53)+IF(P$60=".", 0, 'Summary, PPI''s'!P53)</f>
        <v>13412621.187475646</v>
      </c>
      <c r="V53" s="1">
        <f>IF(E$73=".", 0, 'Summary, PPI''s'!E53)+IF(F$73=".", 0, 'Summary, PPI''s'!F53)+IF(G$73=".", 0, 'Summary, PPI''s'!G53)+IF(H$73=".", 0, 'Summary, PPI''s'!H53)+IF(I$73=".", 0, 'Summary, PPI''s'!I53)+IF(J$73=".", 0, 'Summary, PPI''s'!J53)+IF(K$73=".", 0, 'Summary, PPI''s'!K53)+IF(L$73=".", 0, 'Summary, PPI''s'!L53)+IF(M$73=".", 0, 'Summary, PPI''s'!M53)+IF(B$73=".", 0, 'Summary, PPI''s'!B53)+IF(C$73=".", 0, 'Summary, PPI''s'!C53)+IF(D$73=".", 0, 'Summary, PPI''s'!D53)+IF(N$73=".", 0, 'Summary, PPI''s'!N53)+IF(O$73=".", 0, 'Summary, PPI''s'!O53)+IF(P$73=".", 0, 'Summary, PPI''s'!P53)</f>
        <v>11583318.465731835</v>
      </c>
      <c r="W53" s="1">
        <f>IF(E$94=".",0,'Summary, PPI''s'!E53)+IF(F$94=".",0,'Summary, PPI''s'!F53)+IF(G$94=".",0,'Summary, PPI''s'!G53)+IF(H$94=".",0,'Summary, PPI''s'!H53)+IF(I$94=".",0,'Summary, PPI''s'!I53)+IF(J$94=".",0,'Summary, PPI''s'!J53)+IF(K$94=".",0,'Summary, PPI''s'!K53)+IF(L$94=".",0,'Summary, PPI''s'!L53)+IF(M$94=".",0,'Summary, PPI''s'!M53)+IF(B$94=".",0,'Summary, PPI''s'!B53)+IF(C$94=".",0,'Summary, PPI''s'!C53)+IF(D$94=".",0,'Summary, PPI''s'!D53)+IF(N$94=".",0,'Summary, PPI''s'!N53)+IF(O$94=".",0,'Summary, PPI''s'!O53)+IF(P$94=".",0,'Summary, PPI''s'!P53)</f>
        <v>8890613.6890468244</v>
      </c>
      <c r="X53" s="1">
        <f>IF(E$123=".", 0, 'Summary, PPI''s'!E53)+IF(F$123=".", 0, 'Summary, PPI''s'!F53)+IF(G$123=".", 0, 'Summary, PPI''s'!G53)+IF(H$123=".", 0, 'Summary, PPI''s'!H53)+IF(I$123=".", 0, 'Summary, PPI''s'!I53)+IF(J$123=".", 0, 'Summary, PPI''s'!J53)+IF(K$123=".", 0, 'Summary, PPI''s'!K53)+IF(L$123=".", 0, 'Summary, PPI''s'!L53)+IF(M$123=".", 0, 'Summary, PPI''s'!M53)+IF(B$123=".", 0, 'Summary, PPI''s'!B53)+IF(C$123=".", 0, 'Summary, PPI''s'!C53)+IF(D$123=".", 0, 'Summary, PPI''s'!D53)+IF(N$123=".", 0, 'Summary, PPI''s'!N53)+IF(O$123=".", 0, 'Summary, PPI''s'!O53)+IF(P$123=".", 0, 'Summary, PPI''s'!P53)</f>
        <v>7827933.31609728</v>
      </c>
      <c r="Z53" s="4" t="e">
        <f>Z52*IF(E$26=".", 1, (E53/E52)^(('Summary, PPI''s'!$E53+'Summary, PPI''s'!$E52)/('Predicted PPIs'!R53+'Predicted PPIs'!R52)))*IF(F$26=".", 1, (F53/F52)^(('Summary, PPI''s'!$F53+'Summary, PPI''s'!$F52)/('Predicted PPIs'!R53+'Predicted PPIs'!R52)))*IF(G$26=".", 1, (G53/G52)^(('Summary, PPI''s'!$G53+'Summary, PPI''s'!$G52)/('Predicted PPIs'!R53+'Predicted PPIs'!R52)))*IF(H$26=".", 1, (H53/H52)^(('Summary, PPI''s'!$H53+'Summary, PPI''s'!$H52)/('Predicted PPIs'!R53+'Predicted PPIs'!R52)))*IF(I$26=".", 1, (I53/I52)^(('Summary, PPI''s'!$I53+'Summary, PPI''s'!$I52)/('Predicted PPIs'!R53+'Predicted PPIs'!R52)))*IF(J$26=".", 1, (J53/J52)^(('Summary, PPI''s'!$J53+'Summary, PPI''s'!$J52)/('Predicted PPIs'!R53+'Predicted PPIs'!R52)))*IF(K$26=".", 1, (K53/K52)^(('Summary, PPI''s'!$K53+'Summary, PPI''s'!$K52)/('Predicted PPIs'!R53+'Predicted PPIs'!R52)))*IF(L$26=".", 1, (L53/L52)^(('Summary, PPI''s'!$L53+'Summary, PPI''s'!$L52)/('Predicted PPIs'!R53+'Predicted PPIs'!R52)))*IF(M$26=".", 1, (M53/M52)^(('Summary, PPI''s'!$M53+'Summary, PPI''s'!$M52)/('Predicted PPIs'!R53+'Predicted PPIs'!R52)))*IF(B$26=".", 1, (B53/B52)^(('Summary, PPI''s'!$B53+'Summary, PPI''s'!$B52)/('Predicted PPIs'!R53+'Predicted PPIs'!R52)))*IF(C$26=".", 1, (C53/C52)^(('Summary, PPI''s'!$C53+'Summary, PPI''s'!$C52)/('Predicted PPIs'!R53+'Predicted PPIs'!R52)))*IF(D$26=".", 1, (D53/D52)^(('Summary, PPI''s'!$D53+'Summary, PPI''s'!$D52)/('Predicted PPIs'!R53+'Predicted PPIs'!R52)))*IF(N$26=".", 1, (N53/N52)^(('Summary, PPI''s'!$N53+'Summary, PPI''s'!$N52)/('Predicted PPIs'!R53+'Predicted PPIs'!R52)))*IF(O$26=".", 1, (O53/O52)^(('Summary, PPI''s'!$O53+'Summary, PPI''s'!$O52)/('Predicted PPIs'!R53+'Predicted PPIs'!R52)))*IF(P$26=".", 1, (P53/P52)^(('Summary, PPI''s'!$P53+'Summary, PPI''s'!$P52)/('Predicted PPIs'!R53+'Predicted PPIs'!R52)))</f>
        <v>#VALUE!</v>
      </c>
      <c r="AA53" s="4" t="e">
        <f>AA52*IF(E$36=".", 1, (E53/E52)^(('Summary, PPI''s'!$E53+'Summary, PPI''s'!$E52)/('Predicted PPIs'!S53+'Predicted PPIs'!S52)))*IF(F$36=".", 1, (F53/F52)^(('Summary, PPI''s'!$F53+'Summary, PPI''s'!$F52)/('Predicted PPIs'!S53+'Predicted PPIs'!S52)))*IF(G$36=".", 1, (G53/G52)^(('Summary, PPI''s'!$G53+'Summary, PPI''s'!$G52)/('Predicted PPIs'!S53+'Predicted PPIs'!S52)))*IF(H$36=".", 1, (H53/H52)^(('Summary, PPI''s'!$H53+'Summary, PPI''s'!$H52)/('Predicted PPIs'!S53+'Predicted PPIs'!S52)))*IF(I$36=".", 1, (I53/I52)^(('Summary, PPI''s'!$I53+'Summary, PPI''s'!$I52)/('Predicted PPIs'!S53+'Predicted PPIs'!S52)))*IF(J$36=".", 1, (J53/J52)^(('Summary, PPI''s'!$J53+'Summary, PPI''s'!$J52)/('Predicted PPIs'!S53+'Predicted PPIs'!S52)))*IF(K$36=".", 1, (K53/K52)^(('Summary, PPI''s'!$K53+'Summary, PPI''s'!$K52)/('Predicted PPIs'!S53+'Predicted PPIs'!S52)))*IF(L$36=".", 1, (L53/L52)^(('Summary, PPI''s'!$L53+'Summary, PPI''s'!$L52)/('Predicted PPIs'!S53+'Predicted PPIs'!S52)))*IF(M$36=".", 1, (M53/M52)^(('Summary, PPI''s'!$M53+'Summary, PPI''s'!$M52)/('Predicted PPIs'!S53+'Predicted PPIs'!S52)))*IF(B$36=".", 1, (B53/B52)^(('Summary, PPI''s'!$B53+'Summary, PPI''s'!$B52)/('Predicted PPIs'!S53+'Predicted PPIs'!S52)))*IF(C$36=".", 1, (C53/C52)^(('Summary, PPI''s'!$C53+'Summary, PPI''s'!$C52)/('Predicted PPIs'!S53+'Predicted PPIs'!S52)))*IF(D$36=".", 1, (D53/D52)^(('Summary, PPI''s'!$D53+'Summary, PPI''s'!$D52)/('Predicted PPIs'!S53+'Predicted PPIs'!S52)))*IF(N$36=".", 1, (N53/N52)^(('Summary, PPI''s'!$N53+'Summary, PPI''s'!$N52)/('Predicted PPIs'!S53+'Predicted PPIs'!S52)))*IF(O$36=".", 1, (O53/O52)^(('Summary, PPI''s'!$O53+'Summary, PPI''s'!$O52)/('Predicted PPIs'!S53+'Predicted PPIs'!S52)))*IF(P$36=".", 1, (P53/P52)^(('Summary, PPI''s'!$P53+'Summary, PPI''s'!$P52)/('Predicted PPIs'!S53+'Predicted PPIs'!S52)))</f>
        <v>#VALUE!</v>
      </c>
      <c r="AB53" s="4" t="e">
        <f>AB52*IF(E$46=".", 1, (E53/E52)^(('Summary, PPI''s'!$E53+'Summary, PPI''s'!$E52)/('Predicted PPIs'!T53+'Predicted PPIs'!T52)))*IF(F$46=".", 1, (F53/F52)^(('Summary, PPI''s'!$F53+'Summary, PPI''s'!$F52)/('Predicted PPIs'!T53+'Predicted PPIs'!T52)))*IF(G$46=".", 1, (G53/G52)^(('Summary, PPI''s'!$G53+'Summary, PPI''s'!$G52)/('Predicted PPIs'!T53+'Predicted PPIs'!T52)))*IF(H$46=".", 1, (H53/H52)^(('Summary, PPI''s'!$H53+'Summary, PPI''s'!$H52)/('Predicted PPIs'!T53+'Predicted PPIs'!T52)))*IF(I$46=".", 1, (I53/I52)^(('Summary, PPI''s'!$I53+'Summary, PPI''s'!$I52)/('Predicted PPIs'!T53+'Predicted PPIs'!T52)))*IF(J$46=".", 1, (J53/J52)^(('Summary, PPI''s'!$J53+'Summary, PPI''s'!$J52)/('Predicted PPIs'!T53+'Predicted PPIs'!T52)))*IF(K$46=".", 1, (K53/K52)^(('Summary, PPI''s'!$K53+'Summary, PPI''s'!$K52)/('Predicted PPIs'!T53+'Predicted PPIs'!T52)))*IF(L$46=".", 1, (L53/L52)^(('Summary, PPI''s'!$L53+'Summary, PPI''s'!$L52)/('Predicted PPIs'!T53+'Predicted PPIs'!T52)))*IF(M$46=".", 1, (M53/M52)^(('Summary, PPI''s'!$M53+'Summary, PPI''s'!$M52)/('Predicted PPIs'!T53+'Predicted PPIs'!T52)))*IF(B$46=".", 1, (B53/B52)^(('Summary, PPI''s'!$B53+'Summary, PPI''s'!$B52)/('Predicted PPIs'!T53+'Predicted PPIs'!T52)))*IF(C$46=".", 1, (C53/C52)^(('Summary, PPI''s'!$C53+'Summary, PPI''s'!$C52)/('Predicted PPIs'!T53+'Predicted PPIs'!T52)))*IF(D$46=".", 1, (D53/D52)^(('Summary, PPI''s'!$D53+'Summary, PPI''s'!$D52)/('Predicted PPIs'!T53+'Predicted PPIs'!T52)))*IF(N$46=".", 1, (N53/N52)^(('Summary, PPI''s'!$N53+'Summary, PPI''s'!$N52)/('Predicted PPIs'!T53+'Predicted PPIs'!T52)))*IF(O$46=".", 1, (O53/O52)^(('Summary, PPI''s'!$O53+'Summary, PPI''s'!$O52)/('Predicted PPIs'!T53+'Predicted PPIs'!T52)))*IF(P$46=".", 1, (P53/P52)^(('Summary, PPI''s'!$P53+'Summary, PPI''s'!$P52)/('Predicted PPIs'!T53+'Predicted PPIs'!T52)))</f>
        <v>#VALUE!</v>
      </c>
      <c r="AC53" s="4">
        <f>AC52*IF(E$60=".",1,(E53/E52)^(('Summary, PPI''s'!$E53+'Summary, PPI''s'!$E52)/('Predicted PPIs'!U53+'Predicted PPIs'!U52)))*IF(F$60=".",1,(F53/F52)^(('Summary, PPI''s'!$F53+'Summary, PPI''s'!$F52)/('Predicted PPIs'!U53+'Predicted PPIs'!U52)))*IF(G$60=".",1,(G53/G52)^(('Summary, PPI''s'!$G53+'Summary, PPI''s'!$G52)/('Predicted PPIs'!U53+'Predicted PPIs'!U52)))*IF(H$60=".",1,(H53/H52)^(('Summary, PPI''s'!$H53+'Summary, PPI''s'!$H52)/('Predicted PPIs'!U53+'Predicted PPIs'!U52)))*IF(I$60=".",1,(I53/I52)^(('Summary, PPI''s'!$I53+'Summary, PPI''s'!$I52)/('Predicted PPIs'!U53+'Predicted PPIs'!U52)))*IF(J$60=".",1,(J53/J52)^(('Summary, PPI''s'!$J53+'Summary, PPI''s'!$J52)/('Predicted PPIs'!U53+'Predicted PPIs'!U52)))*IF(K$60=".",1,(K53/K52)^(('Summary, PPI''s'!$K53+'Summary, PPI''s'!$K52)/('Predicted PPIs'!U53+'Predicted PPIs'!U52)))*IF(L$60=".",1,(L53/L52)^(('Summary, PPI''s'!$L53+'Summary, PPI''s'!$L52)/('Predicted PPIs'!U53+'Predicted PPIs'!U52)))*IF(M$60=".",1,(M53/M52)^(('Summary, PPI''s'!$M53+'Summary, PPI''s'!$M52)/('Predicted PPIs'!U53+'Predicted PPIs'!U52)))*IF(B$60=".",1,(B53/B52)^(('Summary, PPI''s'!$B53+'Summary, PPI''s'!$B52)/('Predicted PPIs'!U53+'Predicted PPIs'!U52)))*IF(C$60=".",1,(C53/C52)^(('Summary, PPI''s'!$C53+'Summary, PPI''s'!$C52)/('Predicted PPIs'!U53+'Predicted PPIs'!U52)))*IF(D$60=".",1,(D53/D52)^(('Summary, PPI''s'!$D53+'Summary, PPI''s'!$D52)/('Predicted PPIs'!U53+'Predicted PPIs'!U52)))*IF(N$60=".",1,(N53/N52)^(('Summary, PPI''s'!$N53+'Summary, PPI''s'!$N52)/('Predicted PPIs'!U53+'Predicted PPIs'!U52)))*IF(O$60=".",1,(O53/O52)^(('Summary, PPI''s'!$O53+'Summary, PPI''s'!$O52)/('Predicted PPIs'!U53+'Predicted PPIs'!U52)))*IF(P$60=".",1,(P53/P52)^(('Summary, PPI''s'!$P53+'Summary, PPI''s'!$P52)/('Predicted PPIs'!U53+'Predicted PPIs'!U52)))</f>
        <v>14.653993897583712</v>
      </c>
      <c r="AD53" s="4">
        <f>AD52*IF(E$73=".", 1, (E53/E52)^(('Summary, PPI''s'!$E53+'Summary, PPI''s'!$E52)/('Predicted PPIs'!V53+'Predicted PPIs'!V52)))*IF(F$73=".", 1, (F53/F52)^(('Summary, PPI''s'!$F53+'Summary, PPI''s'!$F52)/('Predicted PPIs'!V53+'Predicted PPIs'!V52)))*IF(G$73=".", 1, (G53/G52)^(('Summary, PPI''s'!$G53+'Summary, PPI''s'!$G52)/('Predicted PPIs'!V53+'Predicted PPIs'!V52)))*IF(H$73=".", 1, (H53/H52)^(('Summary, PPI''s'!$H53+'Summary, PPI''s'!$H52)/('Predicted PPIs'!V53+'Predicted PPIs'!V52)))*IF(I$73=".", 1, (I53/I52)^(('Summary, PPI''s'!$I53+'Summary, PPI''s'!$I52)/('Predicted PPIs'!V53+'Predicted PPIs'!V52)))*IF(J$73=".", 1, (J53/J52)^(('Summary, PPI''s'!$J53+'Summary, PPI''s'!$J52)/('Predicted PPIs'!V53+'Predicted PPIs'!V52)))*IF(K$73=".", 1, (K53/K52)^(('Summary, PPI''s'!$K53+'Summary, PPI''s'!$K52)/('Predicted PPIs'!V53+'Predicted PPIs'!V52)))*IF(L$73=".", 1, (L53/L52)^(('Summary, PPI''s'!$L53+'Summary, PPI''s'!$L52)/('Predicted PPIs'!V53+'Predicted PPIs'!V52)))*IF(M$73=".", 1, (M53/M52)^(('Summary, PPI''s'!$M53+'Summary, PPI''s'!$M52)/('Predicted PPIs'!V53+'Predicted PPIs'!V52)))*IF(B$73=".", 1, (B53/B52)^(('Summary, PPI''s'!$B53+'Summary, PPI''s'!$B52)/('Predicted PPIs'!V53+'Predicted PPIs'!V52)))*IF(C$73=".", 1, (C53/C52)^(('Summary, PPI''s'!$C53+'Summary, PPI''s'!$C52)/('Predicted PPIs'!V53+'Predicted PPIs'!V52)))*IF(D$73=".", 1, (D53/D52)^(('Summary, PPI''s'!$D53+'Summary, PPI''s'!$D52)/('Predicted PPIs'!V53+'Predicted PPIs'!V52)))*IF(N$73=".", 1, (N53/N52)^(('Summary, PPI''s'!$N53+'Summary, PPI''s'!$N52)/('Predicted PPIs'!V53+'Predicted PPIs'!V52)))*IF(O$73=".", 1, (O53/O52)^(('Summary, PPI''s'!$O53+'Summary, PPI''s'!$O52)/('Predicted PPIs'!V53+'Predicted PPIs'!V52)))*IF(P$73=".", 1, (P53/P52)^(('Summary, PPI''s'!$P53+'Summary, PPI''s'!$P52)/('Predicted PPIs'!V53+'Predicted PPIs'!V52)))</f>
        <v>14.000712703595902</v>
      </c>
      <c r="AE53" s="4">
        <f>AE52*IF(E$94=".", 1, (E53/E52)^(('Summary, PPI''s'!$E53+'Summary, PPI''s'!$E52)/('Predicted PPIs'!W53+'Predicted PPIs'!W52)))*IF(F$94=".", 1, (F53/F52)^(('Summary, PPI''s'!$F53+'Summary, PPI''s'!$F52)/('Predicted PPIs'!W53+'Predicted PPIs'!W52)))*IF(G$94=".", 1, (G53/G52)^(('Summary, PPI''s'!$G53+'Summary, PPI''s'!$G52)/('Predicted PPIs'!W53+'Predicted PPIs'!W52)))*IF(H$94=".", 1, (H53/H52)^(('Summary, PPI''s'!$H53+'Summary, PPI''s'!$H52)/('Predicted PPIs'!W53+'Predicted PPIs'!W52)))*IF(I$94=".", 1, (I53/I52)^(('Summary, PPI''s'!$I53+'Summary, PPI''s'!$I52)/('Predicted PPIs'!W53+'Predicted PPIs'!W52)))*IF(J$94=".", 1, (J53/J52)^(('Summary, PPI''s'!$J53+'Summary, PPI''s'!$J52)/('Predicted PPIs'!W53+'Predicted PPIs'!W52)))*IF(K$94=".", 1, (K53/K52)^(('Summary, PPI''s'!$K53+'Summary, PPI''s'!$K52)/('Predicted PPIs'!W53+'Predicted PPIs'!W52)))*IF(L$94=".", 1, (L53/L52)^(('Summary, PPI''s'!$L53+'Summary, PPI''s'!$L52)/('Predicted PPIs'!W53+'Predicted PPIs'!W52)))*IF(M$94=".", 1, (M53/M52)^(('Summary, PPI''s'!$M53+'Summary, PPI''s'!$M52)/('Predicted PPIs'!W53+'Predicted PPIs'!W52)))*IF(B$94=".", 1, (B53/B52)^(('Summary, PPI''s'!$B53+'Summary, PPI''s'!$B52)/('Predicted PPIs'!W53+'Predicted PPIs'!W52)))*IF(C$94=".", 1, (C53/C52)^(('Summary, PPI''s'!$C53+'Summary, PPI''s'!$C52)/('Predicted PPIs'!W53+'Predicted PPIs'!W52)))*IF(D$94=".", 1, (D53/D52)^(('Summary, PPI''s'!$D53+'Summary, PPI''s'!$D52)/('Predicted PPIs'!W53+'Predicted PPIs'!W52)))*IF(N$94=".", 1, (N53/N52)^(('Summary, PPI''s'!$N53+'Summary, PPI''s'!$N52)/('Predicted PPIs'!W53+'Predicted PPIs'!W52)))*IF(O$94=".", 1, (O53/O52)^(('Summary, PPI''s'!$O53+'Summary, PPI''s'!$O52)/('Predicted PPIs'!W53+'Predicted PPIs'!W52)))*IF(P$94=".", 1, (P53/P52)^(('Summary, PPI''s'!$P53+'Summary, PPI''s'!$P52)/('Predicted PPIs'!W53+'Predicted PPIs'!W52)))</f>
        <v>12.588618038525883</v>
      </c>
      <c r="AF53" s="4">
        <f>AF52*IF(E$123=".", 1, (E53/E52)^(('Summary, PPI''s'!$E53+'Summary, PPI''s'!$E52)/('Predicted PPIs'!X53+'Predicted PPIs'!X52)))*IF(F$123=".", 1, (F53/F52)^(('Summary, PPI''s'!$F53+'Summary, PPI''s'!$F52)/('Predicted PPIs'!X53+'Predicted PPIs'!X52)))*IF(G$123=".", 1, (G53/G52)^(('Summary, PPI''s'!$G53+'Summary, PPI''s'!$G52)/('Predicted PPIs'!X53+'Predicted PPIs'!X52)))*IF(H$123=".", 1, (H53/H52)^(('Summary, PPI''s'!$H53+'Summary, PPI''s'!$H52)/('Predicted PPIs'!X53+'Predicted PPIs'!X52)))*IF(I$123=".", 1, (I53/I52)^(('Summary, PPI''s'!$I53+'Summary, PPI''s'!$I52)/('Predicted PPIs'!X53+'Predicted PPIs'!X52)))*IF(J$123=".", 1, (J53/J52)^(('Summary, PPI''s'!$J53+'Summary, PPI''s'!$J52)/('Predicted PPIs'!X53+'Predicted PPIs'!X52)))*IF(K$123=".", 1, (K53/K52)^(('Summary, PPI''s'!$K53+'Summary, PPI''s'!$K52)/('Predicted PPIs'!X53+'Predicted PPIs'!X52)))*IF(L$123=".", 1, (L53/L52)^(('Summary, PPI''s'!$L53+'Summary, PPI''s'!$L52)/('Predicted PPIs'!X53+'Predicted PPIs'!X52)))*IF(M$123=".", 1, (M53/M52)^(('Summary, PPI''s'!$M53+'Summary, PPI''s'!$M52)/('Predicted PPIs'!X53+'Predicted PPIs'!X52)))*IF(B$123=".", 1, (B53/B52)^(('Summary, PPI''s'!$B53+'Summary, PPI''s'!$B52)/('Predicted PPIs'!X53+'Predicted PPIs'!X52)))*IF(C$123=".", 1, (C53/C52)^(('Summary, PPI''s'!$C53+'Summary, PPI''s'!$C52)/('Predicted PPIs'!X53+'Predicted PPIs'!X52)))*IF(D$123=".", 1, (D53/D52)^(('Summary, PPI''s'!$D53+'Summary, PPI''s'!$D52)/('Predicted PPIs'!X53+'Predicted PPIs'!X52)))*IF(N$123=".", 1, (N53/N52)^(('Summary, PPI''s'!$N53+'Summary, PPI''s'!$N52)/('Predicted PPIs'!X53+'Predicted PPIs'!X52)))*IF(O$123=".", 1, (O53/O52)^(('Summary, PPI''s'!$O53+'Summary, PPI''s'!$O52)/('Predicted PPIs'!X53+'Predicted PPIs'!X52)))*IF(P$123=".", 1, (P53/P52)^(('Summary, PPI''s'!$P53+'Summary, PPI''s'!$P52)/('Predicted PPIs'!X53+'Predicted PPIs'!X52)))</f>
        <v>11.823665144495608</v>
      </c>
      <c r="AH53" s="13">
        <f t="shared" si="91"/>
        <v>16.203336653142454</v>
      </c>
      <c r="AJ53" s="4">
        <v>646.70000000000005</v>
      </c>
      <c r="AK53" s="4">
        <v>-0.77600000000000002</v>
      </c>
      <c r="AL53" s="4">
        <v>-61.3</v>
      </c>
      <c r="AM53" s="4">
        <v>-3.2679999999999998</v>
      </c>
      <c r="AN53" s="4">
        <v>772.3</v>
      </c>
      <c r="AO53" s="4">
        <v>166.4</v>
      </c>
      <c r="AP53" s="4">
        <f>('[3]1970'!$I$14+'[3]1970'!$I$69+'[3]1970'!$I$71-'[3]1970'!$I$73)*0.001</f>
        <v>-12.082000000000001</v>
      </c>
      <c r="AQ53" s="4">
        <f>('[3]1970'!$AY$56+'[3]1970'!$AY$69+'[3]1970'!$AY$71-'[3]1970'!$AY$73)*0.001</f>
        <v>-33.743000000000002</v>
      </c>
      <c r="AR53" s="4">
        <f>AR$38*2321/23762</f>
        <v>-1.0928098644895212</v>
      </c>
      <c r="AS53" s="4">
        <v>-4.1479999999999997</v>
      </c>
      <c r="AT53" s="4">
        <v>20.91</v>
      </c>
      <c r="AU53" s="4">
        <v>29.04</v>
      </c>
      <c r="AV53" s="4">
        <v>17.236999999999998</v>
      </c>
      <c r="AW53" s="4">
        <v>19.326000000000001</v>
      </c>
      <c r="AX53" s="4">
        <v>19.899000000000001</v>
      </c>
      <c r="AY53" s="4">
        <v>28.699000000000002</v>
      </c>
      <c r="AZ53" s="4">
        <v>11.845000000000001</v>
      </c>
      <c r="BA53" s="4">
        <v>21.594000000000001</v>
      </c>
      <c r="BB53" s="4">
        <f>BB$38*163.805/184.05</f>
        <v>91.652479760934526</v>
      </c>
      <c r="BC53" s="4">
        <v>27.573</v>
      </c>
      <c r="BG53" s="4">
        <f t="shared" si="50"/>
        <v>29.480492597816532</v>
      </c>
      <c r="BI53" s="4">
        <f>BI$13*'[2]Ordinary Experience'!$D$373/'[2]Ordinary Experience'!$D$413</f>
        <v>203477144.56623411</v>
      </c>
      <c r="BJ53" s="4">
        <f>'[2]Ordinary Experience'!$E$373</f>
        <v>28.5</v>
      </c>
      <c r="BL53" s="4">
        <f t="shared" si="90"/>
        <v>51.126820808962002</v>
      </c>
      <c r="BM53" s="4">
        <f t="shared" si="34"/>
        <v>-1.5292972029098184E-2</v>
      </c>
      <c r="BO53" s="4">
        <f>IF(OR('Summary, hourly ad costs'!R53=-9999,'Summary, PPI''s'!R53="."),".",(('Summary, hourly ad costs'!B53/'Summary, hourly ad costs'!R53)*100/('Summary, hourly ad costs'!B$11/'Summary, hourly ad costs'!R$11))/('Summary, PPI''s'!R53))</f>
        <v>1.7160796329015156</v>
      </c>
      <c r="BP53" s="4" t="str">
        <f>IF(OR('Summary, hourly ad costs'!S53=-9999,'Summary, PPI''s'!S53="."),".",(('Summary, hourly ad costs'!C53/'Summary, hourly ad costs'!S53)*100/('Summary, hourly ad costs'!C$11/'Summary, hourly ad costs'!S$11))/('Summary, PPI''s'!S53))</f>
        <v>.</v>
      </c>
      <c r="BQ53" s="4" t="str">
        <f>IF(OR('Summary, hourly ad costs'!T53=-9999,'Summary, PPI''s'!T53="."),".",(('Summary, hourly ad costs'!D53/'Summary, hourly ad costs'!T53)*100/('Summary, hourly ad costs'!D$11/'Summary, hourly ad costs'!T$11))/('Summary, PPI''s'!T53))</f>
        <v>.</v>
      </c>
      <c r="BR53" s="4">
        <f>IF(OR('Summary, hourly ad costs'!U53=-9999,'Summary, PPI''s'!U53="."),".",(('Summary, hourly ad costs'!E53/'Summary, hourly ad costs'!U53)*100/('Summary, hourly ad costs'!E$11/'Summary, hourly ad costs'!U$11))/('Summary, PPI''s'!U53))</f>
        <v>1.9383279457488061</v>
      </c>
      <c r="BS53" s="4">
        <f>IF(OR('Summary, hourly ad costs'!V53=-9999,'Summary, PPI''s'!V53="."),".",(('Summary, hourly ad costs'!F53/'Summary, hourly ad costs'!V53)*100/('Summary, hourly ad costs'!F$11/'Summary, hourly ad costs'!V$11))/('Summary, PPI''s'!V53))</f>
        <v>1.6064783379912435</v>
      </c>
      <c r="BT53" s="4" t="str">
        <f>IF(OR('Summary, hourly ad costs'!W53=-9999,'Summary, PPI''s'!W53="."),".",(('Summary, hourly ad costs'!G53/'Summary, hourly ad costs'!W53)*100/('Summary, hourly ad costs'!G$11/'Summary, hourly ad costs'!W$11))/('Summary, PPI''s'!W53))</f>
        <v>.</v>
      </c>
      <c r="BU53" s="4">
        <f>IF(OR('Summary, hourly ad costs'!X53=-9999,'Summary, PPI''s'!X53="."),".",(('Summary, hourly ad costs'!H53/'Summary, hourly ad costs'!X53)*100/('Summary, hourly ad costs'!H$11/'Summary, hourly ad costs'!X$11))/('Summary, PPI''s'!X53))</f>
        <v>1.1131340217677652</v>
      </c>
      <c r="BV53" s="4" t="str">
        <f>IF(OR('Summary, hourly ad costs'!Y53=-9999,'Summary, PPI''s'!Y53="."),".",(('Summary, hourly ad costs'!I53/'Summary, hourly ad costs'!Y53)*100/('Summary, hourly ad costs'!I$11/'Summary, hourly ad costs'!Y$11))/('Summary, PPI''s'!Y53))</f>
        <v>.</v>
      </c>
      <c r="BW53" s="4" t="str">
        <f>IF(OR('Summary, hourly ad costs'!Z53=-9999,'Summary, PPI''s'!Z53="."),".",(('Summary, hourly ad costs'!J53/'Summary, hourly ad costs'!Z53)*100/('Summary, hourly ad costs'!J$11/'Summary, hourly ad costs'!Z$11))/('Summary, PPI''s'!Z53))</f>
        <v>.</v>
      </c>
      <c r="BX53" s="4" t="str">
        <f>IF(OR('Summary, hourly ad costs'!AA53=-9999,'Summary, PPI''s'!AA53="."),".",(('Summary, hourly ad costs'!K53/'Summary, hourly ad costs'!AA53)*100/('Summary, hourly ad costs'!K$11/'Summary, hourly ad costs'!AA$11))/('Summary, PPI''s'!AA53))</f>
        <v>.</v>
      </c>
      <c r="BY53" s="4" t="str">
        <f>IF(OR('Summary, hourly ad costs'!AB53=-9999,'Summary, PPI''s'!AB53="."),".",(('Summary, hourly ad costs'!L53/'Summary, hourly ad costs'!AB53)*100/('Summary, hourly ad costs'!L$11/'Summary, hourly ad costs'!AB$11))/('Summary, PPI''s'!AB53))</f>
        <v>.</v>
      </c>
      <c r="BZ53" s="4" t="str">
        <f>IF(OR('Summary, hourly ad costs'!AC53=-9999,'Summary, PPI''s'!AC53="."),".",(('Summary, hourly ad costs'!M53/'Summary, hourly ad costs'!AC53)*100/('Summary, hourly ad costs'!M$11/'Summary, hourly ad costs'!AC$11))/('Summary, PPI''s'!AC53))</f>
        <v>.</v>
      </c>
      <c r="CA53" s="4" t="str">
        <f>IF(OR('Summary, hourly ad costs'!AD53=-9999,'Summary, PPI''s'!AD53="."),".",(('Summary, hourly ad costs'!N53/'Summary, hourly ad costs'!AD53)*100/('Summary, hourly ad costs'!N$11/'Summary, hourly ad costs'!AD$11))/('Summary, PPI''s'!AD53))</f>
        <v>.</v>
      </c>
      <c r="CB53" s="4" t="str">
        <f>IF(OR('Summary, hourly ad costs'!AE53=-9999,'Summary, PPI''s'!AE53="."),".",(('Summary, hourly ad costs'!O53/'Summary, hourly ad costs'!AE53)*100/('Summary, hourly ad costs'!O$11/'Summary, hourly ad costs'!AE$11))/('Summary, PPI''s'!AE53))</f>
        <v>.</v>
      </c>
      <c r="CC53" s="4" t="str">
        <f>IF(OR('Summary, hourly ad costs'!AF53=-9999,'Summary, PPI''s'!AF53="."),".",(('Summary, hourly ad costs'!P53/'Summary, hourly ad costs'!AF53)*100/('Summary, hourly ad costs'!P$11/'Summary, hourly ad costs'!AF$11))/('Summary, PPI''s'!AF53))</f>
        <v>.</v>
      </c>
      <c r="CE53" s="4">
        <f t="shared" si="113"/>
        <v>-0.10774764582593066</v>
      </c>
      <c r="CF53" s="4" t="str">
        <f t="shared" si="114"/>
        <v>.</v>
      </c>
      <c r="CG53" s="4" t="str">
        <f t="shared" si="115"/>
        <v>.</v>
      </c>
      <c r="CH53" s="4">
        <f t="shared" si="116"/>
        <v>-6.2367216294567873E-2</v>
      </c>
      <c r="CI53" s="4">
        <f t="shared" si="117"/>
        <v>-7.8803397817004295E-2</v>
      </c>
      <c r="CJ53" s="4" t="str">
        <f t="shared" si="118"/>
        <v>.</v>
      </c>
      <c r="CK53" s="4">
        <f t="shared" si="119"/>
        <v>-1.7004995064406891E-5</v>
      </c>
      <c r="CL53" s="4">
        <f t="shared" si="130"/>
        <v>-3.1624118941842978E-2</v>
      </c>
      <c r="CM53" s="4">
        <f t="shared" si="130"/>
        <v>3.6607195542875601E-3</v>
      </c>
      <c r="CN53" s="4">
        <f t="shared" si="89"/>
        <v>-4.629520354095526E-2</v>
      </c>
      <c r="CO53" s="4">
        <f t="shared" si="120"/>
        <v>-0.106329057124517</v>
      </c>
      <c r="CP53" s="4">
        <f t="shared" si="120"/>
        <v>0.23138606146234056</v>
      </c>
      <c r="CQ53" s="4" t="str">
        <f t="shared" si="110"/>
        <v>.</v>
      </c>
      <c r="CR53" s="4" t="str">
        <f t="shared" si="111"/>
        <v>.</v>
      </c>
      <c r="CS53" s="4" t="str">
        <f t="shared" si="112"/>
        <v>.</v>
      </c>
      <c r="CU53" s="5">
        <f>IF(CU52=".", ".", IF('Summary, PPI''s'!R53=".",IF(OR('Summary, hourly ad costs'!R53=-9999,'Summary, hourly ad costs'!R53=0), ".", 'Predicted PPIs'!CU52*('Summary, hourly ad costs'!B53/'Summary, hourly ad costs'!R53)/('Summary, hourly ad costs'!B52/'Summary, hourly ad costs'!R52)/(1-CE52)), 'Summary, PPI''s'!R53))</f>
        <v>25.676341416209734</v>
      </c>
      <c r="CV53" s="5">
        <f>IF(CV52=".", ".", IF('Summary, PPI''s'!S53=".",IF(OR('Summary, hourly ad costs'!S53=-9999,'Summary, hourly ad costs'!S53=0), ".", 'Predicted PPIs'!CV52*('Summary, hourly ad costs'!C53/'Summary, hourly ad costs'!S53)/('Summary, hourly ad costs'!C52/'Summary, hourly ad costs'!S52)/(1-CF52)), 'Summary, PPI''s'!S53))</f>
        <v>25.676341416209734</v>
      </c>
      <c r="CW53" s="5" t="str">
        <f>IF(CW52=".", ".", IF('Summary, PPI''s'!T53=".",IF(OR('Summary, hourly ad costs'!T53=-9999,'Summary, hourly ad costs'!T53=0), ".", 'Predicted PPIs'!CW52*('Summary, hourly ad costs'!D53/'Summary, hourly ad costs'!T53)/('Summary, hourly ad costs'!D52/'Summary, hourly ad costs'!T52)/(1-CG52)), 'Summary, PPI''s'!T53))</f>
        <v>.</v>
      </c>
      <c r="CX53" s="5">
        <f>IF(CX52=".", ".", IF('Summary, PPI''s'!U53=".",IF(OR('Summary, hourly ad costs'!U53=-9999,'Summary, hourly ad costs'!U53=0), ".", 'Predicted PPIs'!CX52*('Summary, hourly ad costs'!E53/'Summary, hourly ad costs'!U53)/('Summary, hourly ad costs'!E52/'Summary, hourly ad costs'!U52)/(1-CH52)), 'Summary, PPI''s'!U53))</f>
        <v>9.4940865668017853</v>
      </c>
      <c r="CY53" s="5">
        <f>IF(CY52=".", ".", IF('Summary, PPI''s'!V53=".",IF(OR('Summary, hourly ad costs'!V53=-9999,'Summary, hourly ad costs'!V53=0), ".", 'Predicted PPIs'!CY52*('Summary, hourly ad costs'!F53/'Summary, hourly ad costs'!V53)/('Summary, hourly ad costs'!F52/'Summary, hourly ad costs'!V52)/(1-CI52)), 'Summary, PPI''s'!V53))</f>
        <v>14.239729749200908</v>
      </c>
      <c r="CZ53" s="5">
        <f>IF(CZ52=".", ".", IF('Summary, PPI''s'!W53=".",IF(OR('Summary, hourly ad costs'!W53=-9999,'Summary, hourly ad costs'!W53=0), ".", 'Predicted PPIs'!CZ52*('Summary, hourly ad costs'!G53/'Summary, hourly ad costs'!W53)/('Summary, hourly ad costs'!G52/'Summary, hourly ad costs'!W52)/(1-CJ52)), 'Summary, PPI''s'!W53))</f>
        <v>11.416249193822331</v>
      </c>
      <c r="DA53" s="5">
        <f>IF(DA52=".", ".", IF('Summary, PPI''s'!X53=".",IF(OR('Summary, hourly ad costs'!X53=-9999,'Summary, hourly ad costs'!X53=0), ".", 'Predicted PPIs'!DA52*('Summary, hourly ad costs'!H53/'Summary, hourly ad costs'!X53)/('Summary, hourly ad costs'!H52/'Summary, hourly ad costs'!X52)/(1-CK52)), 'Summary, PPI''s'!X53))</f>
        <v>17.504999999999999</v>
      </c>
      <c r="DB53" s="5">
        <f>IF(DB52=".", ".", IF('Summary, PPI''s'!Y53=".",IF(OR('Summary, hourly ad costs'!Y53=-9999,'Summary, hourly ad costs'!Y53=0), ".", 'Predicted PPIs'!DB52*('Summary, hourly ad costs'!I53/'Summary, hourly ad costs'!Y53)/('Summary, hourly ad costs'!I52/'Summary, hourly ad costs'!Y52)/(1-CL52)), 'Summary, PPI''s'!Y53))</f>
        <v>14.414187868298873</v>
      </c>
      <c r="DC53" s="5">
        <f>IF(DC52=".", ".", IF('Summary, PPI''s'!Z53=".",IF(OR('Summary, hourly ad costs'!Z53=-9999,'Summary, hourly ad costs'!Z53=0), ".", 'Predicted PPIs'!DC52*('Summary, hourly ad costs'!J53/'Summary, hourly ad costs'!Z53)/('Summary, hourly ad costs'!J52/'Summary, hourly ad costs'!Z52)/(1-CM52)), 'Summary, PPI''s'!Z53))</f>
        <v>18.678655773551846</v>
      </c>
      <c r="DD53" s="5" t="str">
        <f>IF(DD52=".", ".", IF('Summary, PPI''s'!AA53=".",IF(OR('Summary, hourly ad costs'!AA53=-9999,'Summary, hourly ad costs'!AA53=0), ".", 'Predicted PPIs'!DD52*('Summary, hourly ad costs'!K53/'Summary, hourly ad costs'!AA53)/('Summary, hourly ad costs'!K52/'Summary, hourly ad costs'!AA52)/(1-CN52)), 'Summary, PPI''s'!AA53))</f>
        <v>.</v>
      </c>
      <c r="DE53" s="5" t="str">
        <f>IF(DE52=".", ".", IF('Summary, PPI''s'!AB53=".",IF(OR('Summary, hourly ad costs'!AB53=-9999,'Summary, hourly ad costs'!AB53=0), ".", 'Predicted PPIs'!DE52*('Summary, hourly ad costs'!L53/'Summary, hourly ad costs'!AB53)/('Summary, hourly ad costs'!L52/'Summary, hourly ad costs'!AB52)/(1-CO52)), 'Summary, PPI''s'!AB53))</f>
        <v>.</v>
      </c>
      <c r="DF53" s="5" t="str">
        <f>IF(DF52=".", ".", IF('Summary, PPI''s'!AC53=".",IF(OR('Summary, hourly ad costs'!AC53=-9999,'Summary, hourly ad costs'!AC53=0), ".", 'Predicted PPIs'!DF52*('Summary, hourly ad costs'!M53/'Summary, hourly ad costs'!AC53)/('Summary, hourly ad costs'!M52/'Summary, hourly ad costs'!AC52)/(1-CP52)), 'Summary, PPI''s'!AC53))</f>
        <v>.</v>
      </c>
      <c r="DG53" s="5" t="str">
        <f>IF(DG52=".", ".", IF('Summary, PPI''s'!AD53=".",IF(OR('Summary, hourly ad costs'!AD53=-9999,'Summary, hourly ad costs'!AD53=0), ".", 'Predicted PPIs'!DG52*('Summary, hourly ad costs'!N53/'Summary, hourly ad costs'!AD53)/('Summary, hourly ad costs'!N52/'Summary, hourly ad costs'!AD52)/(1-CQ52)), 'Summary, PPI''s'!AD53))</f>
        <v>.</v>
      </c>
      <c r="DH53" s="5" t="str">
        <f>IF(DH52=".", ".", IF('Summary, PPI''s'!AE53=".",IF(OR('Summary, hourly ad costs'!AE53=-9999,'Summary, hourly ad costs'!AE53=0), ".", 'Predicted PPIs'!DH52*('Summary, hourly ad costs'!O53/'Summary, hourly ad costs'!AE53)/('Summary, hourly ad costs'!O52/'Summary, hourly ad costs'!AE52)/(1-CR52)), 'Summary, PPI''s'!AE53))</f>
        <v>.</v>
      </c>
      <c r="DI53" s="5" t="str">
        <f>IF(DI52=".", ".", IF('Summary, PPI''s'!AF53=".",IF(OR('Summary, hourly ad costs'!AF53=-9999,'Summary, hourly ad costs'!AF53=0), ".", 'Predicted PPIs'!DI52*('Summary, hourly ad costs'!P53/'Summary, hourly ad costs'!AF53)/('Summary, hourly ad costs'!P52/'Summary, hourly ad costs'!AF52)/(1-CS52)), 'Summary, PPI''s'!AF53))</f>
        <v>.</v>
      </c>
      <c r="DK53" s="4">
        <v>9.1039999999999992</v>
      </c>
      <c r="DM53" s="5">
        <f t="shared" si="121"/>
        <v>-3.493230804814762E-2</v>
      </c>
      <c r="DN53" s="5">
        <f t="shared" si="122"/>
        <v>-3.493230804814762E-2</v>
      </c>
      <c r="DO53" s="4">
        <f t="shared" si="123"/>
        <v>-2.2949795614337829E-2</v>
      </c>
      <c r="DP53" s="5">
        <f t="shared" si="124"/>
        <v>-1.9811022689125601E-2</v>
      </c>
      <c r="DQ53" s="5">
        <f t="shared" si="125"/>
        <v>-3.7988019764627845E-2</v>
      </c>
      <c r="DR53" s="5">
        <f t="shared" si="126"/>
        <v>-3.0745188007114121E-2</v>
      </c>
      <c r="DS53" s="5">
        <f t="shared" si="127"/>
        <v>1.7829483596806472E-2</v>
      </c>
      <c r="DT53" s="5">
        <f t="shared" si="128"/>
        <v>-7.3149807435948233E-3</v>
      </c>
      <c r="DU53" s="5">
        <f t="shared" si="129"/>
        <v>-9.4021004742723568E-2</v>
      </c>
      <c r="DV53" s="4">
        <f t="shared" si="131"/>
        <v>1.4225968719392182E-3</v>
      </c>
      <c r="DW53" s="4">
        <f t="shared" si="78"/>
        <v>2.6348600502482687E-2</v>
      </c>
      <c r="DX53" s="4">
        <f t="shared" si="78"/>
        <v>-0.22476464383675288</v>
      </c>
      <c r="DY53" s="4">
        <f t="shared" si="108"/>
        <v>-2.2143162377691004E-2</v>
      </c>
      <c r="DZ53" s="4">
        <f t="shared" si="132"/>
        <v>-1.5945534133021723E-2</v>
      </c>
      <c r="EA53" s="4">
        <f t="shared" si="109"/>
        <v>-1.3221402293327869E-2</v>
      </c>
      <c r="EC53" s="1">
        <f t="shared" si="93"/>
        <v>25.676341416209734</v>
      </c>
      <c r="ED53" s="1">
        <f t="shared" si="94"/>
        <v>25.676341416209734</v>
      </c>
      <c r="EE53" s="1">
        <f t="shared" si="95"/>
        <v>18.908425216332436</v>
      </c>
      <c r="EF53" s="1">
        <f t="shared" si="96"/>
        <v>9.4940865668017853</v>
      </c>
      <c r="EG53" s="1">
        <f t="shared" si="97"/>
        <v>14.239729749200908</v>
      </c>
      <c r="EH53" s="1">
        <f t="shared" si="98"/>
        <v>11.416249193822331</v>
      </c>
      <c r="EI53" s="1">
        <f t="shared" si="99"/>
        <v>17.504999999999999</v>
      </c>
      <c r="EJ53" s="1">
        <f t="shared" si="100"/>
        <v>14.414187868298873</v>
      </c>
      <c r="EK53" s="1">
        <f t="shared" si="101"/>
        <v>18.678655773551846</v>
      </c>
      <c r="EL53" s="1">
        <f t="shared" si="102"/>
        <v>7.4350805056012925</v>
      </c>
      <c r="EM53" s="1">
        <f t="shared" si="103"/>
        <v>8.0771262461851094</v>
      </c>
      <c r="EN53" s="1">
        <f t="shared" si="104"/>
        <v>7.5977377108773112</v>
      </c>
      <c r="EO53" s="1">
        <f t="shared" si="105"/>
        <v>10.850908305730805</v>
      </c>
      <c r="EP53" s="1">
        <f t="shared" si="106"/>
        <v>13.679519511081491</v>
      </c>
      <c r="EQ53" s="1">
        <f t="shared" si="107"/>
        <v>10.472627198391793</v>
      </c>
      <c r="ES53" s="1">
        <f>IF(EF$26=".", 0, 'Summary, PPI''s'!E53)+IF(EG$26=".", 0, 'Summary, PPI''s'!F53)+IF(EH$26=".", 0, 'Summary, PPI''s'!G53)+IF(EI$26=".", 0, 'Summary, PPI''s'!H53)+IF(EJ$26=".", 0, 'Summary, PPI''s'!I53)+IF(EK$26=".", 0, 'Summary, PPI''s'!J53)+IF(EL$26=".", 0, 'Summary, PPI''s'!K53)+IF(EM$26=".", 0, 'Summary, PPI''s'!L53)+IF(EN$26=".", 0, 'Summary, PPI''s'!M53)+IF(EC$26=".", 0, 'Summary, PPI''s'!B53)+IF(ED$26=".", 0, 'Summary, PPI''s'!C53)+IF(EE$26=".", 0, 'Summary, PPI''s'!D53)+IF(EO$26=".", 0, 'Summary, PPI''s'!N53)+IF(EP$26=".", 0, 'Summary, PPI''s'!O53)+IF(EQ$26=".", 0, 'Summary, PPI''s'!P53)</f>
        <v>20207723.420030188</v>
      </c>
      <c r="ET53" s="1">
        <f>'Summary, hourly ad costs'!E53+'Summary, hourly ad costs'!F53+'Summary, hourly ad costs'!H53+'Summary, hourly ad costs'!I53+'Summary, hourly ad costs'!J53+'Summary, hourly ad costs'!K53+'Summary, hourly ad costs'!L53+'Summary, hourly ad costs'!M53+'Summary, hourly ad costs'!B53</f>
        <v>11583318.465731835</v>
      </c>
      <c r="EV53" s="13">
        <f>EV52*IF(EF$26=".", 1, (EF53/EF52)^(('Summary, PPI''s'!$E53+'Summary, PPI''s'!$E52)/('Predicted PPIs'!ES53+'Predicted PPIs'!ES52)))*IF(EG$26=".", 1, (EG53/EG52)^(('Summary, PPI''s'!$F53+'Summary, PPI''s'!$F52)/('Predicted PPIs'!ES53+'Predicted PPIs'!ES52)))*IF(EH$26=".", 1, (EH53/EH52)^(('Summary, PPI''s'!$G53+'Summary, PPI''s'!$G52)/('Predicted PPIs'!ES53+'Predicted PPIs'!ES52)))*IF(EI$26=".", 1, (EI53/EI52)^(('Summary, PPI''s'!$H53+'Summary, PPI''s'!$H52)/('Predicted PPIs'!ES53+'Predicted PPIs'!ES52)))*IF(EJ$26=".", 1, (EJ53/EJ52)^(('Summary, PPI''s'!$I53+'Summary, PPI''s'!$I52)/('Predicted PPIs'!ES53+'Predicted PPIs'!ES52)))*IF(EK$26=".", 1, (EK53/EK52)^(('Summary, PPI''s'!$J53+'Summary, PPI''s'!$J52)/('Predicted PPIs'!ES53+'Predicted PPIs'!ES52)))*IF(EL$26=".", 1, (EL53/EL52)^(('Summary, PPI''s'!$K53+'Summary, PPI''s'!$K52)/('Predicted PPIs'!ES53+'Predicted PPIs'!ES52)))*IF(EM$26=".", 1, (EM53/EM52)^(('Summary, PPI''s'!$L53+'Summary, PPI''s'!$L52)/('Predicted PPIs'!ES53+'Predicted PPIs'!ES52)))*IF(EN$26=".", 1, (EN53/EN52)^(('Summary, PPI''s'!$M53+'Summary, PPI''s'!$M52)/('Predicted PPIs'!ES53+'Predicted PPIs'!ES52)))*IF(EC$26=".", 1, (EC53/EC52)^(('Summary, PPI''s'!$B53+'Summary, PPI''s'!$B52)/('Predicted PPIs'!ES53+'Predicted PPIs'!ES52)))*IF(ED$26=".", 1, (ED53/ED52)^(('Summary, PPI''s'!$C53+'Summary, PPI''s'!$C52)/('Predicted PPIs'!ES53+'Predicted PPIs'!ES52)))*IF(EE$26=".", 1, (EE53/EE52)^(('Summary, PPI''s'!$D53+'Summary, PPI''s'!$D52)/('Predicted PPIs'!ES53+'Predicted PPIs'!ES52)))*IF(EO$26=".", 1, (EO53/EO52)^(('Summary, PPI''s'!$N53+'Summary, PPI''s'!$N52)/('Predicted PPIs'!ES53+'Predicted PPIs'!ES52)))*IF(EP$26=".", 1, (EP53/EP52)^(('Summary, PPI''s'!$O53+'Summary, PPI''s'!$O52)/('Predicted PPIs'!ES53+'Predicted PPIs'!ES52)))*IF(EQ$26=".", 1, (EQ53/EQ52)^(('Summary, PPI''s'!$P53+'Summary, PPI''s'!$P52)/('Predicted PPIs'!ES53+'Predicted PPIs'!ES52)))</f>
        <v>15.191555534887794</v>
      </c>
      <c r="EW53" s="13">
        <f>EW52*IF(EF$26=".", 1, (EF53/EF52)^(('Summary, PPI''s'!$E53+'Summary, PPI''s'!$E52)/('Predicted PPIs'!ET53+'Predicted PPIs'!ET52)))*IF(EG$26=".", 1, (EG53/EG52)^(('Summary, PPI''s'!$F53+'Summary, PPI''s'!$F52)/('Predicted PPIs'!ET53+'Predicted PPIs'!ET52)))*IF(EH$26=".", 1, (EH53/EH52)^(('Summary, PPI''s'!$G53+'Summary, PPI''s'!$G52)/('Predicted PPIs'!ET53+'Predicted PPIs'!ET52)))*IF(EK$26=".", 1, (EK53/EK52)^(('Summary, PPI''s'!$J53+'Summary, PPI''s'!$J52)/('Predicted PPIs'!ET53+'Predicted PPIs'!ET52)))*IF(EL$26=".", 1, (EL53/EL52)^(('Summary, PPI''s'!$K53+'Summary, PPI''s'!$K52)/('Predicted PPIs'!ET53+'Predicted PPIs'!ET52)))*IF(EM$26=".", 1, (EM53/EM52)^(('Summary, PPI''s'!$L53+'Summary, PPI''s'!$L52)/('Predicted PPIs'!ET53+'Predicted PPIs'!ET52)))*IF(EN$26=".", 1, (EN53/EN52)^(('Summary, PPI''s'!$M53+'Summary, PPI''s'!$M52)/('Predicted PPIs'!ET53+'Predicted PPIs'!ET52)))*IF(EC$26=".", 1, (EC53/EC52)^(('Summary, PPI''s'!$B53+'Summary, PPI''s'!$B52)/('Predicted PPIs'!ET53+'Predicted PPIs'!ET52)))</f>
        <v>17.574450175421347</v>
      </c>
      <c r="EY53" s="2"/>
    </row>
    <row r="54" spans="1:155" x14ac:dyDescent="0.3">
      <c r="A54" s="4">
        <v>1969</v>
      </c>
      <c r="B54" s="10">
        <f>IF(B53=".", ".", IF('Summary, PPI''s'!R54=".",IF(OR('Summary, hourly ad costs'!R54=-9999,'Summary, hourly ad costs'!R54=0), ".", 'Predicted PPIs'!B53*('Summary, hourly ad costs'!B54/'Summary, hourly ad costs'!R54)/('Summary, hourly ad costs'!B53/'Summary, hourly ad costs'!R53)), 'Summary, PPI''s'!R54))</f>
        <v>24.665252324172464</v>
      </c>
      <c r="C54" s="10">
        <f>IF(C53=".", ".", IF('Summary, PPI''s'!S54=".",IF(OR('Summary, hourly ad costs'!S54=-9999,'Summary, hourly ad costs'!S54=0), ".", 'Predicted PPIs'!C53*('Summary, hourly ad costs'!C54/'Summary, hourly ad costs'!S54)/('Summary, hourly ad costs'!C53/'Summary, hourly ad costs'!S53)), 'Summary, PPI''s'!S54))</f>
        <v>24.665252324172464</v>
      </c>
      <c r="D54" s="10" t="str">
        <f>IF(D53=".", ".", IF('Summary, PPI''s'!T54=".",IF(OR('Summary, hourly ad costs'!T54=-9999,'Summary, hourly ad costs'!T54=0), ".", 'Predicted PPIs'!D53*('Summary, hourly ad costs'!D54/'Summary, hourly ad costs'!T54)/('Summary, hourly ad costs'!D53/'Summary, hourly ad costs'!T53)), 'Summary, PPI''s'!T54))</f>
        <v>.</v>
      </c>
      <c r="E54" s="10">
        <f>IF(E53=".", ".", IF('Summary, PPI''s'!U54=".",IF(OR('Summary, hourly ad costs'!U54=-9999,'Summary, hourly ad costs'!U54=0), ".", 'Predicted PPIs'!E53*('Summary, hourly ad costs'!E54/'Summary, hourly ad costs'!U54)/('Summary, hourly ad costs'!E53/'Summary, hourly ad costs'!U53)), 'Summary, PPI''s'!U54))</f>
        <v>8.9795292714703407</v>
      </c>
      <c r="F54" s="10">
        <f>IF(F53=".", ".", IF('Summary, PPI''s'!V54=".",IF(OR('Summary, hourly ad costs'!V54=-9999,'Summary, hourly ad costs'!V54=0), ".", 'Predicted PPIs'!F53*('Summary, hourly ad costs'!F54/'Summary, hourly ad costs'!V54)/('Summary, hourly ad costs'!F53/'Summary, hourly ad costs'!V53)), 'Summary, PPI''s'!V54))</f>
        <v>13.722443905637606</v>
      </c>
      <c r="G54" s="10">
        <f>IF(G53=".", ".", IF('Summary, PPI''s'!W54=".",IF(OR('Summary, hourly ad costs'!W54=-9999,'Summary, hourly ad costs'!W54=0), ".", 'Predicted PPIs'!G53*('Summary, hourly ad costs'!G54/'Summary, hourly ad costs'!W54)/('Summary, hourly ad costs'!G53/'Summary, hourly ad costs'!W53)), 'Summary, PPI''s'!W54))</f>
        <v>10.919321966599826</v>
      </c>
      <c r="H54" s="10">
        <f>IF(H53=".", ".", IF('Summary, PPI''s'!X54=".",IF(OR('Summary, hourly ad costs'!X54=-9999,'Summary, hourly ad costs'!X54=0), ".", 'Predicted PPIs'!H53*('Summary, hourly ad costs'!H54/'Summary, hourly ad costs'!X54)/('Summary, hourly ad costs'!H53/'Summary, hourly ad costs'!X53)), 'Summary, PPI''s'!X54))</f>
        <v>15.944000000000001</v>
      </c>
      <c r="I54" s="10">
        <f>IF(I53=".", ".", IF('Summary, PPI''s'!Y54=".",IF(OR('Summary, hourly ad costs'!Y54=-9999,'Summary, hourly ad costs'!Y54=0), ".", 'Predicted PPIs'!I53*('Summary, hourly ad costs'!I54/'Summary, hourly ad costs'!Y54)/('Summary, hourly ad costs'!I53/'Summary, hourly ad costs'!Y53)), 'Summary, PPI''s'!Y54))</f>
        <v>13.358015426855834</v>
      </c>
      <c r="J54" s="10">
        <f>IF(J53=".", ".", IF('Summary, PPI''s'!Z54=".",IF(OR('Summary, hourly ad costs'!Z54=-9999,'Summary, hourly ad costs'!Z54=0), ".", 'Predicted PPIs'!J53*('Summary, hourly ad costs'!J54/'Summary, hourly ad costs'!Z54)/('Summary, hourly ad costs'!J53/'Summary, hourly ad costs'!Z53)), 'Summary, PPI''s'!Z54))</f>
        <v>16.726583560684492</v>
      </c>
      <c r="K54" s="10" t="str">
        <f>IF(K53=".", ".", IF('Summary, PPI''s'!AA54=".",IF(OR('Summary, hourly ad costs'!AA54=-9999,'Summary, hourly ad costs'!AA54=0), ".", 'Predicted PPIs'!K53*('Summary, hourly ad costs'!K54/'Summary, hourly ad costs'!AA54)/('Summary, hourly ad costs'!K53/'Summary, hourly ad costs'!AA53)), 'Summary, PPI''s'!AA54))</f>
        <v>.</v>
      </c>
      <c r="L54" s="10" t="str">
        <f>IF(L53=".", ".", IF('Summary, PPI''s'!AB54=".",IF(OR('Summary, hourly ad costs'!AB54=-9999,'Summary, hourly ad costs'!AB54=0), ".", 'Predicted PPIs'!L53*('Summary, hourly ad costs'!L54/'Summary, hourly ad costs'!AB54)/('Summary, hourly ad costs'!L53/'Summary, hourly ad costs'!AB53)), 'Summary, PPI''s'!AB54))</f>
        <v>.</v>
      </c>
      <c r="M54" s="10" t="str">
        <f>IF(M53=".", ".", IF('Summary, PPI''s'!AC54=".",IF(OR('Summary, hourly ad costs'!AC54=-9999,'Summary, hourly ad costs'!AC54=0), ".", 'Predicted PPIs'!M53*('Summary, hourly ad costs'!M54/'Summary, hourly ad costs'!AC54)/('Summary, hourly ad costs'!M53/'Summary, hourly ad costs'!AC53)), 'Summary, PPI''s'!AC54))</f>
        <v>.</v>
      </c>
      <c r="N54" s="10" t="str">
        <f>IF(N53=".", ".", IF('Summary, PPI''s'!AD54=".",IF(OR('Summary, hourly ad costs'!AD54=-9999,'Summary, hourly ad costs'!AD54=0), ".", 'Predicted PPIs'!N53*('Summary, hourly ad costs'!N54/'Summary, hourly ad costs'!AD54)/('Summary, hourly ad costs'!N53/'Summary, hourly ad costs'!AD53)), 'Summary, PPI''s'!AD54))</f>
        <v>.</v>
      </c>
      <c r="O54" s="10" t="str">
        <f>IF(O53=".", ".", IF('Summary, PPI''s'!AE54=".",IF(OR('Summary, hourly ad costs'!AE54=-9999,'Summary, hourly ad costs'!AE54=0), ".", 'Predicted PPIs'!O53*('Summary, hourly ad costs'!O54/'Summary, hourly ad costs'!AE54)/('Summary, hourly ad costs'!O53/'Summary, hourly ad costs'!AE53)), 'Summary, PPI''s'!AE54))</f>
        <v>.</v>
      </c>
      <c r="P54" s="10" t="str">
        <f>IF(P53=".", ".", IF('Summary, PPI''s'!AF54=".",IF(OR('Summary, hourly ad costs'!AF54=-9999,'Summary, hourly ad costs'!AF54=0), ".", 'Predicted PPIs'!P53*('Summary, hourly ad costs'!P54/'Summary, hourly ad costs'!AF54)/('Summary, hourly ad costs'!P53/'Summary, hourly ad costs'!AF53)), 'Summary, PPI''s'!AF54))</f>
        <v>.</v>
      </c>
      <c r="R54" s="1">
        <f>IF(E$26=".", 0, 'Summary, PPI''s'!E54)+IF(F$26=".", 0, 'Summary, PPI''s'!F54)+IF(G$26=".", 0, 'Summary, PPI''s'!G54)+IF(H$26=".", 0, 'Summary, PPI''s'!H54)+IF(I$26=".", 0, 'Summary, PPI''s'!I54)+IF(J$26=".", 0, 'Summary, PPI''s'!J54)+IF(K$26=".", 0, 'Summary, PPI''s'!K54)+IF(L$26=".", 0, 'Summary, PPI''s'!L54)+IF(M$26=".", 0, 'Summary, PPI''s'!M54)+IF(B$26=".", 0, 'Summary, PPI''s'!B54)+IF(C$26=".", 0, 'Summary, PPI''s'!C54)+IF(D$26=".", 0, 'Summary, PPI''s'!D54)+IF(N$26=".", 0, 'Summary, PPI''s'!N54)+IF(O$26=".", 0, 'Summary, PPI''s'!O54)+IF(P$26=".", 0, 'Summary, PPI''s'!P54)</f>
        <v>20057858.873632908</v>
      </c>
      <c r="S54" s="1">
        <f>IF(E$36=".", 0, 'Summary, PPI''s'!E54)+IF(F$36=".", 0, 'Summary, PPI''s'!F54)+IF(G$36=".", 0, 'Summary, PPI''s'!G54)+IF(H$36=".", 0, 'Summary, PPI''s'!H54)+IF(I$36=".", 0, 'Summary, PPI''s'!I54)+IF(J$36=".", 0, 'Summary, PPI''s'!J54)+IF(K$36=".", 0, 'Summary, PPI''s'!K54)+IF(L$36=".", 0, 'Summary, PPI''s'!L54)+IF(M$36=".", 0, 'Summary, PPI''s'!M54)+IF(B$36=".", 0, 'Summary, PPI''s'!B54)+IF(C$36=".", 0, 'Summary, PPI''s'!C54)+IF(D$36=".", 0, 'Summary, PPI''s'!D54)+IF(N$36=".", 0, 'Summary, PPI''s'!N54)+IF(O$36=".", 0, 'Summary, PPI''s'!O54)+IF(P$36=".", 0, 'Summary, PPI''s'!P54)</f>
        <v>20057858.873632908</v>
      </c>
      <c r="T54" s="1">
        <f>IF(E$46=".", 0, 'Summary, PPI''s'!E54)+IF(F$46=".", 0, 'Summary, PPI''s'!F54)+IF(G$46=".", 0, 'Summary, PPI''s'!G54)+IF(H$46=".", 0, 'Summary, PPI''s'!H54)+IF(I$46=".", 0, 'Summary, PPI''s'!I54)+IF(J$46=".", 0, 'Summary, PPI''s'!J54)+IF(K$46=".", 0, 'Summary, PPI''s'!K54)+IF(L$46=".", 0, 'Summary, PPI''s'!L54)+IF(M$46=".", 0, 'Summary, PPI''s'!M54)+IF(B$46=".", 0, 'Summary, PPI''s'!B54)+IF(C$46=".", 0, 'Summary, PPI''s'!C54)+IF(D$46=".", 0, 'Summary, PPI''s'!D54)+IF(N$46=".", 0, 'Summary, PPI''s'!N54)+IF(O$46=".", 0, 'Summary, PPI''s'!O54)+IF(P$46=".", 0, 'Summary, PPI''s'!P54)</f>
        <v>14747431.643254524</v>
      </c>
      <c r="U54" s="1">
        <f>IF(E$60=".", 0, 'Summary, PPI''s'!E54)+IF(F$60=".", 0, 'Summary, PPI''s'!F54)+IF(G$60=".", 0, 'Summary, PPI''s'!G54)+IF(H$60=".", 0, 'Summary, PPI''s'!H54)+IF(I$60=".", 0, 'Summary, PPI''s'!I54)+IF(J$60=".", 0, 'Summary, PPI''s'!J54)+IF(K$60=".", 0, 'Summary, PPI''s'!K54)+IF(L$60=".", 0, 'Summary, PPI''s'!L54)+IF(M$60=".", 0, 'Summary, PPI''s'!M54)+IF(B$60=".", 0, 'Summary, PPI''s'!B54)+IF(C$60=".", 0, 'Summary, PPI''s'!C54)+IF(D$60=".", 0, 'Summary, PPI''s'!D54)+IF(N$60=".", 0, 'Summary, PPI''s'!N54)+IF(O$60=".", 0, 'Summary, PPI''s'!O54)+IF(P$60=".", 0, 'Summary, PPI''s'!P54)</f>
        <v>13274791.851088118</v>
      </c>
      <c r="V54" s="1">
        <f>IF(E$73=".", 0, 'Summary, PPI''s'!E54)+IF(F$73=".", 0, 'Summary, PPI''s'!F54)+IF(G$73=".", 0, 'Summary, PPI''s'!G54)+IF(H$73=".", 0, 'Summary, PPI''s'!H54)+IF(I$73=".", 0, 'Summary, PPI''s'!I54)+IF(J$73=".", 0, 'Summary, PPI''s'!J54)+IF(K$73=".", 0, 'Summary, PPI''s'!K54)+IF(L$73=".", 0, 'Summary, PPI''s'!L54)+IF(M$73=".", 0, 'Summary, PPI''s'!M54)+IF(B$73=".", 0, 'Summary, PPI''s'!B54)+IF(C$73=".", 0, 'Summary, PPI''s'!C54)+IF(D$73=".", 0, 'Summary, PPI''s'!D54)+IF(N$73=".", 0, 'Summary, PPI''s'!N54)+IF(O$73=".", 0, 'Summary, PPI''s'!O54)+IF(P$73=".", 0, 'Summary, PPI''s'!P54)</f>
        <v>11637619.527083682</v>
      </c>
      <c r="W54" s="1">
        <f>IF(E$94=".",0,'Summary, PPI''s'!E54)+IF(F$94=".",0,'Summary, PPI''s'!F54)+IF(G$94=".",0,'Summary, PPI''s'!G54)+IF(H$94=".",0,'Summary, PPI''s'!H54)+IF(I$94=".",0,'Summary, PPI''s'!I54)+IF(J$94=".",0,'Summary, PPI''s'!J54)+IF(K$94=".",0,'Summary, PPI''s'!K54)+IF(L$94=".",0,'Summary, PPI''s'!L54)+IF(M$94=".",0,'Summary, PPI''s'!M54)+IF(B$94=".",0,'Summary, PPI''s'!B54)+IF(C$94=".",0,'Summary, PPI''s'!C54)+IF(D$94=".",0,'Summary, PPI''s'!D54)+IF(N$94=".",0,'Summary, PPI''s'!N54)+IF(O$94=".",0,'Summary, PPI''s'!O54)+IF(P$94=".",0,'Summary, PPI''s'!P54)</f>
        <v>8953151.6115064397</v>
      </c>
      <c r="X54" s="1">
        <f>IF(E$123=".", 0, 'Summary, PPI''s'!E54)+IF(F$123=".", 0, 'Summary, PPI''s'!F54)+IF(G$123=".", 0, 'Summary, PPI''s'!G54)+IF(H$123=".", 0, 'Summary, PPI''s'!H54)+IF(I$123=".", 0, 'Summary, PPI''s'!I54)+IF(J$123=".", 0, 'Summary, PPI''s'!J54)+IF(K$123=".", 0, 'Summary, PPI''s'!K54)+IF(L$123=".", 0, 'Summary, PPI''s'!L54)+IF(M$123=".", 0, 'Summary, PPI''s'!M54)+IF(B$123=".", 0, 'Summary, PPI''s'!B54)+IF(C$123=".", 0, 'Summary, PPI''s'!C54)+IF(D$123=".", 0, 'Summary, PPI''s'!D54)+IF(N$123=".", 0, 'Summary, PPI''s'!N54)+IF(O$123=".", 0, 'Summary, PPI''s'!O54)+IF(P$123=".", 0, 'Summary, PPI''s'!P54)</f>
        <v>7938137.6405097768</v>
      </c>
      <c r="Z54" s="4" t="e">
        <f>Z53*IF(E$26=".", 1, (E54/E53)^(('Summary, PPI''s'!$E54+'Summary, PPI''s'!$E53)/('Predicted PPIs'!R54+'Predicted PPIs'!R53)))*IF(F$26=".", 1, (F54/F53)^(('Summary, PPI''s'!$F54+'Summary, PPI''s'!$F53)/('Predicted PPIs'!R54+'Predicted PPIs'!R53)))*IF(G$26=".", 1, (G54/G53)^(('Summary, PPI''s'!$G54+'Summary, PPI''s'!$G53)/('Predicted PPIs'!R54+'Predicted PPIs'!R53)))*IF(H$26=".", 1, (H54/H53)^(('Summary, PPI''s'!$H54+'Summary, PPI''s'!$H53)/('Predicted PPIs'!R54+'Predicted PPIs'!R53)))*IF(I$26=".", 1, (I54/I53)^(('Summary, PPI''s'!$I54+'Summary, PPI''s'!$I53)/('Predicted PPIs'!R54+'Predicted PPIs'!R53)))*IF(J$26=".", 1, (J54/J53)^(('Summary, PPI''s'!$J54+'Summary, PPI''s'!$J53)/('Predicted PPIs'!R54+'Predicted PPIs'!R53)))*IF(K$26=".", 1, (K54/K53)^(('Summary, PPI''s'!$K54+'Summary, PPI''s'!$K53)/('Predicted PPIs'!R54+'Predicted PPIs'!R53)))*IF(L$26=".", 1, (L54/L53)^(('Summary, PPI''s'!$L54+'Summary, PPI''s'!$L53)/('Predicted PPIs'!R54+'Predicted PPIs'!R53)))*IF(M$26=".", 1, (M54/M53)^(('Summary, PPI''s'!$M54+'Summary, PPI''s'!$M53)/('Predicted PPIs'!R54+'Predicted PPIs'!R53)))*IF(B$26=".", 1, (B54/B53)^(('Summary, PPI''s'!$B54+'Summary, PPI''s'!$B53)/('Predicted PPIs'!R54+'Predicted PPIs'!R53)))*IF(C$26=".", 1, (C54/C53)^(('Summary, PPI''s'!$C54+'Summary, PPI''s'!$C53)/('Predicted PPIs'!R54+'Predicted PPIs'!R53)))*IF(D$26=".", 1, (D54/D53)^(('Summary, PPI''s'!$D54+'Summary, PPI''s'!$D53)/('Predicted PPIs'!R54+'Predicted PPIs'!R53)))*IF(N$26=".", 1, (N54/N53)^(('Summary, PPI''s'!$N54+'Summary, PPI''s'!$N53)/('Predicted PPIs'!R54+'Predicted PPIs'!R53)))*IF(O$26=".", 1, (O54/O53)^(('Summary, PPI''s'!$O54+'Summary, PPI''s'!$O53)/('Predicted PPIs'!R54+'Predicted PPIs'!R53)))*IF(P$26=".", 1, (P54/P53)^(('Summary, PPI''s'!$P54+'Summary, PPI''s'!$P53)/('Predicted PPIs'!R54+'Predicted PPIs'!R53)))</f>
        <v>#VALUE!</v>
      </c>
      <c r="AA54" s="4" t="e">
        <f>AA53*IF(E$36=".", 1, (E54/E53)^(('Summary, PPI''s'!$E54+'Summary, PPI''s'!$E53)/('Predicted PPIs'!S54+'Predicted PPIs'!S53)))*IF(F$36=".", 1, (F54/F53)^(('Summary, PPI''s'!$F54+'Summary, PPI''s'!$F53)/('Predicted PPIs'!S54+'Predicted PPIs'!S53)))*IF(G$36=".", 1, (G54/G53)^(('Summary, PPI''s'!$G54+'Summary, PPI''s'!$G53)/('Predicted PPIs'!S54+'Predicted PPIs'!S53)))*IF(H$36=".", 1, (H54/H53)^(('Summary, PPI''s'!$H54+'Summary, PPI''s'!$H53)/('Predicted PPIs'!S54+'Predicted PPIs'!S53)))*IF(I$36=".", 1, (I54/I53)^(('Summary, PPI''s'!$I54+'Summary, PPI''s'!$I53)/('Predicted PPIs'!S54+'Predicted PPIs'!S53)))*IF(J$36=".", 1, (J54/J53)^(('Summary, PPI''s'!$J54+'Summary, PPI''s'!$J53)/('Predicted PPIs'!S54+'Predicted PPIs'!S53)))*IF(K$36=".", 1, (K54/K53)^(('Summary, PPI''s'!$K54+'Summary, PPI''s'!$K53)/('Predicted PPIs'!S54+'Predicted PPIs'!S53)))*IF(L$36=".", 1, (L54/L53)^(('Summary, PPI''s'!$L54+'Summary, PPI''s'!$L53)/('Predicted PPIs'!S54+'Predicted PPIs'!S53)))*IF(M$36=".", 1, (M54/M53)^(('Summary, PPI''s'!$M54+'Summary, PPI''s'!$M53)/('Predicted PPIs'!S54+'Predicted PPIs'!S53)))*IF(B$36=".", 1, (B54/B53)^(('Summary, PPI''s'!$B54+'Summary, PPI''s'!$B53)/('Predicted PPIs'!S54+'Predicted PPIs'!S53)))*IF(C$36=".", 1, (C54/C53)^(('Summary, PPI''s'!$C54+'Summary, PPI''s'!$C53)/('Predicted PPIs'!S54+'Predicted PPIs'!S53)))*IF(D$36=".", 1, (D54/D53)^(('Summary, PPI''s'!$D54+'Summary, PPI''s'!$D53)/('Predicted PPIs'!S54+'Predicted PPIs'!S53)))*IF(N$36=".", 1, (N54/N53)^(('Summary, PPI''s'!$N54+'Summary, PPI''s'!$N53)/('Predicted PPIs'!S54+'Predicted PPIs'!S53)))*IF(O$36=".", 1, (O54/O53)^(('Summary, PPI''s'!$O54+'Summary, PPI''s'!$O53)/('Predicted PPIs'!S54+'Predicted PPIs'!S53)))*IF(P$36=".", 1, (P54/P53)^(('Summary, PPI''s'!$P54+'Summary, PPI''s'!$P53)/('Predicted PPIs'!S54+'Predicted PPIs'!S53)))</f>
        <v>#VALUE!</v>
      </c>
      <c r="AB54" s="4" t="e">
        <f>AB53*IF(E$46=".", 1, (E54/E53)^(('Summary, PPI''s'!$E54+'Summary, PPI''s'!$E53)/('Predicted PPIs'!T54+'Predicted PPIs'!T53)))*IF(F$46=".", 1, (F54/F53)^(('Summary, PPI''s'!$F54+'Summary, PPI''s'!$F53)/('Predicted PPIs'!T54+'Predicted PPIs'!T53)))*IF(G$46=".", 1, (G54/G53)^(('Summary, PPI''s'!$G54+'Summary, PPI''s'!$G53)/('Predicted PPIs'!T54+'Predicted PPIs'!T53)))*IF(H$46=".", 1, (H54/H53)^(('Summary, PPI''s'!$H54+'Summary, PPI''s'!$H53)/('Predicted PPIs'!T54+'Predicted PPIs'!T53)))*IF(I$46=".", 1, (I54/I53)^(('Summary, PPI''s'!$I54+'Summary, PPI''s'!$I53)/('Predicted PPIs'!T54+'Predicted PPIs'!T53)))*IF(J$46=".", 1, (J54/J53)^(('Summary, PPI''s'!$J54+'Summary, PPI''s'!$J53)/('Predicted PPIs'!T54+'Predicted PPIs'!T53)))*IF(K$46=".", 1, (K54/K53)^(('Summary, PPI''s'!$K54+'Summary, PPI''s'!$K53)/('Predicted PPIs'!T54+'Predicted PPIs'!T53)))*IF(L$46=".", 1, (L54/L53)^(('Summary, PPI''s'!$L54+'Summary, PPI''s'!$L53)/('Predicted PPIs'!T54+'Predicted PPIs'!T53)))*IF(M$46=".", 1, (M54/M53)^(('Summary, PPI''s'!$M54+'Summary, PPI''s'!$M53)/('Predicted PPIs'!T54+'Predicted PPIs'!T53)))*IF(B$46=".", 1, (B54/B53)^(('Summary, PPI''s'!$B54+'Summary, PPI''s'!$B53)/('Predicted PPIs'!T54+'Predicted PPIs'!T53)))*IF(C$46=".", 1, (C54/C53)^(('Summary, PPI''s'!$C54+'Summary, PPI''s'!$C53)/('Predicted PPIs'!T54+'Predicted PPIs'!T53)))*IF(D$46=".", 1, (D54/D53)^(('Summary, PPI''s'!$D54+'Summary, PPI''s'!$D53)/('Predicted PPIs'!T54+'Predicted PPIs'!T53)))*IF(N$46=".", 1, (N54/N53)^(('Summary, PPI''s'!$N54+'Summary, PPI''s'!$N53)/('Predicted PPIs'!T54+'Predicted PPIs'!T53)))*IF(O$46=".", 1, (O54/O53)^(('Summary, PPI''s'!$O54+'Summary, PPI''s'!$O53)/('Predicted PPIs'!T54+'Predicted PPIs'!T53)))*IF(P$46=".", 1, (P54/P53)^(('Summary, PPI''s'!$P54+'Summary, PPI''s'!$P53)/('Predicted PPIs'!T54+'Predicted PPIs'!T53)))</f>
        <v>#VALUE!</v>
      </c>
      <c r="AC54" s="4">
        <f>AC53*IF(E$60=".",1,(E54/E53)^(('Summary, PPI''s'!$E54+'Summary, PPI''s'!$E53)/('Predicted PPIs'!U54+'Predicted PPIs'!U53)))*IF(F$60=".",1,(F54/F53)^(('Summary, PPI''s'!$F54+'Summary, PPI''s'!$F53)/('Predicted PPIs'!U54+'Predicted PPIs'!U53)))*IF(G$60=".",1,(G54/G53)^(('Summary, PPI''s'!$G54+'Summary, PPI''s'!$G53)/('Predicted PPIs'!U54+'Predicted PPIs'!U53)))*IF(H$60=".",1,(H54/H53)^(('Summary, PPI''s'!$H54+'Summary, PPI''s'!$H53)/('Predicted PPIs'!U54+'Predicted PPIs'!U53)))*IF(I$60=".",1,(I54/I53)^(('Summary, PPI''s'!$I54+'Summary, PPI''s'!$I53)/('Predicted PPIs'!U54+'Predicted PPIs'!U53)))*IF(J$60=".",1,(J54/J53)^(('Summary, PPI''s'!$J54+'Summary, PPI''s'!$J53)/('Predicted PPIs'!U54+'Predicted PPIs'!U53)))*IF(K$60=".",1,(K54/K53)^(('Summary, PPI''s'!$K54+'Summary, PPI''s'!$K53)/('Predicted PPIs'!U54+'Predicted PPIs'!U53)))*IF(L$60=".",1,(L54/L53)^(('Summary, PPI''s'!$L54+'Summary, PPI''s'!$L53)/('Predicted PPIs'!U54+'Predicted PPIs'!U53)))*IF(M$60=".",1,(M54/M53)^(('Summary, PPI''s'!$M54+'Summary, PPI''s'!$M53)/('Predicted PPIs'!U54+'Predicted PPIs'!U53)))*IF(B$60=".",1,(B54/B53)^(('Summary, PPI''s'!$B54+'Summary, PPI''s'!$B53)/('Predicted PPIs'!U54+'Predicted PPIs'!U53)))*IF(C$60=".",1,(C54/C53)^(('Summary, PPI''s'!$C54+'Summary, PPI''s'!$C53)/('Predicted PPIs'!U54+'Predicted PPIs'!U53)))*IF(D$60=".",1,(D54/D53)^(('Summary, PPI''s'!$D54+'Summary, PPI''s'!$D53)/('Predicted PPIs'!U54+'Predicted PPIs'!U53)))*IF(N$60=".",1,(N54/N53)^(('Summary, PPI''s'!$N54+'Summary, PPI''s'!$N53)/('Predicted PPIs'!U54+'Predicted PPIs'!U53)))*IF(O$60=".",1,(O54/O53)^(('Summary, PPI''s'!$O54+'Summary, PPI''s'!$O53)/('Predicted PPIs'!U54+'Predicted PPIs'!U53)))*IF(P$60=".",1,(P54/P53)^(('Summary, PPI''s'!$P54+'Summary, PPI''s'!$P53)/('Predicted PPIs'!U54+'Predicted PPIs'!U53)))</f>
        <v>14.181960354427043</v>
      </c>
      <c r="AD54" s="4">
        <f>AD53*IF(E$73=".", 1, (E54/E53)^(('Summary, PPI''s'!$E54+'Summary, PPI''s'!$E53)/('Predicted PPIs'!V54+'Predicted PPIs'!V53)))*IF(F$73=".", 1, (F54/F53)^(('Summary, PPI''s'!$F54+'Summary, PPI''s'!$F53)/('Predicted PPIs'!V54+'Predicted PPIs'!V53)))*IF(G$73=".", 1, (G54/G53)^(('Summary, PPI''s'!$G54+'Summary, PPI''s'!$G53)/('Predicted PPIs'!V54+'Predicted PPIs'!V53)))*IF(H$73=".", 1, (H54/H53)^(('Summary, PPI''s'!$H54+'Summary, PPI''s'!$H53)/('Predicted PPIs'!V54+'Predicted PPIs'!V53)))*IF(I$73=".", 1, (I54/I53)^(('Summary, PPI''s'!$I54+'Summary, PPI''s'!$I53)/('Predicted PPIs'!V54+'Predicted PPIs'!V53)))*IF(J$73=".", 1, (J54/J53)^(('Summary, PPI''s'!$J54+'Summary, PPI''s'!$J53)/('Predicted PPIs'!V54+'Predicted PPIs'!V53)))*IF(K$73=".", 1, (K54/K53)^(('Summary, PPI''s'!$K54+'Summary, PPI''s'!$K53)/('Predicted PPIs'!V54+'Predicted PPIs'!V53)))*IF(L$73=".", 1, (L54/L53)^(('Summary, PPI''s'!$L54+'Summary, PPI''s'!$L53)/('Predicted PPIs'!V54+'Predicted PPIs'!V53)))*IF(M$73=".", 1, (M54/M53)^(('Summary, PPI''s'!$M54+'Summary, PPI''s'!$M53)/('Predicted PPIs'!V54+'Predicted PPIs'!V53)))*IF(B$73=".", 1, (B54/B53)^(('Summary, PPI''s'!$B54+'Summary, PPI''s'!$B53)/('Predicted PPIs'!V54+'Predicted PPIs'!V53)))*IF(C$73=".", 1, (C54/C53)^(('Summary, PPI''s'!$C54+'Summary, PPI''s'!$C53)/('Predicted PPIs'!V54+'Predicted PPIs'!V53)))*IF(D$73=".", 1, (D54/D53)^(('Summary, PPI''s'!$D54+'Summary, PPI''s'!$D53)/('Predicted PPIs'!V54+'Predicted PPIs'!V53)))*IF(N$73=".", 1, (N54/N53)^(('Summary, PPI''s'!$N54+'Summary, PPI''s'!$N53)/('Predicted PPIs'!V54+'Predicted PPIs'!V53)))*IF(O$73=".", 1, (O54/O53)^(('Summary, PPI''s'!$O54+'Summary, PPI''s'!$O53)/('Predicted PPIs'!V54+'Predicted PPIs'!V53)))*IF(P$73=".", 1, (P54/P53)^(('Summary, PPI''s'!$P54+'Summary, PPI''s'!$P53)/('Predicted PPIs'!V54+'Predicted PPIs'!V53)))</f>
        <v>13.569244146791403</v>
      </c>
      <c r="AE54" s="4">
        <f>AE53*IF(E$94=".", 1, (E54/E53)^(('Summary, PPI''s'!$E54+'Summary, PPI''s'!$E53)/('Predicted PPIs'!W54+'Predicted PPIs'!W53)))*IF(F$94=".", 1, (F54/F53)^(('Summary, PPI''s'!$F54+'Summary, PPI''s'!$F53)/('Predicted PPIs'!W54+'Predicted PPIs'!W53)))*IF(G$94=".", 1, (G54/G53)^(('Summary, PPI''s'!$G54+'Summary, PPI''s'!$G53)/('Predicted PPIs'!W54+'Predicted PPIs'!W53)))*IF(H$94=".", 1, (H54/H53)^(('Summary, PPI''s'!$H54+'Summary, PPI''s'!$H53)/('Predicted PPIs'!W54+'Predicted PPIs'!W53)))*IF(I$94=".", 1, (I54/I53)^(('Summary, PPI''s'!$I54+'Summary, PPI''s'!$I53)/('Predicted PPIs'!W54+'Predicted PPIs'!W53)))*IF(J$94=".", 1, (J54/J53)^(('Summary, PPI''s'!$J54+'Summary, PPI''s'!$J53)/('Predicted PPIs'!W54+'Predicted PPIs'!W53)))*IF(K$94=".", 1, (K54/K53)^(('Summary, PPI''s'!$K54+'Summary, PPI''s'!$K53)/('Predicted PPIs'!W54+'Predicted PPIs'!W53)))*IF(L$94=".", 1, (L54/L53)^(('Summary, PPI''s'!$L54+'Summary, PPI''s'!$L53)/('Predicted PPIs'!W54+'Predicted PPIs'!W53)))*IF(M$94=".", 1, (M54/M53)^(('Summary, PPI''s'!$M54+'Summary, PPI''s'!$M53)/('Predicted PPIs'!W54+'Predicted PPIs'!W53)))*IF(B$94=".", 1, (B54/B53)^(('Summary, PPI''s'!$B54+'Summary, PPI''s'!$B53)/('Predicted PPIs'!W54+'Predicted PPIs'!W53)))*IF(C$94=".", 1, (C54/C53)^(('Summary, PPI''s'!$C54+'Summary, PPI''s'!$C53)/('Predicted PPIs'!W54+'Predicted PPIs'!W53)))*IF(D$94=".", 1, (D54/D53)^(('Summary, PPI''s'!$D54+'Summary, PPI''s'!$D53)/('Predicted PPIs'!W54+'Predicted PPIs'!W53)))*IF(N$94=".", 1, (N54/N53)^(('Summary, PPI''s'!$N54+'Summary, PPI''s'!$N53)/('Predicted PPIs'!W54+'Predicted PPIs'!W53)))*IF(O$94=".", 1, (O54/O53)^(('Summary, PPI''s'!$O54+'Summary, PPI''s'!$O53)/('Predicted PPIs'!W54+'Predicted PPIs'!W53)))*IF(P$94=".", 1, (P54/P53)^(('Summary, PPI''s'!$P54+'Summary, PPI''s'!$P53)/('Predicted PPIs'!W54+'Predicted PPIs'!W53)))</f>
        <v>12.015885787243246</v>
      </c>
      <c r="AF54" s="4">
        <f>AF53*IF(E$123=".", 1, (E54/E53)^(('Summary, PPI''s'!$E54+'Summary, PPI''s'!$E53)/('Predicted PPIs'!X54+'Predicted PPIs'!X53)))*IF(F$123=".", 1, (F54/F53)^(('Summary, PPI''s'!$F54+'Summary, PPI''s'!$F53)/('Predicted PPIs'!X54+'Predicted PPIs'!X53)))*IF(G$123=".", 1, (G54/G53)^(('Summary, PPI''s'!$G54+'Summary, PPI''s'!$G53)/('Predicted PPIs'!X54+'Predicted PPIs'!X53)))*IF(H$123=".", 1, (H54/H53)^(('Summary, PPI''s'!$H54+'Summary, PPI''s'!$H53)/('Predicted PPIs'!X54+'Predicted PPIs'!X53)))*IF(I$123=".", 1, (I54/I53)^(('Summary, PPI''s'!$I54+'Summary, PPI''s'!$I53)/('Predicted PPIs'!X54+'Predicted PPIs'!X53)))*IF(J$123=".", 1, (J54/J53)^(('Summary, PPI''s'!$J54+'Summary, PPI''s'!$J53)/('Predicted PPIs'!X54+'Predicted PPIs'!X53)))*IF(K$123=".", 1, (K54/K53)^(('Summary, PPI''s'!$K54+'Summary, PPI''s'!$K53)/('Predicted PPIs'!X54+'Predicted PPIs'!X53)))*IF(L$123=".", 1, (L54/L53)^(('Summary, PPI''s'!$L54+'Summary, PPI''s'!$L53)/('Predicted PPIs'!X54+'Predicted PPIs'!X53)))*IF(M$123=".", 1, (M54/M53)^(('Summary, PPI''s'!$M54+'Summary, PPI''s'!$M53)/('Predicted PPIs'!X54+'Predicted PPIs'!X53)))*IF(B$123=".", 1, (B54/B53)^(('Summary, PPI''s'!$B54+'Summary, PPI''s'!$B53)/('Predicted PPIs'!X54+'Predicted PPIs'!X53)))*IF(C$123=".", 1, (C54/C53)^(('Summary, PPI''s'!$C54+'Summary, PPI''s'!$C53)/('Predicted PPIs'!X54+'Predicted PPIs'!X53)))*IF(D$123=".", 1, (D54/D53)^(('Summary, PPI''s'!$D54+'Summary, PPI''s'!$D53)/('Predicted PPIs'!X54+'Predicted PPIs'!X53)))*IF(N$123=".", 1, (N54/N53)^(('Summary, PPI''s'!$N54+'Summary, PPI''s'!$N53)/('Predicted PPIs'!X54+'Predicted PPIs'!X53)))*IF(O$123=".", 1, (O54/O53)^(('Summary, PPI''s'!$O54+'Summary, PPI''s'!$O53)/('Predicted PPIs'!X54+'Predicted PPIs'!X53)))*IF(P$123=".", 1, (P54/P53)^(('Summary, PPI''s'!$P54+'Summary, PPI''s'!$P53)/('Predicted PPIs'!X54+'Predicted PPIs'!X53)))</f>
        <v>11.27190001934564</v>
      </c>
      <c r="AH54" s="13">
        <f t="shared" si="91"/>
        <v>15.681395777173867</v>
      </c>
      <c r="AJ54" s="4">
        <v>603.6</v>
      </c>
      <c r="AK54" s="4">
        <v>-0.73099999999999998</v>
      </c>
      <c r="AL54" s="4">
        <v>-56.627000000000002</v>
      </c>
      <c r="AM54" s="4">
        <v>-3.0459999999999998</v>
      </c>
      <c r="AN54" s="4">
        <v>750.3</v>
      </c>
      <c r="AO54" s="4">
        <v>163.5</v>
      </c>
      <c r="AP54" s="4">
        <f>('[3]1969'!$I$14+'[3]1969'!$I$69+'[3]1969'!$I$71-'[3]1969'!$I$73)*0.001</f>
        <v>-12.055</v>
      </c>
      <c r="AQ54" s="4">
        <f>('[3]1969'!$AY$56+'[3]1969'!$AY$69+'[3]1969'!$AY$71-'[3]1969'!$AY$73)*0.001</f>
        <v>-32.378</v>
      </c>
      <c r="AR54" s="4">
        <f>AR$38*1790/23762</f>
        <v>-0.84279606093763149</v>
      </c>
      <c r="AS54" s="4">
        <v>-4.38</v>
      </c>
      <c r="AT54" s="4">
        <v>19.975999999999999</v>
      </c>
      <c r="AU54" s="4">
        <v>28.655999999999999</v>
      </c>
      <c r="AV54" s="4">
        <v>16.547999999999998</v>
      </c>
      <c r="AW54" s="4">
        <v>18.053999999999998</v>
      </c>
      <c r="AX54" s="4">
        <v>19.125</v>
      </c>
      <c r="AY54" s="4">
        <v>27.498000000000001</v>
      </c>
      <c r="AZ54" s="4">
        <v>11.114000000000001</v>
      </c>
      <c r="BA54" s="4">
        <v>20.741</v>
      </c>
      <c r="BB54" s="4">
        <f>BB$38*161.138/184.05</f>
        <v>90.160234936158645</v>
      </c>
      <c r="BC54" s="4">
        <v>25.515999999999998</v>
      </c>
      <c r="BG54" s="4">
        <f t="shared" si="50"/>
        <v>29.461616705062493</v>
      </c>
      <c r="BI54" s="4">
        <f>BI$13*'[2]Ordinary Experience'!$D$372/'[2]Ordinary Experience'!$D$413</f>
        <v>200939401.65046486</v>
      </c>
      <c r="BJ54" s="4">
        <f>'[2]Ordinary Experience'!$E$372</f>
        <v>28.749904930298424</v>
      </c>
      <c r="BL54" s="4">
        <f t="shared" si="90"/>
        <v>51.920844836777995</v>
      </c>
      <c r="BM54" s="4">
        <f t="shared" si="34"/>
        <v>2.2912648033579952E-2</v>
      </c>
      <c r="BO54" s="4">
        <f>IF(OR('Summary, hourly ad costs'!R54=-9999,'Summary, PPI''s'!R54="."),".",(('Summary, hourly ad costs'!B54/'Summary, hourly ad costs'!R54)*100/('Summary, hourly ad costs'!B$11/'Summary, hourly ad costs'!R$11))/('Summary, PPI''s'!R54))</f>
        <v>1.9233119698406824</v>
      </c>
      <c r="BP54" s="4" t="str">
        <f>IF(OR('Summary, hourly ad costs'!S54=-9999,'Summary, PPI''s'!S54="."),".",(('Summary, hourly ad costs'!C54/'Summary, hourly ad costs'!S54)*100/('Summary, hourly ad costs'!C$11/'Summary, hourly ad costs'!S$11))/('Summary, PPI''s'!S54))</f>
        <v>.</v>
      </c>
      <c r="BQ54" s="4" t="str">
        <f>IF(OR('Summary, hourly ad costs'!T54=-9999,'Summary, PPI''s'!T54="."),".",(('Summary, hourly ad costs'!D54/'Summary, hourly ad costs'!T54)*100/('Summary, hourly ad costs'!D$11/'Summary, hourly ad costs'!T$11))/('Summary, PPI''s'!T54))</f>
        <v>.</v>
      </c>
      <c r="BR54" s="4">
        <f>IF(OR('Summary, hourly ad costs'!U54=-9999,'Summary, PPI''s'!U54="."),".",(('Summary, hourly ad costs'!E54/'Summary, hourly ad costs'!U54)*100/('Summary, hourly ad costs'!E$11/'Summary, hourly ad costs'!U$11))/('Summary, PPI''s'!U54))</f>
        <v>2.0672570108830084</v>
      </c>
      <c r="BS54" s="4">
        <f>IF(OR('Summary, hourly ad costs'!V54=-9999,'Summary, PPI''s'!V54="."),".",(('Summary, hourly ad costs'!F54/'Summary, hourly ad costs'!V54)*100/('Summary, hourly ad costs'!F$11/'Summary, hourly ad costs'!V$11))/('Summary, PPI''s'!V54))</f>
        <v>1.7439038899886397</v>
      </c>
      <c r="BT54" s="4" t="str">
        <f>IF(OR('Summary, hourly ad costs'!W54=-9999,'Summary, PPI''s'!W54="."),".",(('Summary, hourly ad costs'!G54/'Summary, hourly ad costs'!W54)*100/('Summary, hourly ad costs'!G$11/'Summary, hourly ad costs'!W$11))/('Summary, PPI''s'!W54))</f>
        <v>.</v>
      </c>
      <c r="BU54" s="4">
        <f>IF(OR('Summary, hourly ad costs'!X54=-9999,'Summary, PPI''s'!X54="."),".",(('Summary, hourly ad costs'!H54/'Summary, hourly ad costs'!X54)*100/('Summary, hourly ad costs'!H$11/'Summary, hourly ad costs'!X$11))/('Summary, PPI''s'!X54))</f>
        <v>1.1131529509282017</v>
      </c>
      <c r="BV54" s="4" t="str">
        <f>IF(OR('Summary, hourly ad costs'!Y54=-9999,'Summary, PPI''s'!Y54="."),".",(('Summary, hourly ad costs'!I54/'Summary, hourly ad costs'!Y54)*100/('Summary, hourly ad costs'!I$11/'Summary, hourly ad costs'!Y$11))/('Summary, PPI''s'!Y54))</f>
        <v>.</v>
      </c>
      <c r="BW54" s="4" t="str">
        <f>IF(OR('Summary, hourly ad costs'!Z54=-9999,'Summary, PPI''s'!Z54="."),".",(('Summary, hourly ad costs'!J54/'Summary, hourly ad costs'!Z54)*100/('Summary, hourly ad costs'!J$11/'Summary, hourly ad costs'!Z$11))/('Summary, PPI''s'!Z54))</f>
        <v>.</v>
      </c>
      <c r="BX54" s="4" t="str">
        <f>IF(OR('Summary, hourly ad costs'!AA54=-9999,'Summary, PPI''s'!AA54="."),".",(('Summary, hourly ad costs'!K54/'Summary, hourly ad costs'!AA54)*100/('Summary, hourly ad costs'!K$11/'Summary, hourly ad costs'!AA$11))/('Summary, PPI''s'!AA54))</f>
        <v>.</v>
      </c>
      <c r="BY54" s="4" t="str">
        <f>IF(OR('Summary, hourly ad costs'!AB54=-9999,'Summary, PPI''s'!AB54="."),".",(('Summary, hourly ad costs'!L54/'Summary, hourly ad costs'!AB54)*100/('Summary, hourly ad costs'!L$11/'Summary, hourly ad costs'!AB$11))/('Summary, PPI''s'!AB54))</f>
        <v>.</v>
      </c>
      <c r="BZ54" s="4" t="str">
        <f>IF(OR('Summary, hourly ad costs'!AC54=-9999,'Summary, PPI''s'!AC54="."),".",(('Summary, hourly ad costs'!M54/'Summary, hourly ad costs'!AC54)*100/('Summary, hourly ad costs'!M$11/'Summary, hourly ad costs'!AC$11))/('Summary, PPI''s'!AC54))</f>
        <v>.</v>
      </c>
      <c r="CA54" s="4" t="str">
        <f>IF(OR('Summary, hourly ad costs'!AD54=-9999,'Summary, PPI''s'!AD54="."),".",(('Summary, hourly ad costs'!N54/'Summary, hourly ad costs'!AD54)*100/('Summary, hourly ad costs'!N$11/'Summary, hourly ad costs'!AD$11))/('Summary, PPI''s'!AD54))</f>
        <v>.</v>
      </c>
      <c r="CB54" s="4" t="str">
        <f>IF(OR('Summary, hourly ad costs'!AE54=-9999,'Summary, PPI''s'!AE54="."),".",(('Summary, hourly ad costs'!O54/'Summary, hourly ad costs'!AE54)*100/('Summary, hourly ad costs'!O$11/'Summary, hourly ad costs'!AE$11))/('Summary, PPI''s'!AE54))</f>
        <v>.</v>
      </c>
      <c r="CC54" s="4" t="str">
        <f>IF(OR('Summary, hourly ad costs'!AF54=-9999,'Summary, PPI''s'!AF54="."),".",(('Summary, hourly ad costs'!P54/'Summary, hourly ad costs'!AF54)*100/('Summary, hourly ad costs'!P$11/'Summary, hourly ad costs'!AF$11))/('Summary, PPI''s'!AF54))</f>
        <v>.</v>
      </c>
      <c r="CE54" s="4">
        <f t="shared" si="113"/>
        <v>-1.8961546187041489E-2</v>
      </c>
      <c r="CF54" s="4" t="str">
        <f t="shared" si="114"/>
        <v>.</v>
      </c>
      <c r="CG54" s="4" t="str">
        <f t="shared" si="115"/>
        <v>.</v>
      </c>
      <c r="CH54" s="4">
        <f t="shared" si="116"/>
        <v>3.3362552375474142E-2</v>
      </c>
      <c r="CI54" s="4">
        <f t="shared" si="117"/>
        <v>-1.876686624204138E-2</v>
      </c>
      <c r="CJ54" s="4" t="str">
        <f t="shared" si="118"/>
        <v>.</v>
      </c>
      <c r="CK54" s="4">
        <f t="shared" si="119"/>
        <v>3.5706969243154418E-5</v>
      </c>
      <c r="CL54" s="4">
        <f t="shared" si="130"/>
        <v>7.5711122969705606E-3</v>
      </c>
      <c r="CM54" s="4">
        <f t="shared" si="130"/>
        <v>1.9398423469536991E-2</v>
      </c>
      <c r="CN54" s="4">
        <f t="shared" si="89"/>
        <v>-6.7572426896720071E-3</v>
      </c>
      <c r="CO54" s="4">
        <f t="shared" si="120"/>
        <v>0.14468797548458459</v>
      </c>
      <c r="CP54" s="4">
        <f t="shared" si="120"/>
        <v>0.13021819349467476</v>
      </c>
      <c r="CQ54" s="4" t="str">
        <f t="shared" si="110"/>
        <v>.</v>
      </c>
      <c r="CR54" s="4" t="str">
        <f t="shared" si="111"/>
        <v>.</v>
      </c>
      <c r="CS54" s="4" t="str">
        <f t="shared" si="112"/>
        <v>.</v>
      </c>
      <c r="CU54" s="5">
        <f>IF(CU53=".", ".", IF('Summary, PPI''s'!R54=".",IF(OR('Summary, hourly ad costs'!R54=-9999,'Summary, hourly ad costs'!R54=0), ".", 'Predicted PPIs'!CU53*('Summary, hourly ad costs'!B54/'Summary, hourly ad costs'!R54)/('Summary, hourly ad costs'!B53/'Summary, hourly ad costs'!R53)/(1-CE53)), 'Summary, PPI''s'!R54))</f>
        <v>24.665252324172464</v>
      </c>
      <c r="CV54" s="5">
        <f>IF(CV53=".", ".", IF('Summary, PPI''s'!S54=".",IF(OR('Summary, hourly ad costs'!S54=-9999,'Summary, hourly ad costs'!S54=0), ".", 'Predicted PPIs'!CV53*('Summary, hourly ad costs'!C54/'Summary, hourly ad costs'!S54)/('Summary, hourly ad costs'!C53/'Summary, hourly ad costs'!S53)/(1-CF53)), 'Summary, PPI''s'!S54))</f>
        <v>24.665252324172464</v>
      </c>
      <c r="CW54" s="5" t="str">
        <f>IF(CW53=".", ".", IF('Summary, PPI''s'!T54=".",IF(OR('Summary, hourly ad costs'!T54=-9999,'Summary, hourly ad costs'!T54=0), ".", 'Predicted PPIs'!CW53*('Summary, hourly ad costs'!D54/'Summary, hourly ad costs'!T54)/('Summary, hourly ad costs'!D53/'Summary, hourly ad costs'!T53)/(1-CG53)), 'Summary, PPI''s'!T54))</f>
        <v>.</v>
      </c>
      <c r="CX54" s="5">
        <f>IF(CX53=".", ".", IF('Summary, PPI''s'!U54=".",IF(OR('Summary, hourly ad costs'!U54=-9999,'Summary, hourly ad costs'!U54=0), ".", 'Predicted PPIs'!CX53*('Summary, hourly ad costs'!E54/'Summary, hourly ad costs'!U54)/('Summary, hourly ad costs'!E53/'Summary, hourly ad costs'!U53)/(1-CH53)), 'Summary, PPI''s'!U54))</f>
        <v>8.9795292714703407</v>
      </c>
      <c r="CY54" s="5">
        <f>IF(CY53=".", ".", IF('Summary, PPI''s'!V54=".",IF(OR('Summary, hourly ad costs'!V54=-9999,'Summary, hourly ad costs'!V54=0), ".", 'Predicted PPIs'!CY53*('Summary, hourly ad costs'!F54/'Summary, hourly ad costs'!V54)/('Summary, hourly ad costs'!F53/'Summary, hourly ad costs'!V53)/(1-CI53)), 'Summary, PPI''s'!V54))</f>
        <v>13.722443905637606</v>
      </c>
      <c r="CZ54" s="5">
        <f>IF(CZ53=".", ".", IF('Summary, PPI''s'!W54=".",IF(OR('Summary, hourly ad costs'!W54=-9999,'Summary, hourly ad costs'!W54=0), ".", 'Predicted PPIs'!CZ53*('Summary, hourly ad costs'!G54/'Summary, hourly ad costs'!W54)/('Summary, hourly ad costs'!G53/'Summary, hourly ad costs'!W53)/(1-CJ53)), 'Summary, PPI''s'!W54))</f>
        <v>10.919321966599826</v>
      </c>
      <c r="DA54" s="5">
        <f>IF(DA53=".", ".", IF('Summary, PPI''s'!X54=".",IF(OR('Summary, hourly ad costs'!X54=-9999,'Summary, hourly ad costs'!X54=0), ".", 'Predicted PPIs'!DA53*('Summary, hourly ad costs'!H54/'Summary, hourly ad costs'!X54)/('Summary, hourly ad costs'!H53/'Summary, hourly ad costs'!X53)/(1-CK53)), 'Summary, PPI''s'!X54))</f>
        <v>15.944000000000001</v>
      </c>
      <c r="DB54" s="5">
        <f>IF(DB53=".", ".", IF('Summary, PPI''s'!Y54=".",IF(OR('Summary, hourly ad costs'!Y54=-9999,'Summary, hourly ad costs'!Y54=0), ".", 'Predicted PPIs'!DB53*('Summary, hourly ad costs'!I54/'Summary, hourly ad costs'!Y54)/('Summary, hourly ad costs'!I53/'Summary, hourly ad costs'!Y53)/(1-CL53)), 'Summary, PPI''s'!Y54))</f>
        <v>13.461359038259356</v>
      </c>
      <c r="DC54" s="5">
        <f>IF(DC53=".", ".", IF('Summary, PPI''s'!Z54=".",IF(OR('Summary, hourly ad costs'!Z54=-9999,'Summary, hourly ad costs'!Z54=0), ".", 'Predicted PPIs'!DC53*('Summary, hourly ad costs'!J54/'Summary, hourly ad costs'!Z54)/('Summary, hourly ad costs'!J53/'Summary, hourly ad costs'!Z53)/(1-CM53)), 'Summary, PPI''s'!Z54))</f>
        <v>19.113388497707792</v>
      </c>
      <c r="DD54" s="5" t="str">
        <f>IF(DD53=".", ".", IF('Summary, PPI''s'!AA54=".",IF(OR('Summary, hourly ad costs'!AA54=-9999,'Summary, hourly ad costs'!AA54=0), ".", 'Predicted PPIs'!DD53*('Summary, hourly ad costs'!K54/'Summary, hourly ad costs'!AA54)/('Summary, hourly ad costs'!K53/'Summary, hourly ad costs'!AA53)/(1-CN53)), 'Summary, PPI''s'!AA54))</f>
        <v>.</v>
      </c>
      <c r="DE54" s="5" t="str">
        <f>IF(DE53=".", ".", IF('Summary, PPI''s'!AB54=".",IF(OR('Summary, hourly ad costs'!AB54=-9999,'Summary, hourly ad costs'!AB54=0), ".", 'Predicted PPIs'!DE53*('Summary, hourly ad costs'!L54/'Summary, hourly ad costs'!AB54)/('Summary, hourly ad costs'!L53/'Summary, hourly ad costs'!AB53)/(1-CO53)), 'Summary, PPI''s'!AB54))</f>
        <v>.</v>
      </c>
      <c r="DF54" s="5" t="str">
        <f>IF(DF53=".", ".", IF('Summary, PPI''s'!AC54=".",IF(OR('Summary, hourly ad costs'!AC54=-9999,'Summary, hourly ad costs'!AC54=0), ".", 'Predicted PPIs'!DF53*('Summary, hourly ad costs'!M54/'Summary, hourly ad costs'!AC54)/('Summary, hourly ad costs'!M53/'Summary, hourly ad costs'!AC53)/(1-CP53)), 'Summary, PPI''s'!AC54))</f>
        <v>.</v>
      </c>
      <c r="DG54" s="5" t="str">
        <f>IF(DG53=".", ".", IF('Summary, PPI''s'!AD54=".",IF(OR('Summary, hourly ad costs'!AD54=-9999,'Summary, hourly ad costs'!AD54=0), ".", 'Predicted PPIs'!DG53*('Summary, hourly ad costs'!N54/'Summary, hourly ad costs'!AD54)/('Summary, hourly ad costs'!N53/'Summary, hourly ad costs'!AD53)/(1-CQ53)), 'Summary, PPI''s'!AD54))</f>
        <v>.</v>
      </c>
      <c r="DH54" s="5" t="str">
        <f>IF(DH53=".", ".", IF('Summary, PPI''s'!AE54=".",IF(OR('Summary, hourly ad costs'!AE54=-9999,'Summary, hourly ad costs'!AE54=0), ".", 'Predicted PPIs'!DH53*('Summary, hourly ad costs'!O54/'Summary, hourly ad costs'!AE54)/('Summary, hourly ad costs'!O53/'Summary, hourly ad costs'!AE53)/(1-CR53)), 'Summary, PPI''s'!AE54))</f>
        <v>.</v>
      </c>
      <c r="DI54" s="5" t="str">
        <f>IF(DI53=".", ".", IF('Summary, PPI''s'!AF54=".",IF(OR('Summary, hourly ad costs'!AF54=-9999,'Summary, hourly ad costs'!AF54=0), ".", 'Predicted PPIs'!DI53*('Summary, hourly ad costs'!P54/'Summary, hourly ad costs'!AF54)/('Summary, hourly ad costs'!P53/'Summary, hourly ad costs'!AF53)/(1-CS53)), 'Summary, PPI''s'!AF54))</f>
        <v>.</v>
      </c>
      <c r="DK54" s="4">
        <v>8.44</v>
      </c>
      <c r="DM54" s="5">
        <f t="shared" si="121"/>
        <v>-1.2739589329230472E-2</v>
      </c>
      <c r="DN54" s="5">
        <f t="shared" si="122"/>
        <v>-1.2739589329230472E-2</v>
      </c>
      <c r="DO54" s="4">
        <f t="shared" si="123"/>
        <v>-2.2686348604502232E-2</v>
      </c>
      <c r="DP54" s="5">
        <f t="shared" si="124"/>
        <v>-1.5258930966645656E-2</v>
      </c>
      <c r="DQ54" s="5">
        <f t="shared" si="125"/>
        <v>-1.4248640503860988E-2</v>
      </c>
      <c r="DR54" s="5">
        <f t="shared" si="126"/>
        <v>-1.94548576716157E-2</v>
      </c>
      <c r="DS54" s="5">
        <f t="shared" si="127"/>
        <v>1.48415403920652E-2</v>
      </c>
      <c r="DT54" s="5">
        <f t="shared" si="128"/>
        <v>-1.8147931169427478E-2</v>
      </c>
      <c r="DU54" s="5">
        <f t="shared" si="129"/>
        <v>-3.7776791897659034E-4</v>
      </c>
      <c r="DV54" s="4">
        <f t="shared" si="131"/>
        <v>-2.8442019003742424E-6</v>
      </c>
      <c r="DW54" s="4">
        <f t="shared" si="78"/>
        <v>-8.4487615516917441E-2</v>
      </c>
      <c r="DX54" s="4">
        <f t="shared" si="78"/>
        <v>-1.9132694358588637E-2</v>
      </c>
      <c r="DY54" s="4">
        <f t="shared" si="108"/>
        <v>-1.72299432209722E-2</v>
      </c>
      <c r="DZ54" s="4">
        <f t="shared" si="132"/>
        <v>-1.0587753713263098E-2</v>
      </c>
      <c r="EA54" s="4">
        <f t="shared" si="109"/>
        <v>-1.0151708376036808E-2</v>
      </c>
      <c r="EC54" s="1">
        <f t="shared" si="93"/>
        <v>24.665252324172464</v>
      </c>
      <c r="ED54" s="1">
        <f t="shared" si="94"/>
        <v>24.665252324172464</v>
      </c>
      <c r="EE54" s="1">
        <f t="shared" si="95"/>
        <v>17.136070408144057</v>
      </c>
      <c r="EF54" s="1">
        <f t="shared" si="96"/>
        <v>8.9795292714703407</v>
      </c>
      <c r="EG54" s="1">
        <f t="shared" si="97"/>
        <v>13.722443905637606</v>
      </c>
      <c r="EH54" s="1">
        <f t="shared" si="98"/>
        <v>10.919321966599826</v>
      </c>
      <c r="EI54" s="1">
        <f t="shared" si="99"/>
        <v>15.944000000000001</v>
      </c>
      <c r="EJ54" s="1">
        <f t="shared" si="100"/>
        <v>13.461359038259356</v>
      </c>
      <c r="EK54" s="1">
        <f t="shared" si="101"/>
        <v>19.113388497707792</v>
      </c>
      <c r="EL54" s="1">
        <f t="shared" si="102"/>
        <v>6.9026227544678243</v>
      </c>
      <c r="EM54" s="1">
        <f t="shared" si="103"/>
        <v>7.6906593676274033</v>
      </c>
      <c r="EN54" s="1">
        <f t="shared" si="104"/>
        <v>5.7509799508591639</v>
      </c>
      <c r="EO54" s="1">
        <f t="shared" si="105"/>
        <v>9.841574022864048</v>
      </c>
      <c r="EP54" s="1">
        <f t="shared" si="106"/>
        <v>12.482759843009759</v>
      </c>
      <c r="EQ54" s="1">
        <f t="shared" si="107"/>
        <v>9.582117381040268</v>
      </c>
      <c r="ES54" s="1">
        <f>IF(EF$26=".", 0, 'Summary, PPI''s'!E54)+IF(EG$26=".", 0, 'Summary, PPI''s'!F54)+IF(EH$26=".", 0, 'Summary, PPI''s'!G54)+IF(EI$26=".", 0, 'Summary, PPI''s'!H54)+IF(EJ$26=".", 0, 'Summary, PPI''s'!I54)+IF(EK$26=".", 0, 'Summary, PPI''s'!J54)+IF(EL$26=".", 0, 'Summary, PPI''s'!K54)+IF(EM$26=".", 0, 'Summary, PPI''s'!L54)+IF(EN$26=".", 0, 'Summary, PPI''s'!M54)+IF(EC$26=".", 0, 'Summary, PPI''s'!B54)+IF(ED$26=".", 0, 'Summary, PPI''s'!C54)+IF(EE$26=".", 0, 'Summary, PPI''s'!D54)+IF(EO$26=".", 0, 'Summary, PPI''s'!N54)+IF(EP$26=".", 0, 'Summary, PPI''s'!O54)+IF(EQ$26=".", 0, 'Summary, PPI''s'!P54)</f>
        <v>20057858.873632908</v>
      </c>
      <c r="ET54" s="1">
        <f>'Summary, hourly ad costs'!E54+'Summary, hourly ad costs'!F54+'Summary, hourly ad costs'!H54+'Summary, hourly ad costs'!I54+'Summary, hourly ad costs'!J54+'Summary, hourly ad costs'!K54+'Summary, hourly ad costs'!L54+'Summary, hourly ad costs'!M54+'Summary, hourly ad costs'!B54</f>
        <v>11637619.527083682</v>
      </c>
      <c r="EV54" s="13">
        <f>EV53*IF(EF$26=".", 1, (EF54/EF53)^(('Summary, PPI''s'!$E54+'Summary, PPI''s'!$E53)/('Predicted PPIs'!ES54+'Predicted PPIs'!ES53)))*IF(EG$26=".", 1, (EG54/EG53)^(('Summary, PPI''s'!$F54+'Summary, PPI''s'!$F53)/('Predicted PPIs'!ES54+'Predicted PPIs'!ES53)))*IF(EH$26=".", 1, (EH54/EH53)^(('Summary, PPI''s'!$G54+'Summary, PPI''s'!$G53)/('Predicted PPIs'!ES54+'Predicted PPIs'!ES53)))*IF(EI$26=".", 1, (EI54/EI53)^(('Summary, PPI''s'!$H54+'Summary, PPI''s'!$H53)/('Predicted PPIs'!ES54+'Predicted PPIs'!ES53)))*IF(EJ$26=".", 1, (EJ54/EJ53)^(('Summary, PPI''s'!$I54+'Summary, PPI''s'!$I53)/('Predicted PPIs'!ES54+'Predicted PPIs'!ES53)))*IF(EK$26=".", 1, (EK54/EK53)^(('Summary, PPI''s'!$J54+'Summary, PPI''s'!$J53)/('Predicted PPIs'!ES54+'Predicted PPIs'!ES53)))*IF(EL$26=".", 1, (EL54/EL53)^(('Summary, PPI''s'!$K54+'Summary, PPI''s'!$K53)/('Predicted PPIs'!ES54+'Predicted PPIs'!ES53)))*IF(EM$26=".", 1, (EM54/EM53)^(('Summary, PPI''s'!$L54+'Summary, PPI''s'!$L53)/('Predicted PPIs'!ES54+'Predicted PPIs'!ES53)))*IF(EN$26=".", 1, (EN54/EN53)^(('Summary, PPI''s'!$M54+'Summary, PPI''s'!$M53)/('Predicted PPIs'!ES54+'Predicted PPIs'!ES53)))*IF(EC$26=".", 1, (EC54/EC53)^(('Summary, PPI''s'!$B54+'Summary, PPI''s'!$B53)/('Predicted PPIs'!ES54+'Predicted PPIs'!ES53)))*IF(ED$26=".", 1, (ED54/ED53)^(('Summary, PPI''s'!$C54+'Summary, PPI''s'!$C53)/('Predicted PPIs'!ES54+'Predicted PPIs'!ES53)))*IF(EE$26=".", 1, (EE54/EE53)^(('Summary, PPI''s'!$D54+'Summary, PPI''s'!$D53)/('Predicted PPIs'!ES54+'Predicted PPIs'!ES53)))*IF(EO$26=".", 1, (EO54/EO53)^(('Summary, PPI''s'!$N54+'Summary, PPI''s'!$N53)/('Predicted PPIs'!ES54+'Predicted PPIs'!ES53)))*IF(EP$26=".", 1, (EP54/EP53)^(('Summary, PPI''s'!$O54+'Summary, PPI''s'!$O53)/('Predicted PPIs'!ES54+'Predicted PPIs'!ES53)))*IF(EQ$26=".", 1, (EQ54/EQ53)^(('Summary, PPI''s'!$P54+'Summary, PPI''s'!$P53)/('Predicted PPIs'!ES54+'Predicted PPIs'!ES53)))</f>
        <v>14.370208276482188</v>
      </c>
      <c r="EW54" s="13">
        <f>EW53*IF(EF$26=".", 1, (EF54/EF53)^(('Summary, PPI''s'!$E54+'Summary, PPI''s'!$E53)/('Predicted PPIs'!ET54+'Predicted PPIs'!ET53)))*IF(EG$26=".", 1, (EG54/EG53)^(('Summary, PPI''s'!$F54+'Summary, PPI''s'!$F53)/('Predicted PPIs'!ET54+'Predicted PPIs'!ET53)))*IF(EH$26=".", 1, (EH54/EH53)^(('Summary, PPI''s'!$G54+'Summary, PPI''s'!$G53)/('Predicted PPIs'!ET54+'Predicted PPIs'!ET53)))*IF(EK$26=".", 1, (EK54/EK53)^(('Summary, PPI''s'!$J54+'Summary, PPI''s'!$J53)/('Predicted PPIs'!ET54+'Predicted PPIs'!ET53)))*IF(EL$26=".", 1, (EL54/EL53)^(('Summary, PPI''s'!$K54+'Summary, PPI''s'!$K53)/('Predicted PPIs'!ET54+'Predicted PPIs'!ET53)))*IF(EM$26=".", 1, (EM54/EM53)^(('Summary, PPI''s'!$L54+'Summary, PPI''s'!$L53)/('Predicted PPIs'!ET54+'Predicted PPIs'!ET53)))*IF(EN$26=".", 1, (EN54/EN53)^(('Summary, PPI''s'!$M54+'Summary, PPI''s'!$M53)/('Predicted PPIs'!ET54+'Predicted PPIs'!ET53)))*IF(EC$26=".", 1, (EC54/EC53)^(('Summary, PPI''s'!$B54+'Summary, PPI''s'!$B53)/('Predicted PPIs'!ET54+'Predicted PPIs'!ET53)))</f>
        <v>17.049414143968377</v>
      </c>
      <c r="EY54" s="2"/>
    </row>
    <row r="55" spans="1:155" x14ac:dyDescent="0.3">
      <c r="A55" s="4">
        <v>1968</v>
      </c>
      <c r="B55" s="10">
        <f>IF(B54=".", ".", IF('Summary, PPI''s'!R55=".",IF(OR('Summary, hourly ad costs'!R55=-9999,'Summary, hourly ad costs'!R55=0), ".", 'Predicted PPIs'!B54*('Summary, hourly ad costs'!B55/'Summary, hourly ad costs'!R55)/('Summary, hourly ad costs'!B54/'Summary, hourly ad costs'!R54)), 'Summary, PPI''s'!R55))</f>
        <v>23.441302370653656</v>
      </c>
      <c r="C55" s="10">
        <f>IF(C54=".", ".", IF('Summary, PPI''s'!S55=".",IF(OR('Summary, hourly ad costs'!S55=-9999,'Summary, hourly ad costs'!S55=0), ".", 'Predicted PPIs'!C54*('Summary, hourly ad costs'!C55/'Summary, hourly ad costs'!S55)/('Summary, hourly ad costs'!C54/'Summary, hourly ad costs'!S54)), 'Summary, PPI''s'!S55))</f>
        <v>23.441302370653656</v>
      </c>
      <c r="D55" s="10" t="str">
        <f>IF(D54=".", ".", IF('Summary, PPI''s'!T55=".",IF(OR('Summary, hourly ad costs'!T55=-9999,'Summary, hourly ad costs'!T55=0), ".", 'Predicted PPIs'!D54*('Summary, hourly ad costs'!D55/'Summary, hourly ad costs'!T55)/('Summary, hourly ad costs'!D54/'Summary, hourly ad costs'!T54)), 'Summary, PPI''s'!T55))</f>
        <v>.</v>
      </c>
      <c r="E55" s="10">
        <f>IF(E54=".", ".", IF('Summary, PPI''s'!U55=".",IF(OR('Summary, hourly ad costs'!U55=-9999,'Summary, hourly ad costs'!U55=0), ".", 'Predicted PPIs'!E54*('Summary, hourly ad costs'!E55/'Summary, hourly ad costs'!U55)/('Summary, hourly ad costs'!E54/'Summary, hourly ad costs'!U54)), 'Summary, PPI''s'!U55))</f>
        <v>8.5557762047267953</v>
      </c>
      <c r="F55" s="10">
        <f>IF(F54=".", ".", IF('Summary, PPI''s'!V55=".",IF(OR('Summary, hourly ad costs'!V55=-9999,'Summary, hourly ad costs'!V55=0), ".", 'Predicted PPIs'!F54*('Summary, hourly ad costs'!F55/'Summary, hourly ad costs'!V55)/('Summary, hourly ad costs'!F54/'Summary, hourly ad costs'!V54)), 'Summary, PPI''s'!V55))</f>
        <v>13.061467549973388</v>
      </c>
      <c r="G55" s="10">
        <f>IF(G54=".", ".", IF('Summary, PPI''s'!W55=".",IF(OR('Summary, hourly ad costs'!W55=-9999,'Summary, hourly ad costs'!W55=0), ".", 'Predicted PPIs'!G54*('Summary, hourly ad costs'!G55/'Summary, hourly ad costs'!W55)/('Summary, hourly ad costs'!G54/'Summary, hourly ad costs'!W54)), 'Summary, PPI''s'!W55))</f>
        <v>10.448548803967979</v>
      </c>
      <c r="H55" s="10">
        <f>IF(H54=".", ".", IF('Summary, PPI''s'!X55=".",IF(OR('Summary, hourly ad costs'!X55=-9999,'Summary, hourly ad costs'!X55=0), ".", 'Predicted PPIs'!H54*('Summary, hourly ad costs'!H55/'Summary, hourly ad costs'!X55)/('Summary, hourly ad costs'!H54/'Summary, hourly ad costs'!X54)), 'Summary, PPI''s'!X55))</f>
        <v>14.741</v>
      </c>
      <c r="I55" s="10">
        <f>IF(I54=".", ".", IF('Summary, PPI''s'!Y55=".",IF(OR('Summary, hourly ad costs'!Y55=-9999,'Summary, hourly ad costs'!Y55=0), ".", 'Predicted PPIs'!I54*('Summary, hourly ad costs'!I55/'Summary, hourly ad costs'!Y55)/('Summary, hourly ad costs'!I54/'Summary, hourly ad costs'!Y54)), 'Summary, PPI''s'!Y55))</f>
        <v>12.668441046395065</v>
      </c>
      <c r="J55" s="10">
        <f>IF(J54=".", ".", IF('Summary, PPI''s'!Z55=".",IF(OR('Summary, hourly ad costs'!Z55=-9999,'Summary, hourly ad costs'!Z55=0), ".", 'Predicted PPIs'!J54*('Summary, hourly ad costs'!J55/'Summary, hourly ad costs'!Z55)/('Summary, hourly ad costs'!J54/'Summary, hourly ad costs'!Z54)), 'Summary, PPI''s'!Z55))</f>
        <v>15.395429930999564</v>
      </c>
      <c r="K55" s="10" t="str">
        <f>IF(K54=".", ".", IF('Summary, PPI''s'!AA55=".",IF(OR('Summary, hourly ad costs'!AA55=-9999,'Summary, hourly ad costs'!AA55=0), ".", 'Predicted PPIs'!K54*('Summary, hourly ad costs'!K55/'Summary, hourly ad costs'!AA55)/('Summary, hourly ad costs'!K54/'Summary, hourly ad costs'!AA54)), 'Summary, PPI''s'!AA55))</f>
        <v>.</v>
      </c>
      <c r="L55" s="10" t="str">
        <f>IF(L54=".", ".", IF('Summary, PPI''s'!AB55=".",IF(OR('Summary, hourly ad costs'!AB55=-9999,'Summary, hourly ad costs'!AB55=0), ".", 'Predicted PPIs'!L54*('Summary, hourly ad costs'!L55/'Summary, hourly ad costs'!AB55)/('Summary, hourly ad costs'!L54/'Summary, hourly ad costs'!AB54)), 'Summary, PPI''s'!AB55))</f>
        <v>.</v>
      </c>
      <c r="M55" s="10" t="str">
        <f>IF(M54=".", ".", IF('Summary, PPI''s'!AC55=".",IF(OR('Summary, hourly ad costs'!AC55=-9999,'Summary, hourly ad costs'!AC55=0), ".", 'Predicted PPIs'!M54*('Summary, hourly ad costs'!M55/'Summary, hourly ad costs'!AC55)/('Summary, hourly ad costs'!M54/'Summary, hourly ad costs'!AC54)), 'Summary, PPI''s'!AC55))</f>
        <v>.</v>
      </c>
      <c r="N55" s="10" t="str">
        <f>IF(N54=".", ".", IF('Summary, PPI''s'!AD55=".",IF(OR('Summary, hourly ad costs'!AD55=-9999,'Summary, hourly ad costs'!AD55=0), ".", 'Predicted PPIs'!N54*('Summary, hourly ad costs'!N55/'Summary, hourly ad costs'!AD55)/('Summary, hourly ad costs'!N54/'Summary, hourly ad costs'!AD54)), 'Summary, PPI''s'!AD55))</f>
        <v>.</v>
      </c>
      <c r="O55" s="10" t="str">
        <f>IF(O54=".", ".", IF('Summary, PPI''s'!AE55=".",IF(OR('Summary, hourly ad costs'!AE55=-9999,'Summary, hourly ad costs'!AE55=0), ".", 'Predicted PPIs'!O54*('Summary, hourly ad costs'!O55/'Summary, hourly ad costs'!AE55)/('Summary, hourly ad costs'!O54/'Summary, hourly ad costs'!AE54)), 'Summary, PPI''s'!AE55))</f>
        <v>.</v>
      </c>
      <c r="P55" s="10" t="str">
        <f>IF(P54=".", ".", IF('Summary, PPI''s'!AF55=".",IF(OR('Summary, hourly ad costs'!AF55=-9999,'Summary, hourly ad costs'!AF55=0), ".", 'Predicted PPIs'!P54*('Summary, hourly ad costs'!P55/'Summary, hourly ad costs'!AF55)/('Summary, hourly ad costs'!P54/'Summary, hourly ad costs'!AF54)), 'Summary, PPI''s'!AF55))</f>
        <v>.</v>
      </c>
      <c r="R55" s="1">
        <f>IF(E$26=".", 0, 'Summary, PPI''s'!E55)+IF(F$26=".", 0, 'Summary, PPI''s'!F55)+IF(G$26=".", 0, 'Summary, PPI''s'!G55)+IF(H$26=".", 0, 'Summary, PPI''s'!H55)+IF(I$26=".", 0, 'Summary, PPI''s'!I55)+IF(J$26=".", 0, 'Summary, PPI''s'!J55)+IF(K$26=".", 0, 'Summary, PPI''s'!K55)+IF(L$26=".", 0, 'Summary, PPI''s'!L55)+IF(M$26=".", 0, 'Summary, PPI''s'!M55)+IF(B$26=".", 0, 'Summary, PPI''s'!B55)+IF(C$26=".", 0, 'Summary, PPI''s'!C55)+IF(D$26=".", 0, 'Summary, PPI''s'!D55)+IF(N$26=".", 0, 'Summary, PPI''s'!N55)+IF(O$26=".", 0, 'Summary, PPI''s'!O55)+IF(P$26=".", 0, 'Summary, PPI''s'!P55)</f>
        <v>18637468.75213211</v>
      </c>
      <c r="S55" s="1">
        <f>IF(E$36=".", 0, 'Summary, PPI''s'!E55)+IF(F$36=".", 0, 'Summary, PPI''s'!F55)+IF(G$36=".", 0, 'Summary, PPI''s'!G55)+IF(H$36=".", 0, 'Summary, PPI''s'!H55)+IF(I$36=".", 0, 'Summary, PPI''s'!I55)+IF(J$36=".", 0, 'Summary, PPI''s'!J55)+IF(K$36=".", 0, 'Summary, PPI''s'!K55)+IF(L$36=".", 0, 'Summary, PPI''s'!L55)+IF(M$36=".", 0, 'Summary, PPI''s'!M55)+IF(B$36=".", 0, 'Summary, PPI''s'!B55)+IF(C$36=".", 0, 'Summary, PPI''s'!C55)+IF(D$36=".", 0, 'Summary, PPI''s'!D55)+IF(N$36=".", 0, 'Summary, PPI''s'!N55)+IF(O$36=".", 0, 'Summary, PPI''s'!O55)+IF(P$36=".", 0, 'Summary, PPI''s'!P55)</f>
        <v>18637468.75213211</v>
      </c>
      <c r="T55" s="1">
        <f>IF(E$46=".", 0, 'Summary, PPI''s'!E55)+IF(F$46=".", 0, 'Summary, PPI''s'!F55)+IF(G$46=".", 0, 'Summary, PPI''s'!G55)+IF(H$46=".", 0, 'Summary, PPI''s'!H55)+IF(I$46=".", 0, 'Summary, PPI''s'!I55)+IF(J$46=".", 0, 'Summary, PPI''s'!J55)+IF(K$46=".", 0, 'Summary, PPI''s'!K55)+IF(L$46=".", 0, 'Summary, PPI''s'!L55)+IF(M$46=".", 0, 'Summary, PPI''s'!M55)+IF(B$46=".", 0, 'Summary, PPI''s'!B55)+IF(C$46=".", 0, 'Summary, PPI''s'!C55)+IF(D$46=".", 0, 'Summary, PPI''s'!D55)+IF(N$46=".", 0, 'Summary, PPI''s'!N55)+IF(O$46=".", 0, 'Summary, PPI''s'!O55)+IF(P$46=".", 0, 'Summary, PPI''s'!P55)</f>
        <v>13707237.18002118</v>
      </c>
      <c r="U55" s="1">
        <f>IF(E$60=".", 0, 'Summary, PPI''s'!E55)+IF(F$60=".", 0, 'Summary, PPI''s'!F55)+IF(G$60=".", 0, 'Summary, PPI''s'!G55)+IF(H$60=".", 0, 'Summary, PPI''s'!H55)+IF(I$60=".", 0, 'Summary, PPI''s'!I55)+IF(J$60=".", 0, 'Summary, PPI''s'!J55)+IF(K$60=".", 0, 'Summary, PPI''s'!K55)+IF(L$60=".", 0, 'Summary, PPI''s'!L55)+IF(M$60=".", 0, 'Summary, PPI''s'!M55)+IF(B$60=".", 0, 'Summary, PPI''s'!B55)+IF(C$60=".", 0, 'Summary, PPI''s'!C55)+IF(D$60=".", 0, 'Summary, PPI''s'!D55)+IF(N$60=".", 0, 'Summary, PPI''s'!N55)+IF(O$60=".", 0, 'Summary, PPI''s'!O55)+IF(P$60=".", 0, 'Summary, PPI''s'!P55)</f>
        <v>12347384.493527306</v>
      </c>
      <c r="V55" s="1">
        <f>IF(E$73=".", 0, 'Summary, PPI''s'!E55)+IF(F$73=".", 0, 'Summary, PPI''s'!F55)+IF(G$73=".", 0, 'Summary, PPI''s'!G55)+IF(H$73=".", 0, 'Summary, PPI''s'!H55)+IF(I$73=".", 0, 'Summary, PPI''s'!I55)+IF(J$73=".", 0, 'Summary, PPI''s'!J55)+IF(K$73=".", 0, 'Summary, PPI''s'!K55)+IF(L$73=".", 0, 'Summary, PPI''s'!L55)+IF(M$73=".", 0, 'Summary, PPI''s'!M55)+IF(B$73=".", 0, 'Summary, PPI''s'!B55)+IF(C$73=".", 0, 'Summary, PPI''s'!C55)+IF(D$73=".", 0, 'Summary, PPI''s'!D55)+IF(N$73=".", 0, 'Summary, PPI''s'!N55)+IF(O$73=".", 0, 'Summary, PPI''s'!O55)+IF(P$73=".", 0, 'Summary, PPI''s'!P55)</f>
        <v>10870661.520745046</v>
      </c>
      <c r="W55" s="1">
        <f>IF(E$94=".",0,'Summary, PPI''s'!E55)+IF(F$94=".",0,'Summary, PPI''s'!F55)+IF(G$94=".",0,'Summary, PPI''s'!G55)+IF(H$94=".",0,'Summary, PPI''s'!H55)+IF(I$94=".",0,'Summary, PPI''s'!I55)+IF(J$94=".",0,'Summary, PPI''s'!J55)+IF(K$94=".",0,'Summary, PPI''s'!K55)+IF(L$94=".",0,'Summary, PPI''s'!L55)+IF(M$94=".",0,'Summary, PPI''s'!M55)+IF(B$94=".",0,'Summary, PPI''s'!B55)+IF(C$94=".",0,'Summary, PPI''s'!C55)+IF(D$94=".",0,'Summary, PPI''s'!D55)+IF(N$94=".",0,'Summary, PPI''s'!N55)+IF(O$94=".",0,'Summary, PPI''s'!O55)+IF(P$94=".",0,'Summary, PPI''s'!P55)</f>
        <v>8451270.7717268951</v>
      </c>
      <c r="X55" s="1">
        <f>IF(E$123=".", 0, 'Summary, PPI''s'!E55)+IF(F$123=".", 0, 'Summary, PPI''s'!F55)+IF(G$123=".", 0, 'Summary, PPI''s'!G55)+IF(H$123=".", 0, 'Summary, PPI''s'!H55)+IF(I$123=".", 0, 'Summary, PPI''s'!I55)+IF(J$123=".", 0, 'Summary, PPI''s'!J55)+IF(K$123=".", 0, 'Summary, PPI''s'!K55)+IF(L$123=".", 0, 'Summary, PPI''s'!L55)+IF(M$123=".", 0, 'Summary, PPI''s'!M55)+IF(B$123=".", 0, 'Summary, PPI''s'!B55)+IF(C$123=".", 0, 'Summary, PPI''s'!C55)+IF(D$123=".", 0, 'Summary, PPI''s'!D55)+IF(N$123=".", 0, 'Summary, PPI''s'!N55)+IF(O$123=".", 0, 'Summary, PPI''s'!O55)+IF(P$123=".", 0, 'Summary, PPI''s'!P55)</f>
        <v>7495138.8266720278</v>
      </c>
      <c r="Z55" s="4" t="e">
        <f>Z54*IF(E$26=".", 1, (E55/E54)^(('Summary, PPI''s'!$E55+'Summary, PPI''s'!$E54)/('Predicted PPIs'!R55+'Predicted PPIs'!R54)))*IF(F$26=".", 1, (F55/F54)^(('Summary, PPI''s'!$F55+'Summary, PPI''s'!$F54)/('Predicted PPIs'!R55+'Predicted PPIs'!R54)))*IF(G$26=".", 1, (G55/G54)^(('Summary, PPI''s'!$G55+'Summary, PPI''s'!$G54)/('Predicted PPIs'!R55+'Predicted PPIs'!R54)))*IF(H$26=".", 1, (H55/H54)^(('Summary, PPI''s'!$H55+'Summary, PPI''s'!$H54)/('Predicted PPIs'!R55+'Predicted PPIs'!R54)))*IF(I$26=".", 1, (I55/I54)^(('Summary, PPI''s'!$I55+'Summary, PPI''s'!$I54)/('Predicted PPIs'!R55+'Predicted PPIs'!R54)))*IF(J$26=".", 1, (J55/J54)^(('Summary, PPI''s'!$J55+'Summary, PPI''s'!$J54)/('Predicted PPIs'!R55+'Predicted PPIs'!R54)))*IF(K$26=".", 1, (K55/K54)^(('Summary, PPI''s'!$K55+'Summary, PPI''s'!$K54)/('Predicted PPIs'!R55+'Predicted PPIs'!R54)))*IF(L$26=".", 1, (L55/L54)^(('Summary, PPI''s'!$L55+'Summary, PPI''s'!$L54)/('Predicted PPIs'!R55+'Predicted PPIs'!R54)))*IF(M$26=".", 1, (M55/M54)^(('Summary, PPI''s'!$M55+'Summary, PPI''s'!$M54)/('Predicted PPIs'!R55+'Predicted PPIs'!R54)))*IF(B$26=".", 1, (B55/B54)^(('Summary, PPI''s'!$B55+'Summary, PPI''s'!$B54)/('Predicted PPIs'!R55+'Predicted PPIs'!R54)))*IF(C$26=".", 1, (C55/C54)^(('Summary, PPI''s'!$C55+'Summary, PPI''s'!$C54)/('Predicted PPIs'!R55+'Predicted PPIs'!R54)))*IF(D$26=".", 1, (D55/D54)^(('Summary, PPI''s'!$D55+'Summary, PPI''s'!$D54)/('Predicted PPIs'!R55+'Predicted PPIs'!R54)))*IF(N$26=".", 1, (N55/N54)^(('Summary, PPI''s'!$N55+'Summary, PPI''s'!$N54)/('Predicted PPIs'!R55+'Predicted PPIs'!R54)))*IF(O$26=".", 1, (O55/O54)^(('Summary, PPI''s'!$O55+'Summary, PPI''s'!$O54)/('Predicted PPIs'!R55+'Predicted PPIs'!R54)))*IF(P$26=".", 1, (P55/P54)^(('Summary, PPI''s'!$P55+'Summary, PPI''s'!$P54)/('Predicted PPIs'!R55+'Predicted PPIs'!R54)))</f>
        <v>#VALUE!</v>
      </c>
      <c r="AA55" s="4" t="e">
        <f>AA54*IF(E$36=".", 1, (E55/E54)^(('Summary, PPI''s'!$E55+'Summary, PPI''s'!$E54)/('Predicted PPIs'!S55+'Predicted PPIs'!S54)))*IF(F$36=".", 1, (F55/F54)^(('Summary, PPI''s'!$F55+'Summary, PPI''s'!$F54)/('Predicted PPIs'!S55+'Predicted PPIs'!S54)))*IF(G$36=".", 1, (G55/G54)^(('Summary, PPI''s'!$G55+'Summary, PPI''s'!$G54)/('Predicted PPIs'!S55+'Predicted PPIs'!S54)))*IF(H$36=".", 1, (H55/H54)^(('Summary, PPI''s'!$H55+'Summary, PPI''s'!$H54)/('Predicted PPIs'!S55+'Predicted PPIs'!S54)))*IF(I$36=".", 1, (I55/I54)^(('Summary, PPI''s'!$I55+'Summary, PPI''s'!$I54)/('Predicted PPIs'!S55+'Predicted PPIs'!S54)))*IF(J$36=".", 1, (J55/J54)^(('Summary, PPI''s'!$J55+'Summary, PPI''s'!$J54)/('Predicted PPIs'!S55+'Predicted PPIs'!S54)))*IF(K$36=".", 1, (K55/K54)^(('Summary, PPI''s'!$K55+'Summary, PPI''s'!$K54)/('Predicted PPIs'!S55+'Predicted PPIs'!S54)))*IF(L$36=".", 1, (L55/L54)^(('Summary, PPI''s'!$L55+'Summary, PPI''s'!$L54)/('Predicted PPIs'!S55+'Predicted PPIs'!S54)))*IF(M$36=".", 1, (M55/M54)^(('Summary, PPI''s'!$M55+'Summary, PPI''s'!$M54)/('Predicted PPIs'!S55+'Predicted PPIs'!S54)))*IF(B$36=".", 1, (B55/B54)^(('Summary, PPI''s'!$B55+'Summary, PPI''s'!$B54)/('Predicted PPIs'!S55+'Predicted PPIs'!S54)))*IF(C$36=".", 1, (C55/C54)^(('Summary, PPI''s'!$C55+'Summary, PPI''s'!$C54)/('Predicted PPIs'!S55+'Predicted PPIs'!S54)))*IF(D$36=".", 1, (D55/D54)^(('Summary, PPI''s'!$D55+'Summary, PPI''s'!$D54)/('Predicted PPIs'!S55+'Predicted PPIs'!S54)))*IF(N$36=".", 1, (N55/N54)^(('Summary, PPI''s'!$N55+'Summary, PPI''s'!$N54)/('Predicted PPIs'!S55+'Predicted PPIs'!S54)))*IF(O$36=".", 1, (O55/O54)^(('Summary, PPI''s'!$O55+'Summary, PPI''s'!$O54)/('Predicted PPIs'!S55+'Predicted PPIs'!S54)))*IF(P$36=".", 1, (P55/P54)^(('Summary, PPI''s'!$P55+'Summary, PPI''s'!$P54)/('Predicted PPIs'!S55+'Predicted PPIs'!S54)))</f>
        <v>#VALUE!</v>
      </c>
      <c r="AB55" s="4" t="e">
        <f>AB54*IF(E$46=".", 1, (E55/E54)^(('Summary, PPI''s'!$E55+'Summary, PPI''s'!$E54)/('Predicted PPIs'!T55+'Predicted PPIs'!T54)))*IF(F$46=".", 1, (F55/F54)^(('Summary, PPI''s'!$F55+'Summary, PPI''s'!$F54)/('Predicted PPIs'!T55+'Predicted PPIs'!T54)))*IF(G$46=".", 1, (G55/G54)^(('Summary, PPI''s'!$G55+'Summary, PPI''s'!$G54)/('Predicted PPIs'!T55+'Predicted PPIs'!T54)))*IF(H$46=".", 1, (H55/H54)^(('Summary, PPI''s'!$H55+'Summary, PPI''s'!$H54)/('Predicted PPIs'!T55+'Predicted PPIs'!T54)))*IF(I$46=".", 1, (I55/I54)^(('Summary, PPI''s'!$I55+'Summary, PPI''s'!$I54)/('Predicted PPIs'!T55+'Predicted PPIs'!T54)))*IF(J$46=".", 1, (J55/J54)^(('Summary, PPI''s'!$J55+'Summary, PPI''s'!$J54)/('Predicted PPIs'!T55+'Predicted PPIs'!T54)))*IF(K$46=".", 1, (K55/K54)^(('Summary, PPI''s'!$K55+'Summary, PPI''s'!$K54)/('Predicted PPIs'!T55+'Predicted PPIs'!T54)))*IF(L$46=".", 1, (L55/L54)^(('Summary, PPI''s'!$L55+'Summary, PPI''s'!$L54)/('Predicted PPIs'!T55+'Predicted PPIs'!T54)))*IF(M$46=".", 1, (M55/M54)^(('Summary, PPI''s'!$M55+'Summary, PPI''s'!$M54)/('Predicted PPIs'!T55+'Predicted PPIs'!T54)))*IF(B$46=".", 1, (B55/B54)^(('Summary, PPI''s'!$B55+'Summary, PPI''s'!$B54)/('Predicted PPIs'!T55+'Predicted PPIs'!T54)))*IF(C$46=".", 1, (C55/C54)^(('Summary, PPI''s'!$C55+'Summary, PPI''s'!$C54)/('Predicted PPIs'!T55+'Predicted PPIs'!T54)))*IF(D$46=".", 1, (D55/D54)^(('Summary, PPI''s'!$D55+'Summary, PPI''s'!$D54)/('Predicted PPIs'!T55+'Predicted PPIs'!T54)))*IF(N$46=".", 1, (N55/N54)^(('Summary, PPI''s'!$N55+'Summary, PPI''s'!$N54)/('Predicted PPIs'!T55+'Predicted PPIs'!T54)))*IF(O$46=".", 1, (O55/O54)^(('Summary, PPI''s'!$O55+'Summary, PPI''s'!$O54)/('Predicted PPIs'!T55+'Predicted PPIs'!T54)))*IF(P$46=".", 1, (P55/P54)^(('Summary, PPI''s'!$P55+'Summary, PPI''s'!$P54)/('Predicted PPIs'!T55+'Predicted PPIs'!T54)))</f>
        <v>#VALUE!</v>
      </c>
      <c r="AC55" s="4">
        <f>AC54*IF(E$60=".",1,(E55/E54)^(('Summary, PPI''s'!$E55+'Summary, PPI''s'!$E54)/('Predicted PPIs'!U55+'Predicted PPIs'!U54)))*IF(F$60=".",1,(F55/F54)^(('Summary, PPI''s'!$F55+'Summary, PPI''s'!$F54)/('Predicted PPIs'!U55+'Predicted PPIs'!U54)))*IF(G$60=".",1,(G55/G54)^(('Summary, PPI''s'!$G55+'Summary, PPI''s'!$G54)/('Predicted PPIs'!U55+'Predicted PPIs'!U54)))*IF(H$60=".",1,(H55/H54)^(('Summary, PPI''s'!$H55+'Summary, PPI''s'!$H54)/('Predicted PPIs'!U55+'Predicted PPIs'!U54)))*IF(I$60=".",1,(I55/I54)^(('Summary, PPI''s'!$I55+'Summary, PPI''s'!$I54)/('Predicted PPIs'!U55+'Predicted PPIs'!U54)))*IF(J$60=".",1,(J55/J54)^(('Summary, PPI''s'!$J55+'Summary, PPI''s'!$J54)/('Predicted PPIs'!U55+'Predicted PPIs'!U54)))*IF(K$60=".",1,(K55/K54)^(('Summary, PPI''s'!$K55+'Summary, PPI''s'!$K54)/('Predicted PPIs'!U55+'Predicted PPIs'!U54)))*IF(L$60=".",1,(L55/L54)^(('Summary, PPI''s'!$L55+'Summary, PPI''s'!$L54)/('Predicted PPIs'!U55+'Predicted PPIs'!U54)))*IF(M$60=".",1,(M55/M54)^(('Summary, PPI''s'!$M55+'Summary, PPI''s'!$M54)/('Predicted PPIs'!U55+'Predicted PPIs'!U54)))*IF(B$60=".",1,(B55/B54)^(('Summary, PPI''s'!$B55+'Summary, PPI''s'!$B54)/('Predicted PPIs'!U55+'Predicted PPIs'!U54)))*IF(C$60=".",1,(C55/C54)^(('Summary, PPI''s'!$C55+'Summary, PPI''s'!$C54)/('Predicted PPIs'!U55+'Predicted PPIs'!U54)))*IF(D$60=".",1,(D55/D54)^(('Summary, PPI''s'!$D55+'Summary, PPI''s'!$D54)/('Predicted PPIs'!U55+'Predicted PPIs'!U54)))*IF(N$60=".",1,(N55/N54)^(('Summary, PPI''s'!$N55+'Summary, PPI''s'!$N54)/('Predicted PPIs'!U55+'Predicted PPIs'!U54)))*IF(O$60=".",1,(O55/O54)^(('Summary, PPI''s'!$O55+'Summary, PPI''s'!$O54)/('Predicted PPIs'!U55+'Predicted PPIs'!U54)))*IF(P$60=".",1,(P55/P54)^(('Summary, PPI''s'!$P55+'Summary, PPI''s'!$P54)/('Predicted PPIs'!U55+'Predicted PPIs'!U54)))</f>
        <v>13.410641822688218</v>
      </c>
      <c r="AD55" s="4">
        <f>AD54*IF(E$73=".", 1, (E55/E54)^(('Summary, PPI''s'!$E55+'Summary, PPI''s'!$E54)/('Predicted PPIs'!V55+'Predicted PPIs'!V54)))*IF(F$73=".", 1, (F55/F54)^(('Summary, PPI''s'!$F55+'Summary, PPI''s'!$F54)/('Predicted PPIs'!V55+'Predicted PPIs'!V54)))*IF(G$73=".", 1, (G55/G54)^(('Summary, PPI''s'!$G55+'Summary, PPI''s'!$G54)/('Predicted PPIs'!V55+'Predicted PPIs'!V54)))*IF(H$73=".", 1, (H55/H54)^(('Summary, PPI''s'!$H55+'Summary, PPI''s'!$H54)/('Predicted PPIs'!V55+'Predicted PPIs'!V54)))*IF(I$73=".", 1, (I55/I54)^(('Summary, PPI''s'!$I55+'Summary, PPI''s'!$I54)/('Predicted PPIs'!V55+'Predicted PPIs'!V54)))*IF(J$73=".", 1, (J55/J54)^(('Summary, PPI''s'!$J55+'Summary, PPI''s'!$J54)/('Predicted PPIs'!V55+'Predicted PPIs'!V54)))*IF(K$73=".", 1, (K55/K54)^(('Summary, PPI''s'!$K55+'Summary, PPI''s'!$K54)/('Predicted PPIs'!V55+'Predicted PPIs'!V54)))*IF(L$73=".", 1, (L55/L54)^(('Summary, PPI''s'!$L55+'Summary, PPI''s'!$L54)/('Predicted PPIs'!V55+'Predicted PPIs'!V54)))*IF(M$73=".", 1, (M55/M54)^(('Summary, PPI''s'!$M55+'Summary, PPI''s'!$M54)/('Predicted PPIs'!V55+'Predicted PPIs'!V54)))*IF(B$73=".", 1, (B55/B54)^(('Summary, PPI''s'!$B55+'Summary, PPI''s'!$B54)/('Predicted PPIs'!V55+'Predicted PPIs'!V54)))*IF(C$73=".", 1, (C55/C54)^(('Summary, PPI''s'!$C55+'Summary, PPI''s'!$C54)/('Predicted PPIs'!V55+'Predicted PPIs'!V54)))*IF(D$73=".", 1, (D55/D54)^(('Summary, PPI''s'!$D55+'Summary, PPI''s'!$D54)/('Predicted PPIs'!V55+'Predicted PPIs'!V54)))*IF(N$73=".", 1, (N55/N54)^(('Summary, PPI''s'!$N55+'Summary, PPI''s'!$N54)/('Predicted PPIs'!V55+'Predicted PPIs'!V54)))*IF(O$73=".", 1, (O55/O54)^(('Summary, PPI''s'!$O55+'Summary, PPI''s'!$O54)/('Predicted PPIs'!V55+'Predicted PPIs'!V54)))*IF(P$73=".", 1, (P55/P54)^(('Summary, PPI''s'!$P55+'Summary, PPI''s'!$P54)/('Predicted PPIs'!V55+'Predicted PPIs'!V54)))</f>
        <v>12.816062860254418</v>
      </c>
      <c r="AE55" s="4">
        <f>AE54*IF(E$94=".", 1, (E55/E54)^(('Summary, PPI''s'!$E55+'Summary, PPI''s'!$E54)/('Predicted PPIs'!W55+'Predicted PPIs'!W54)))*IF(F$94=".", 1, (F55/F54)^(('Summary, PPI''s'!$F55+'Summary, PPI''s'!$F54)/('Predicted PPIs'!W55+'Predicted PPIs'!W54)))*IF(G$94=".", 1, (G55/G54)^(('Summary, PPI''s'!$G55+'Summary, PPI''s'!$G54)/('Predicted PPIs'!W55+'Predicted PPIs'!W54)))*IF(H$94=".", 1, (H55/H54)^(('Summary, PPI''s'!$H55+'Summary, PPI''s'!$H54)/('Predicted PPIs'!W55+'Predicted PPIs'!W54)))*IF(I$94=".", 1, (I55/I54)^(('Summary, PPI''s'!$I55+'Summary, PPI''s'!$I54)/('Predicted PPIs'!W55+'Predicted PPIs'!W54)))*IF(J$94=".", 1, (J55/J54)^(('Summary, PPI''s'!$J55+'Summary, PPI''s'!$J54)/('Predicted PPIs'!W55+'Predicted PPIs'!W54)))*IF(K$94=".", 1, (K55/K54)^(('Summary, PPI''s'!$K55+'Summary, PPI''s'!$K54)/('Predicted PPIs'!W55+'Predicted PPIs'!W54)))*IF(L$94=".", 1, (L55/L54)^(('Summary, PPI''s'!$L55+'Summary, PPI''s'!$L54)/('Predicted PPIs'!W55+'Predicted PPIs'!W54)))*IF(M$94=".", 1, (M55/M54)^(('Summary, PPI''s'!$M55+'Summary, PPI''s'!$M54)/('Predicted PPIs'!W55+'Predicted PPIs'!W54)))*IF(B$94=".", 1, (B55/B54)^(('Summary, PPI''s'!$B55+'Summary, PPI''s'!$B54)/('Predicted PPIs'!W55+'Predicted PPIs'!W54)))*IF(C$94=".", 1, (C55/C54)^(('Summary, PPI''s'!$C55+'Summary, PPI''s'!$C54)/('Predicted PPIs'!W55+'Predicted PPIs'!W54)))*IF(D$94=".", 1, (D55/D54)^(('Summary, PPI''s'!$D55+'Summary, PPI''s'!$D54)/('Predicted PPIs'!W55+'Predicted PPIs'!W54)))*IF(N$94=".", 1, (N55/N54)^(('Summary, PPI''s'!$N55+'Summary, PPI''s'!$N54)/('Predicted PPIs'!W55+'Predicted PPIs'!W54)))*IF(O$94=".", 1, (O55/O54)^(('Summary, PPI''s'!$O55+'Summary, PPI''s'!$O54)/('Predicted PPIs'!W55+'Predicted PPIs'!W54)))*IF(P$94=".", 1, (P55/P54)^(('Summary, PPI''s'!$P55+'Summary, PPI''s'!$P54)/('Predicted PPIs'!W55+'Predicted PPIs'!W54)))</f>
        <v>11.435190208230765</v>
      </c>
      <c r="AF55" s="4">
        <f>AF54*IF(E$123=".", 1, (E55/E54)^(('Summary, PPI''s'!$E55+'Summary, PPI''s'!$E54)/('Predicted PPIs'!X55+'Predicted PPIs'!X54)))*IF(F$123=".", 1, (F55/F54)^(('Summary, PPI''s'!$F55+'Summary, PPI''s'!$F54)/('Predicted PPIs'!X55+'Predicted PPIs'!X54)))*IF(G$123=".", 1, (G55/G54)^(('Summary, PPI''s'!$G55+'Summary, PPI''s'!$G54)/('Predicted PPIs'!X55+'Predicted PPIs'!X54)))*IF(H$123=".", 1, (H55/H54)^(('Summary, PPI''s'!$H55+'Summary, PPI''s'!$H54)/('Predicted PPIs'!X55+'Predicted PPIs'!X54)))*IF(I$123=".", 1, (I55/I54)^(('Summary, PPI''s'!$I55+'Summary, PPI''s'!$I54)/('Predicted PPIs'!X55+'Predicted PPIs'!X54)))*IF(J$123=".", 1, (J55/J54)^(('Summary, PPI''s'!$J55+'Summary, PPI''s'!$J54)/('Predicted PPIs'!X55+'Predicted PPIs'!X54)))*IF(K$123=".", 1, (K55/K54)^(('Summary, PPI''s'!$K55+'Summary, PPI''s'!$K54)/('Predicted PPIs'!X55+'Predicted PPIs'!X54)))*IF(L$123=".", 1, (L55/L54)^(('Summary, PPI''s'!$L55+'Summary, PPI''s'!$L54)/('Predicted PPIs'!X55+'Predicted PPIs'!X54)))*IF(M$123=".", 1, (M55/M54)^(('Summary, PPI''s'!$M55+'Summary, PPI''s'!$M54)/('Predicted PPIs'!X55+'Predicted PPIs'!X54)))*IF(B$123=".", 1, (B55/B54)^(('Summary, PPI''s'!$B55+'Summary, PPI''s'!$B54)/('Predicted PPIs'!X55+'Predicted PPIs'!X54)))*IF(C$123=".", 1, (C55/C54)^(('Summary, PPI''s'!$C55+'Summary, PPI''s'!$C54)/('Predicted PPIs'!X55+'Predicted PPIs'!X54)))*IF(D$123=".", 1, (D55/D54)^(('Summary, PPI''s'!$D55+'Summary, PPI''s'!$D54)/('Predicted PPIs'!X55+'Predicted PPIs'!X54)))*IF(N$123=".", 1, (N55/N54)^(('Summary, PPI''s'!$N55+'Summary, PPI''s'!$N54)/('Predicted PPIs'!X55+'Predicted PPIs'!X54)))*IF(O$123=".", 1, (O55/O54)^(('Summary, PPI''s'!$O55+'Summary, PPI''s'!$O54)/('Predicted PPIs'!X55+'Predicted PPIs'!X54)))*IF(P$123=".", 1, (P55/P54)^(('Summary, PPI''s'!$P55+'Summary, PPI''s'!$P54)/('Predicted PPIs'!X55+'Predicted PPIs'!X54)))</f>
        <v>10.731912501965262</v>
      </c>
      <c r="AH55" s="13">
        <f t="shared" si="91"/>
        <v>14.828527001335733</v>
      </c>
      <c r="AJ55" s="4">
        <v>556.9</v>
      </c>
      <c r="AK55" s="4">
        <v>-0.71899999999999997</v>
      </c>
      <c r="AL55" s="4">
        <v>-51.883000000000003</v>
      </c>
      <c r="AM55" s="4">
        <v>-2.8380000000000001</v>
      </c>
      <c r="AN55" s="4">
        <v>695.1</v>
      </c>
      <c r="AO55" s="4">
        <v>146.9</v>
      </c>
      <c r="AP55" s="4">
        <f>('[3]1968'!$I$14+'[3]1968'!$I$69+'[3]1968'!$I$71-'[3]1968'!$I$73)*0.001</f>
        <v>-11.882</v>
      </c>
      <c r="AQ55" s="4">
        <f>('[3]1968'!$AY$56+'[3]1968'!$AY$69+'[3]1968'!$AY$71-'[3]1968'!$AY$73)*0.001</f>
        <v>-29.929000000000002</v>
      </c>
      <c r="AR55" s="4">
        <f>AR$38*1318/23762</f>
        <v>-0.62056156889150749</v>
      </c>
      <c r="AS55" s="4">
        <v>-4.3390000000000004</v>
      </c>
      <c r="AT55" s="4">
        <v>19.114999999999998</v>
      </c>
      <c r="AU55" s="4">
        <v>26.12</v>
      </c>
      <c r="AV55" s="4">
        <v>16.041</v>
      </c>
      <c r="AW55" s="4">
        <v>16.905999999999999</v>
      </c>
      <c r="AX55" s="4">
        <v>18.361999999999998</v>
      </c>
      <c r="AY55" s="4">
        <v>26.196000000000002</v>
      </c>
      <c r="AZ55" s="4">
        <v>10.427</v>
      </c>
      <c r="BA55" s="4">
        <v>19.972000000000001</v>
      </c>
      <c r="BB55" s="4">
        <f>BB$38*159.692/184.05</f>
        <v>89.351166313501764</v>
      </c>
      <c r="BC55" s="4">
        <v>23.837</v>
      </c>
      <c r="BG55" s="4">
        <f t="shared" si="50"/>
        <v>28.341847459420205</v>
      </c>
      <c r="BI55" s="4">
        <f>BI$13*'[2]Ordinary Experience'!$D$371/'[2]Ordinary Experience'!$D$413</f>
        <v>198433309.16462612</v>
      </c>
      <c r="BJ55" s="4">
        <f>'[2]Ordinary Experience'!$E$371</f>
        <v>29.002001175480615</v>
      </c>
      <c r="BL55" s="4">
        <f t="shared" si="90"/>
        <v>50.757848127686415</v>
      </c>
      <c r="BM55" s="4">
        <f t="shared" si="34"/>
        <v>3.6487812833488231E-2</v>
      </c>
      <c r="BO55" s="4">
        <f>IF(OR('Summary, hourly ad costs'!R55=-9999,'Summary, PPI''s'!R55="."),".",(('Summary, hourly ad costs'!B55/'Summary, hourly ad costs'!R55)*100/('Summary, hourly ad costs'!B$11/'Summary, hourly ad costs'!R$11))/('Summary, PPI''s'!R55))</f>
        <v>1.9604858121161626</v>
      </c>
      <c r="BP55" s="4" t="str">
        <f>IF(OR('Summary, hourly ad costs'!S55=-9999,'Summary, PPI''s'!S55="."),".",(('Summary, hourly ad costs'!C55/'Summary, hourly ad costs'!S55)*100/('Summary, hourly ad costs'!C$11/'Summary, hourly ad costs'!S$11))/('Summary, PPI''s'!S55))</f>
        <v>.</v>
      </c>
      <c r="BQ55" s="4" t="str">
        <f>IF(OR('Summary, hourly ad costs'!T55=-9999,'Summary, PPI''s'!T55="."),".",(('Summary, hourly ad costs'!D55/'Summary, hourly ad costs'!T55)*100/('Summary, hourly ad costs'!D$11/'Summary, hourly ad costs'!T$11))/('Summary, PPI''s'!T55))</f>
        <v>.</v>
      </c>
      <c r="BR55" s="4">
        <f>IF(OR('Summary, hourly ad costs'!U55=-9999,'Summary, PPI''s'!U55="."),".",(('Summary, hourly ad costs'!E55/'Summary, hourly ad costs'!U55)*100/('Summary, hourly ad costs'!E$11/'Summary, hourly ad costs'!U$11))/('Summary, PPI''s'!U55))</f>
        <v>2.0005147333148829</v>
      </c>
      <c r="BS55" s="4">
        <f>IF(OR('Summary, hourly ad costs'!V55=-9999,'Summary, PPI''s'!V55="."),".",(('Summary, hourly ad costs'!F55/'Summary, hourly ad costs'!V55)*100/('Summary, hourly ad costs'!F$11/'Summary, hourly ad costs'!V$11))/('Summary, PPI''s'!V55))</f>
        <v>1.7772574426933381</v>
      </c>
      <c r="BT55" s="4" t="str">
        <f>IF(OR('Summary, hourly ad costs'!W55=-9999,'Summary, PPI''s'!W55="."),".",(('Summary, hourly ad costs'!G55/'Summary, hourly ad costs'!W55)*100/('Summary, hourly ad costs'!G$11/'Summary, hourly ad costs'!W$11))/('Summary, PPI''s'!W55))</f>
        <v>.</v>
      </c>
      <c r="BU55" s="4">
        <f>IF(OR('Summary, hourly ad costs'!X55=-9999,'Summary, PPI''s'!X55="."),".",(('Summary, hourly ad costs'!H55/'Summary, hourly ad costs'!X55)*100/('Summary, hourly ad costs'!H$11/'Summary, hourly ad costs'!X$11))/('Summary, PPI''s'!X55))</f>
        <v>1.1131132050292256</v>
      </c>
      <c r="BV55" s="4" t="str">
        <f>IF(OR('Summary, hourly ad costs'!Y55=-9999,'Summary, PPI''s'!Y55="."),".",(('Summary, hourly ad costs'!I55/'Summary, hourly ad costs'!Y55)*100/('Summary, hourly ad costs'!I$11/'Summary, hourly ad costs'!Y$11))/('Summary, PPI''s'!Y55))</f>
        <v>.</v>
      </c>
      <c r="BW55" s="4" t="str">
        <f>IF(OR('Summary, hourly ad costs'!Z55=-9999,'Summary, PPI''s'!Z55="."),".",(('Summary, hourly ad costs'!J55/'Summary, hourly ad costs'!Z55)*100/('Summary, hourly ad costs'!J$11/'Summary, hourly ad costs'!Z$11))/('Summary, PPI''s'!Z55))</f>
        <v>.</v>
      </c>
      <c r="BX55" s="4" t="str">
        <f>IF(OR('Summary, hourly ad costs'!AA55=-9999,'Summary, PPI''s'!AA55="."),".",(('Summary, hourly ad costs'!K55/'Summary, hourly ad costs'!AA55)*100/('Summary, hourly ad costs'!K$11/'Summary, hourly ad costs'!AA$11))/('Summary, PPI''s'!AA55))</f>
        <v>.</v>
      </c>
      <c r="BY55" s="4" t="str">
        <f>IF(OR('Summary, hourly ad costs'!AB55=-9999,'Summary, PPI''s'!AB55="."),".",(('Summary, hourly ad costs'!L55/'Summary, hourly ad costs'!AB55)*100/('Summary, hourly ad costs'!L$11/'Summary, hourly ad costs'!AB$11))/('Summary, PPI''s'!AB55))</f>
        <v>.</v>
      </c>
      <c r="BZ55" s="4" t="str">
        <f>IF(OR('Summary, hourly ad costs'!AC55=-9999,'Summary, PPI''s'!AC55="."),".",(('Summary, hourly ad costs'!M55/'Summary, hourly ad costs'!AC55)*100/('Summary, hourly ad costs'!M$11/'Summary, hourly ad costs'!AC$11))/('Summary, PPI''s'!AC55))</f>
        <v>.</v>
      </c>
      <c r="CA55" s="4" t="str">
        <f>IF(OR('Summary, hourly ad costs'!AD55=-9999,'Summary, PPI''s'!AD55="."),".",(('Summary, hourly ad costs'!N55/'Summary, hourly ad costs'!AD55)*100/('Summary, hourly ad costs'!N$11/'Summary, hourly ad costs'!AD$11))/('Summary, PPI''s'!AD55))</f>
        <v>.</v>
      </c>
      <c r="CB55" s="4" t="str">
        <f>IF(OR('Summary, hourly ad costs'!AE55=-9999,'Summary, PPI''s'!AE55="."),".",(('Summary, hourly ad costs'!O55/'Summary, hourly ad costs'!AE55)*100/('Summary, hourly ad costs'!O$11/'Summary, hourly ad costs'!AE$11))/('Summary, PPI''s'!AE55))</f>
        <v>.</v>
      </c>
      <c r="CC55" s="4" t="str">
        <f>IF(OR('Summary, hourly ad costs'!AF55=-9999,'Summary, PPI''s'!AF55="."),".",(('Summary, hourly ad costs'!P55/'Summary, hourly ad costs'!AF55)*100/('Summary, hourly ad costs'!P$11/'Summary, hourly ad costs'!AF$11))/('Summary, PPI''s'!AF55))</f>
        <v>.</v>
      </c>
      <c r="CE55" s="4">
        <f t="shared" si="113"/>
        <v>-3.9473546482692634E-2</v>
      </c>
      <c r="CF55" s="4" t="str">
        <f t="shared" si="114"/>
        <v>.</v>
      </c>
      <c r="CG55" s="4" t="str">
        <f t="shared" si="115"/>
        <v>.</v>
      </c>
      <c r="CH55" s="4">
        <f t="shared" si="116"/>
        <v>2.1949933830985868E-2</v>
      </c>
      <c r="CI55" s="4">
        <f t="shared" si="117"/>
        <v>-2.5152492875382126E-3</v>
      </c>
      <c r="CJ55" s="4" t="str">
        <f t="shared" si="118"/>
        <v>.</v>
      </c>
      <c r="CK55" s="4">
        <f t="shared" si="119"/>
        <v>-3.9640069914415044E-5</v>
      </c>
      <c r="CL55" s="4">
        <f t="shared" si="130"/>
        <v>2.1497904286329757E-2</v>
      </c>
      <c r="CM55" s="4">
        <f t="shared" si="130"/>
        <v>2.499032130737297E-2</v>
      </c>
      <c r="CN55" s="4">
        <f t="shared" si="89"/>
        <v>7.2913274821496746E-3</v>
      </c>
      <c r="CO55" s="4">
        <f t="shared" si="120"/>
        <v>0.23387897878886757</v>
      </c>
      <c r="CP55" s="4">
        <f t="shared" si="120"/>
        <v>9.4271375255281037E-2</v>
      </c>
      <c r="CQ55" s="4" t="str">
        <f t="shared" si="110"/>
        <v>.</v>
      </c>
      <c r="CR55" s="4" t="str">
        <f t="shared" si="111"/>
        <v>.</v>
      </c>
      <c r="CS55" s="4" t="str">
        <f t="shared" si="112"/>
        <v>.</v>
      </c>
      <c r="CU55" s="5">
        <f>IF(CU54=".", ".", IF('Summary, PPI''s'!R55=".",IF(OR('Summary, hourly ad costs'!R55=-9999,'Summary, hourly ad costs'!R55=0), ".", 'Predicted PPIs'!CU54*('Summary, hourly ad costs'!B55/'Summary, hourly ad costs'!R55)/('Summary, hourly ad costs'!B54/'Summary, hourly ad costs'!R54)/(1-CE54)), 'Summary, PPI''s'!R55))</f>
        <v>23.441302370653656</v>
      </c>
      <c r="CV55" s="5">
        <f>IF(CV54=".", ".", IF('Summary, PPI''s'!S55=".",IF(OR('Summary, hourly ad costs'!S55=-9999,'Summary, hourly ad costs'!S55=0), ".", 'Predicted PPIs'!CV54*('Summary, hourly ad costs'!C55/'Summary, hourly ad costs'!S55)/('Summary, hourly ad costs'!C54/'Summary, hourly ad costs'!S54)/(1-CF54)), 'Summary, PPI''s'!S55))</f>
        <v>23.441302370653656</v>
      </c>
      <c r="CW55" s="5" t="str">
        <f>IF(CW54=".", ".", IF('Summary, PPI''s'!T55=".",IF(OR('Summary, hourly ad costs'!T55=-9999,'Summary, hourly ad costs'!T55=0), ".", 'Predicted PPIs'!CW54*('Summary, hourly ad costs'!D55/'Summary, hourly ad costs'!T55)/('Summary, hourly ad costs'!D54/'Summary, hourly ad costs'!T54)/(1-CG54)), 'Summary, PPI''s'!T55))</f>
        <v>.</v>
      </c>
      <c r="CX55" s="5">
        <f>IF(CX54=".", ".", IF('Summary, PPI''s'!U55=".",IF(OR('Summary, hourly ad costs'!U55=-9999,'Summary, hourly ad costs'!U55=0), ".", 'Predicted PPIs'!CX54*('Summary, hourly ad costs'!E55/'Summary, hourly ad costs'!U55)/('Summary, hourly ad costs'!E54/'Summary, hourly ad costs'!U54)/(1-CH54)), 'Summary, PPI''s'!U55))</f>
        <v>8.5557762047267953</v>
      </c>
      <c r="CY55" s="5">
        <f>IF(CY54=".", ".", IF('Summary, PPI''s'!V55=".",IF(OR('Summary, hourly ad costs'!V55=-9999,'Summary, hourly ad costs'!V55=0), ".", 'Predicted PPIs'!CY54*('Summary, hourly ad costs'!F55/'Summary, hourly ad costs'!V55)/('Summary, hourly ad costs'!F54/'Summary, hourly ad costs'!V54)/(1-CI54)), 'Summary, PPI''s'!V55))</f>
        <v>13.061467549973388</v>
      </c>
      <c r="CZ55" s="5">
        <f>IF(CZ54=".", ".", IF('Summary, PPI''s'!W55=".",IF(OR('Summary, hourly ad costs'!W55=-9999,'Summary, hourly ad costs'!W55=0), ".", 'Predicted PPIs'!CZ54*('Summary, hourly ad costs'!G55/'Summary, hourly ad costs'!W55)/('Summary, hourly ad costs'!G54/'Summary, hourly ad costs'!W54)/(1-CJ54)), 'Summary, PPI''s'!W55))</f>
        <v>10.448548803967979</v>
      </c>
      <c r="DA55" s="5">
        <f>IF(DA54=".", ".", IF('Summary, PPI''s'!X55=".",IF(OR('Summary, hourly ad costs'!X55=-9999,'Summary, hourly ad costs'!X55=0), ".", 'Predicted PPIs'!DA54*('Summary, hourly ad costs'!H55/'Summary, hourly ad costs'!X55)/('Summary, hourly ad costs'!H54/'Summary, hourly ad costs'!X54)/(1-CK54)), 'Summary, PPI''s'!X55))</f>
        <v>14.741</v>
      </c>
      <c r="DB55" s="5">
        <f>IF(DB54=".", ".", IF('Summary, PPI''s'!Y55=".",IF(OR('Summary, hourly ad costs'!Y55=-9999,'Summary, hourly ad costs'!Y55=0), ".", 'Predicted PPIs'!DB54*('Summary, hourly ad costs'!I55/'Summary, hourly ad costs'!Y55)/('Summary, hourly ad costs'!I54/'Summary, hourly ad costs'!Y54)/(1-CL54)), 'Summary, PPI''s'!Y55))</f>
        <v>12.863843403424552</v>
      </c>
      <c r="DC55" s="5">
        <f>IF(DC54=".", ".", IF('Summary, PPI''s'!Z55=".",IF(OR('Summary, hourly ad costs'!Z55=-9999,'Summary, hourly ad costs'!Z55=0), ".", 'Predicted PPIs'!DC54*('Summary, hourly ad costs'!J55/'Summary, hourly ad costs'!Z55)/('Summary, hourly ad costs'!J54/'Summary, hourly ad costs'!Z54)/(1-CM54)), 'Summary, PPI''s'!Z55))</f>
        <v>17.940299012711527</v>
      </c>
      <c r="DD55" s="5" t="str">
        <f>IF(DD54=".", ".", IF('Summary, PPI''s'!AA55=".",IF(OR('Summary, hourly ad costs'!AA55=-9999,'Summary, hourly ad costs'!AA55=0), ".", 'Predicted PPIs'!DD54*('Summary, hourly ad costs'!K55/'Summary, hourly ad costs'!AA55)/('Summary, hourly ad costs'!K54/'Summary, hourly ad costs'!AA54)/(1-CN54)), 'Summary, PPI''s'!AA55))</f>
        <v>.</v>
      </c>
      <c r="DE55" s="5" t="str">
        <f>IF(DE54=".", ".", IF('Summary, PPI''s'!AB55=".",IF(OR('Summary, hourly ad costs'!AB55=-9999,'Summary, hourly ad costs'!AB55=0), ".", 'Predicted PPIs'!DE54*('Summary, hourly ad costs'!L55/'Summary, hourly ad costs'!AB55)/('Summary, hourly ad costs'!L54/'Summary, hourly ad costs'!AB54)/(1-CO54)), 'Summary, PPI''s'!AB55))</f>
        <v>.</v>
      </c>
      <c r="DF55" s="5" t="str">
        <f>IF(DF54=".", ".", IF('Summary, PPI''s'!AC55=".",IF(OR('Summary, hourly ad costs'!AC55=-9999,'Summary, hourly ad costs'!AC55=0), ".", 'Predicted PPIs'!DF54*('Summary, hourly ad costs'!M55/'Summary, hourly ad costs'!AC55)/('Summary, hourly ad costs'!M54/'Summary, hourly ad costs'!AC54)/(1-CP54)), 'Summary, PPI''s'!AC55))</f>
        <v>.</v>
      </c>
      <c r="DG55" s="5" t="str">
        <f>IF(DG54=".", ".", IF('Summary, PPI''s'!AD55=".",IF(OR('Summary, hourly ad costs'!AD55=-9999,'Summary, hourly ad costs'!AD55=0), ".", 'Predicted PPIs'!DG54*('Summary, hourly ad costs'!N55/'Summary, hourly ad costs'!AD55)/('Summary, hourly ad costs'!N54/'Summary, hourly ad costs'!AD54)/(1-CQ54)), 'Summary, PPI''s'!AD55))</f>
        <v>.</v>
      </c>
      <c r="DH55" s="5" t="str">
        <f>IF(DH54=".", ".", IF('Summary, PPI''s'!AE55=".",IF(OR('Summary, hourly ad costs'!AE55=-9999,'Summary, hourly ad costs'!AE55=0), ".", 'Predicted PPIs'!DH54*('Summary, hourly ad costs'!O55/'Summary, hourly ad costs'!AE55)/('Summary, hourly ad costs'!O54/'Summary, hourly ad costs'!AE54)/(1-CR54)), 'Summary, PPI''s'!AE55))</f>
        <v>.</v>
      </c>
      <c r="DI55" s="5" t="str">
        <f>IF(DI54=".", ".", IF('Summary, PPI''s'!AF55=".",IF(OR('Summary, hourly ad costs'!AF55=-9999,'Summary, hourly ad costs'!AF55=0), ".", 'Predicted PPIs'!DI54*('Summary, hourly ad costs'!P55/'Summary, hourly ad costs'!AF55)/('Summary, hourly ad costs'!P54/'Summary, hourly ad costs'!AF54)/(1-CS54)), 'Summary, PPI''s'!AF55))</f>
        <v>.</v>
      </c>
      <c r="DK55" s="4">
        <v>7.9189999999999996</v>
      </c>
      <c r="DM55" s="5">
        <f t="shared" si="121"/>
        <v>-1.1199450445091519E-2</v>
      </c>
      <c r="DN55" s="5">
        <f t="shared" si="122"/>
        <v>-1.1199450445091519E-2</v>
      </c>
      <c r="DO55" s="4">
        <f t="shared" si="123"/>
        <v>-2.2592740999948395E-2</v>
      </c>
      <c r="DP55" s="5">
        <f t="shared" si="124"/>
        <v>-4.0774564072961761E-3</v>
      </c>
      <c r="DQ55" s="5">
        <f t="shared" si="125"/>
        <v>-2.8517489582017719E-2</v>
      </c>
      <c r="DR55" s="5">
        <f t="shared" si="126"/>
        <v>3.020004489152428E-2</v>
      </c>
      <c r="DS55" s="5">
        <f t="shared" si="127"/>
        <v>5.4815900367804815E-2</v>
      </c>
      <c r="DT55" s="5">
        <f t="shared" si="128"/>
        <v>5.4183329683939352E-2</v>
      </c>
      <c r="DU55" s="5">
        <f t="shared" si="129"/>
        <v>4.599195808208556E-3</v>
      </c>
      <c r="DV55" s="4">
        <f t="shared" si="131"/>
        <v>-5.09329830406995E-4</v>
      </c>
      <c r="DW55" s="4">
        <f t="shared" si="78"/>
        <v>-0.12386977698408352</v>
      </c>
      <c r="DX55" s="4">
        <f t="shared" si="78"/>
        <v>5.3932147874384551E-2</v>
      </c>
      <c r="DY55" s="4">
        <f t="shared" si="108"/>
        <v>-1.5484185407302292E-2</v>
      </c>
      <c r="DZ55" s="4">
        <f t="shared" si="132"/>
        <v>-8.6840350446320547E-3</v>
      </c>
      <c r="EA55" s="4">
        <f t="shared" si="109"/>
        <v>-9.060989242460701E-3</v>
      </c>
      <c r="EC55" s="1">
        <f t="shared" si="93"/>
        <v>23.441302370653656</v>
      </c>
      <c r="ED55" s="1">
        <f t="shared" si="94"/>
        <v>23.441302370653656</v>
      </c>
      <c r="EE55" s="1">
        <f t="shared" si="95"/>
        <v>15.721597575050158</v>
      </c>
      <c r="EF55" s="1">
        <f t="shared" si="96"/>
        <v>8.5557762047267953</v>
      </c>
      <c r="EG55" s="1">
        <f t="shared" si="97"/>
        <v>13.061467549973388</v>
      </c>
      <c r="EH55" s="1">
        <f t="shared" si="98"/>
        <v>10.448548803967979</v>
      </c>
      <c r="EI55" s="1">
        <f t="shared" si="99"/>
        <v>14.741</v>
      </c>
      <c r="EJ55" s="1">
        <f t="shared" si="100"/>
        <v>12.863843403424552</v>
      </c>
      <c r="EK55" s="1">
        <f t="shared" si="101"/>
        <v>17.940299012711527</v>
      </c>
      <c r="EL55" s="1">
        <f t="shared" si="102"/>
        <v>6.4765064127582352</v>
      </c>
      <c r="EM55" s="1">
        <f t="shared" si="103"/>
        <v>6.6537560734457992</v>
      </c>
      <c r="EN55" s="1">
        <f t="shared" si="104"/>
        <v>5.2946714456683832</v>
      </c>
      <c r="EO55" s="1">
        <f t="shared" si="105"/>
        <v>9.0776477032024108</v>
      </c>
      <c r="EP55" s="1">
        <f t="shared" si="106"/>
        <v>11.589494143052798</v>
      </c>
      <c r="EQ55" s="1">
        <f t="shared" si="107"/>
        <v>8.9002617754799491</v>
      </c>
      <c r="ES55" s="1">
        <f>IF(EF$26=".", 0, 'Summary, PPI''s'!E55)+IF(EG$26=".", 0, 'Summary, PPI''s'!F55)+IF(EH$26=".", 0, 'Summary, PPI''s'!G55)+IF(EI$26=".", 0, 'Summary, PPI''s'!H55)+IF(EJ$26=".", 0, 'Summary, PPI''s'!I55)+IF(EK$26=".", 0, 'Summary, PPI''s'!J55)+IF(EL$26=".", 0, 'Summary, PPI''s'!K55)+IF(EM$26=".", 0, 'Summary, PPI''s'!L55)+IF(EN$26=".", 0, 'Summary, PPI''s'!M55)+IF(EC$26=".", 0, 'Summary, PPI''s'!B55)+IF(ED$26=".", 0, 'Summary, PPI''s'!C55)+IF(EE$26=".", 0, 'Summary, PPI''s'!D55)+IF(EO$26=".", 0, 'Summary, PPI''s'!N55)+IF(EP$26=".", 0, 'Summary, PPI''s'!O55)+IF(EQ$26=".", 0, 'Summary, PPI''s'!P55)</f>
        <v>18637468.75213211</v>
      </c>
      <c r="ET55" s="1">
        <f>'Summary, hourly ad costs'!E55+'Summary, hourly ad costs'!F55+'Summary, hourly ad costs'!H55+'Summary, hourly ad costs'!I55+'Summary, hourly ad costs'!J55+'Summary, hourly ad costs'!K55+'Summary, hourly ad costs'!L55+'Summary, hourly ad costs'!M55+'Summary, hourly ad costs'!B55</f>
        <v>10870661.520745046</v>
      </c>
      <c r="EV55" s="13">
        <f>EV54*IF(EF$26=".", 1, (EF55/EF54)^(('Summary, PPI''s'!$E55+'Summary, PPI''s'!$E54)/('Predicted PPIs'!ES55+'Predicted PPIs'!ES54)))*IF(EG$26=".", 1, (EG55/EG54)^(('Summary, PPI''s'!$F55+'Summary, PPI''s'!$F54)/('Predicted PPIs'!ES55+'Predicted PPIs'!ES54)))*IF(EH$26=".", 1, (EH55/EH54)^(('Summary, PPI''s'!$G55+'Summary, PPI''s'!$G54)/('Predicted PPIs'!ES55+'Predicted PPIs'!ES54)))*IF(EI$26=".", 1, (EI55/EI54)^(('Summary, PPI''s'!$H55+'Summary, PPI''s'!$H54)/('Predicted PPIs'!ES55+'Predicted PPIs'!ES54)))*IF(EJ$26=".", 1, (EJ55/EJ54)^(('Summary, PPI''s'!$I55+'Summary, PPI''s'!$I54)/('Predicted PPIs'!ES55+'Predicted PPIs'!ES54)))*IF(EK$26=".", 1, (EK55/EK54)^(('Summary, PPI''s'!$J55+'Summary, PPI''s'!$J54)/('Predicted PPIs'!ES55+'Predicted PPIs'!ES54)))*IF(EL$26=".", 1, (EL55/EL54)^(('Summary, PPI''s'!$K55+'Summary, PPI''s'!$K54)/('Predicted PPIs'!ES55+'Predicted PPIs'!ES54)))*IF(EM$26=".", 1, (EM55/EM54)^(('Summary, PPI''s'!$L55+'Summary, PPI''s'!$L54)/('Predicted PPIs'!ES55+'Predicted PPIs'!ES54)))*IF(EN$26=".", 1, (EN55/EN54)^(('Summary, PPI''s'!$M55+'Summary, PPI''s'!$M54)/('Predicted PPIs'!ES55+'Predicted PPIs'!ES54)))*IF(EC$26=".", 1, (EC55/EC54)^(('Summary, PPI''s'!$B55+'Summary, PPI''s'!$B54)/('Predicted PPIs'!ES55+'Predicted PPIs'!ES54)))*IF(ED$26=".", 1, (ED55/ED54)^(('Summary, PPI''s'!$C55+'Summary, PPI''s'!$C54)/('Predicted PPIs'!ES55+'Predicted PPIs'!ES54)))*IF(EE$26=".", 1, (EE55/EE54)^(('Summary, PPI''s'!$D55+'Summary, PPI''s'!$D54)/('Predicted PPIs'!ES55+'Predicted PPIs'!ES54)))*IF(EO$26=".", 1, (EO55/EO54)^(('Summary, PPI''s'!$N55+'Summary, PPI''s'!$N54)/('Predicted PPIs'!ES55+'Predicted PPIs'!ES54)))*IF(EP$26=".", 1, (EP55/EP54)^(('Summary, PPI''s'!$O55+'Summary, PPI''s'!$O54)/('Predicted PPIs'!ES55+'Predicted PPIs'!ES54)))*IF(EQ$26=".", 1, (EQ55/EQ54)^(('Summary, PPI''s'!$P55+'Summary, PPI''s'!$P54)/('Predicted PPIs'!ES55+'Predicted PPIs'!ES54)))</f>
        <v>13.514336120503229</v>
      </c>
      <c r="EW55" s="13">
        <f>EW54*IF(EF$26=".", 1, (EF55/EF54)^(('Summary, PPI''s'!$E55+'Summary, PPI''s'!$E54)/('Predicted PPIs'!ET55+'Predicted PPIs'!ET54)))*IF(EG$26=".", 1, (EG55/EG54)^(('Summary, PPI''s'!$F55+'Summary, PPI''s'!$F54)/('Predicted PPIs'!ET55+'Predicted PPIs'!ET54)))*IF(EH$26=".", 1, (EH55/EH54)^(('Summary, PPI''s'!$G55+'Summary, PPI''s'!$G54)/('Predicted PPIs'!ET55+'Predicted PPIs'!ET54)))*IF(EK$26=".", 1, (EK55/EK54)^(('Summary, PPI''s'!$J55+'Summary, PPI''s'!$J54)/('Predicted PPIs'!ET55+'Predicted PPIs'!ET54)))*IF(EL$26=".", 1, (EL55/EL54)^(('Summary, PPI''s'!$K55+'Summary, PPI''s'!$K54)/('Predicted PPIs'!ET55+'Predicted PPIs'!ET54)))*IF(EM$26=".", 1, (EM55/EM54)^(('Summary, PPI''s'!$L55+'Summary, PPI''s'!$L54)/('Predicted PPIs'!ET55+'Predicted PPIs'!ET54)))*IF(EN$26=".", 1, (EN55/EN54)^(('Summary, PPI''s'!$M55+'Summary, PPI''s'!$M54)/('Predicted PPIs'!ET55+'Predicted PPIs'!ET54)))*IF(EC$26=".", 1, (EC55/EC54)^(('Summary, PPI''s'!$B55+'Summary, PPI''s'!$B54)/('Predicted PPIs'!ET55+'Predicted PPIs'!ET54)))</f>
        <v>16.20116764936293</v>
      </c>
      <c r="EY55" s="2"/>
    </row>
    <row r="56" spans="1:155" x14ac:dyDescent="0.3">
      <c r="A56" s="4">
        <v>1967</v>
      </c>
      <c r="B56" s="10">
        <f>IF(B55=".", ".", IF('Summary, PPI''s'!R56=".",IF(OR('Summary, hourly ad costs'!R56=-9999,'Summary, hourly ad costs'!R56=0), ".", 'Predicted PPIs'!B55*('Summary, hourly ad costs'!B56/'Summary, hourly ad costs'!R56)/('Summary, hourly ad costs'!B55/'Summary, hourly ad costs'!R55)), 'Summary, PPI''s'!R56))</f>
        <v>22.802719786209064</v>
      </c>
      <c r="C56" s="10">
        <f>IF(C55=".", ".", IF('Summary, PPI''s'!S56=".",IF(OR('Summary, hourly ad costs'!S56=-9999,'Summary, hourly ad costs'!S56=0), ".", 'Predicted PPIs'!C55*('Summary, hourly ad costs'!C56/'Summary, hourly ad costs'!S56)/('Summary, hourly ad costs'!C55/'Summary, hourly ad costs'!S55)), 'Summary, PPI''s'!S56))</f>
        <v>22.802719786209064</v>
      </c>
      <c r="D56" s="10" t="str">
        <f>IF(D55=".", ".", IF('Summary, PPI''s'!T56=".",IF(OR('Summary, hourly ad costs'!T56=-9999,'Summary, hourly ad costs'!T56=0), ".", 'Predicted PPIs'!D55*('Summary, hourly ad costs'!D56/'Summary, hourly ad costs'!T56)/('Summary, hourly ad costs'!D55/'Summary, hourly ad costs'!T55)), 'Summary, PPI''s'!T56))</f>
        <v>.</v>
      </c>
      <c r="E56" s="10">
        <f>IF(E55=".", ".", IF('Summary, PPI''s'!U56=".",IF(OR('Summary, hourly ad costs'!U56=-9999,'Summary, hourly ad costs'!U56=0), ".", 'Predicted PPIs'!E55*('Summary, hourly ad costs'!E56/'Summary, hourly ad costs'!U56)/('Summary, hourly ad costs'!E55/'Summary, hourly ad costs'!U55)), 'Summary, PPI''s'!U56))</f>
        <v>8.2631848014991114</v>
      </c>
      <c r="F56" s="10">
        <f>IF(F55=".", ".", IF('Summary, PPI''s'!V56=".",IF(OR('Summary, hourly ad costs'!V56=-9999,'Summary, hourly ad costs'!V56=0), ".", 'Predicted PPIs'!F55*('Summary, hourly ad costs'!F56/'Summary, hourly ad costs'!V56)/('Summary, hourly ad costs'!F55/'Summary, hourly ad costs'!V55)), 'Summary, PPI''s'!V56))</f>
        <v>12.932146089082561</v>
      </c>
      <c r="G56" s="10">
        <f>IF(G55=".", ".", IF('Summary, PPI''s'!W56=".",IF(OR('Summary, hourly ad costs'!W56=-9999,'Summary, hourly ad costs'!W56=0), ".", 'Predicted PPIs'!G55*('Summary, hourly ad costs'!G56/'Summary, hourly ad costs'!W56)/('Summary, hourly ad costs'!G55/'Summary, hourly ad costs'!W55)), 'Summary, PPI''s'!W56))</f>
        <v>9.7554660923155332</v>
      </c>
      <c r="H56" s="10">
        <f>IF(H55=".", ".", IF('Summary, PPI''s'!X56=".",IF(OR('Summary, hourly ad costs'!X56=-9999,'Summary, hourly ad costs'!X56=0), ".", 'Predicted PPIs'!H55*('Summary, hourly ad costs'!H56/'Summary, hourly ad costs'!X56)/('Summary, hourly ad costs'!H55/'Summary, hourly ad costs'!X55)), 'Summary, PPI''s'!X56))</f>
        <v>13.442</v>
      </c>
      <c r="I56" s="10">
        <f>IF(I55=".", ".", IF('Summary, PPI''s'!Y56=".",IF(OR('Summary, hourly ad costs'!Y56=-9999,'Summary, hourly ad costs'!Y56=0), ".", 'Predicted PPIs'!I55*('Summary, hourly ad costs'!I56/'Summary, hourly ad costs'!Y56)/('Summary, hourly ad costs'!I55/'Summary, hourly ad costs'!Y55)), 'Summary, PPI''s'!Y56))</f>
        <v>11.310515605585142</v>
      </c>
      <c r="J56" s="10">
        <f>IF(J55=".", ".", IF('Summary, PPI''s'!Z56=".",IF(OR('Summary, hourly ad costs'!Z56=-9999,'Summary, hourly ad costs'!Z56=0), ".", 'Predicted PPIs'!J55*('Summary, hourly ad costs'!J56/'Summary, hourly ad costs'!Z56)/('Summary, hourly ad costs'!J55/'Summary, hourly ad costs'!Z55)), 'Summary, PPI''s'!Z56))</f>
        <v>14.372143168378894</v>
      </c>
      <c r="K56" s="10" t="str">
        <f>IF(K55=".", ".", IF('Summary, PPI''s'!AA56=".",IF(OR('Summary, hourly ad costs'!AA56=-9999,'Summary, hourly ad costs'!AA56=0), ".", 'Predicted PPIs'!K55*('Summary, hourly ad costs'!K56/'Summary, hourly ad costs'!AA56)/('Summary, hourly ad costs'!K55/'Summary, hourly ad costs'!AA55)), 'Summary, PPI''s'!AA56))</f>
        <v>.</v>
      </c>
      <c r="L56" s="10" t="str">
        <f>IF(L55=".", ".", IF('Summary, PPI''s'!AB56=".",IF(OR('Summary, hourly ad costs'!AB56=-9999,'Summary, hourly ad costs'!AB56=0), ".", 'Predicted PPIs'!L55*('Summary, hourly ad costs'!L56/'Summary, hourly ad costs'!AB56)/('Summary, hourly ad costs'!L55/'Summary, hourly ad costs'!AB55)), 'Summary, PPI''s'!AB56))</f>
        <v>.</v>
      </c>
      <c r="M56" s="10" t="str">
        <f>IF(M55=".", ".", IF('Summary, PPI''s'!AC56=".",IF(OR('Summary, hourly ad costs'!AC56=-9999,'Summary, hourly ad costs'!AC56=0), ".", 'Predicted PPIs'!M55*('Summary, hourly ad costs'!M56/'Summary, hourly ad costs'!AC56)/('Summary, hourly ad costs'!M55/'Summary, hourly ad costs'!AC55)), 'Summary, PPI''s'!AC56))</f>
        <v>.</v>
      </c>
      <c r="N56" s="10" t="str">
        <f>IF(N55=".", ".", IF('Summary, PPI''s'!AD56=".",IF(OR('Summary, hourly ad costs'!AD56=-9999,'Summary, hourly ad costs'!AD56=0), ".", 'Predicted PPIs'!N55*('Summary, hourly ad costs'!N56/'Summary, hourly ad costs'!AD56)/('Summary, hourly ad costs'!N55/'Summary, hourly ad costs'!AD55)), 'Summary, PPI''s'!AD56))</f>
        <v>.</v>
      </c>
      <c r="O56" s="10" t="str">
        <f>IF(O55=".", ".", IF('Summary, PPI''s'!AE56=".",IF(OR('Summary, hourly ad costs'!AE56=-9999,'Summary, hourly ad costs'!AE56=0), ".", 'Predicted PPIs'!O55*('Summary, hourly ad costs'!O56/'Summary, hourly ad costs'!AE56)/('Summary, hourly ad costs'!O55/'Summary, hourly ad costs'!AE55)), 'Summary, PPI''s'!AE56))</f>
        <v>.</v>
      </c>
      <c r="P56" s="10" t="str">
        <f>IF(P55=".", ".", IF('Summary, PPI''s'!AF56=".",IF(OR('Summary, hourly ad costs'!AF56=-9999,'Summary, hourly ad costs'!AF56=0), ".", 'Predicted PPIs'!P55*('Summary, hourly ad costs'!P56/'Summary, hourly ad costs'!AF56)/('Summary, hourly ad costs'!P55/'Summary, hourly ad costs'!AF55)), 'Summary, PPI''s'!AF56))</f>
        <v>.</v>
      </c>
      <c r="R56" s="1">
        <f>IF(E$26=".", 0, 'Summary, PPI''s'!E56)+IF(F$26=".", 0, 'Summary, PPI''s'!F56)+IF(G$26=".", 0, 'Summary, PPI''s'!G56)+IF(H$26=".", 0, 'Summary, PPI''s'!H56)+IF(I$26=".", 0, 'Summary, PPI''s'!I56)+IF(J$26=".", 0, 'Summary, PPI''s'!J56)+IF(K$26=".", 0, 'Summary, PPI''s'!K56)+IF(L$26=".", 0, 'Summary, PPI''s'!L56)+IF(M$26=".", 0, 'Summary, PPI''s'!M56)+IF(B$26=".", 0, 'Summary, PPI''s'!B56)+IF(C$26=".", 0, 'Summary, PPI''s'!C56)+IF(D$26=".", 0, 'Summary, PPI''s'!D56)+IF(N$26=".", 0, 'Summary, PPI''s'!N56)+IF(O$26=".", 0, 'Summary, PPI''s'!O56)+IF(P$26=".", 0, 'Summary, PPI''s'!P56)</f>
        <v>17450831.947113447</v>
      </c>
      <c r="S56" s="1">
        <f>IF(E$36=".", 0, 'Summary, PPI''s'!E56)+IF(F$36=".", 0, 'Summary, PPI''s'!F56)+IF(G$36=".", 0, 'Summary, PPI''s'!G56)+IF(H$36=".", 0, 'Summary, PPI''s'!H56)+IF(I$36=".", 0, 'Summary, PPI''s'!I56)+IF(J$36=".", 0, 'Summary, PPI''s'!J56)+IF(K$36=".", 0, 'Summary, PPI''s'!K56)+IF(L$36=".", 0, 'Summary, PPI''s'!L56)+IF(M$36=".", 0, 'Summary, PPI''s'!M56)+IF(B$36=".", 0, 'Summary, PPI''s'!B56)+IF(C$36=".", 0, 'Summary, PPI''s'!C56)+IF(D$36=".", 0, 'Summary, PPI''s'!D56)+IF(N$36=".", 0, 'Summary, PPI''s'!N56)+IF(O$36=".", 0, 'Summary, PPI''s'!O56)+IF(P$36=".", 0, 'Summary, PPI''s'!P56)</f>
        <v>17450831.947113447</v>
      </c>
      <c r="T56" s="1">
        <f>IF(E$46=".", 0, 'Summary, PPI''s'!E56)+IF(F$46=".", 0, 'Summary, PPI''s'!F56)+IF(G$46=".", 0, 'Summary, PPI''s'!G56)+IF(H$46=".", 0, 'Summary, PPI''s'!H56)+IF(I$46=".", 0, 'Summary, PPI''s'!I56)+IF(J$46=".", 0, 'Summary, PPI''s'!J56)+IF(K$46=".", 0, 'Summary, PPI''s'!K56)+IF(L$46=".", 0, 'Summary, PPI''s'!L56)+IF(M$46=".", 0, 'Summary, PPI''s'!M56)+IF(B$46=".", 0, 'Summary, PPI''s'!B56)+IF(C$46=".", 0, 'Summary, PPI''s'!C56)+IF(D$46=".", 0, 'Summary, PPI''s'!D56)+IF(N$46=".", 0, 'Summary, PPI''s'!N56)+IF(O$46=".", 0, 'Summary, PPI''s'!O56)+IF(P$46=".", 0, 'Summary, PPI''s'!P56)</f>
        <v>12822310.388726672</v>
      </c>
      <c r="U56" s="1">
        <f>IF(E$60=".", 0, 'Summary, PPI''s'!E56)+IF(F$60=".", 0, 'Summary, PPI''s'!F56)+IF(G$60=".", 0, 'Summary, PPI''s'!G56)+IF(H$60=".", 0, 'Summary, PPI''s'!H56)+IF(I$60=".", 0, 'Summary, PPI''s'!I56)+IF(J$60=".", 0, 'Summary, PPI''s'!J56)+IF(K$60=".", 0, 'Summary, PPI''s'!K56)+IF(L$60=".", 0, 'Summary, PPI''s'!L56)+IF(M$60=".", 0, 'Summary, PPI''s'!M56)+IF(B$60=".", 0, 'Summary, PPI''s'!B56)+IF(C$60=".", 0, 'Summary, PPI''s'!C56)+IF(D$60=".", 0, 'Summary, PPI''s'!D56)+IF(N$60=".", 0, 'Summary, PPI''s'!N56)+IF(O$60=".", 0, 'Summary, PPI''s'!O56)+IF(P$60=".", 0, 'Summary, PPI''s'!P56)</f>
        <v>11552789.761403847</v>
      </c>
      <c r="V56" s="1">
        <f>IF(E$73=".", 0, 'Summary, PPI''s'!E56)+IF(F$73=".", 0, 'Summary, PPI''s'!F56)+IF(G$73=".", 0, 'Summary, PPI''s'!G56)+IF(H$73=".", 0, 'Summary, PPI''s'!H56)+IF(I$73=".", 0, 'Summary, PPI''s'!I56)+IF(J$73=".", 0, 'Summary, PPI''s'!J56)+IF(K$73=".", 0, 'Summary, PPI''s'!K56)+IF(L$73=".", 0, 'Summary, PPI''s'!L56)+IF(M$73=".", 0, 'Summary, PPI''s'!M56)+IF(B$73=".", 0, 'Summary, PPI''s'!B56)+IF(C$73=".", 0, 'Summary, PPI''s'!C56)+IF(D$73=".", 0, 'Summary, PPI''s'!D56)+IF(N$73=".", 0, 'Summary, PPI''s'!N56)+IF(O$73=".", 0, 'Summary, PPI''s'!O56)+IF(P$73=".", 0, 'Summary, PPI''s'!P56)</f>
        <v>10233421.832664756</v>
      </c>
      <c r="W56" s="1">
        <f>IF(E$94=".",0,'Summary, PPI''s'!E56)+IF(F$94=".",0,'Summary, PPI''s'!F56)+IF(G$94=".",0,'Summary, PPI''s'!G56)+IF(H$94=".",0,'Summary, PPI''s'!H56)+IF(I$94=".",0,'Summary, PPI''s'!I56)+IF(J$94=".",0,'Summary, PPI''s'!J56)+IF(K$94=".",0,'Summary, PPI''s'!K56)+IF(L$94=".",0,'Summary, PPI''s'!L56)+IF(M$94=".",0,'Summary, PPI''s'!M56)+IF(B$94=".",0,'Summary, PPI''s'!B56)+IF(C$94=".",0,'Summary, PPI''s'!C56)+IF(D$94=".",0,'Summary, PPI''s'!D56)+IF(N$94=".",0,'Summary, PPI''s'!N56)+IF(O$94=".",0,'Summary, PPI''s'!O56)+IF(P$94=".",0,'Summary, PPI''s'!P56)</f>
        <v>8055146.4724376444</v>
      </c>
      <c r="X56" s="1">
        <f>IF(E$123=".", 0, 'Summary, PPI''s'!E56)+IF(F$123=".", 0, 'Summary, PPI''s'!F56)+IF(G$123=".", 0, 'Summary, PPI''s'!G56)+IF(H$123=".", 0, 'Summary, PPI''s'!H56)+IF(I$123=".", 0, 'Summary, PPI''s'!I56)+IF(J$123=".", 0, 'Summary, PPI''s'!J56)+IF(K$123=".", 0, 'Summary, PPI''s'!K56)+IF(L$123=".", 0, 'Summary, PPI''s'!L56)+IF(M$123=".", 0, 'Summary, PPI''s'!M56)+IF(B$123=".", 0, 'Summary, PPI''s'!B56)+IF(C$123=".", 0, 'Summary, PPI''s'!C56)+IF(D$123=".", 0, 'Summary, PPI''s'!D56)+IF(N$123=".", 0, 'Summary, PPI''s'!N56)+IF(O$123=".", 0, 'Summary, PPI''s'!O56)+IF(P$123=".", 0, 'Summary, PPI''s'!P56)</f>
        <v>7207432.2259422727</v>
      </c>
      <c r="Z56" s="4" t="e">
        <f>Z55*IF(E$26=".", 1, (E56/E55)^(('Summary, PPI''s'!$E56+'Summary, PPI''s'!$E55)/('Predicted PPIs'!R56+'Predicted PPIs'!R55)))*IF(F$26=".", 1, (F56/F55)^(('Summary, PPI''s'!$F56+'Summary, PPI''s'!$F55)/('Predicted PPIs'!R56+'Predicted PPIs'!R55)))*IF(G$26=".", 1, (G56/G55)^(('Summary, PPI''s'!$G56+'Summary, PPI''s'!$G55)/('Predicted PPIs'!R56+'Predicted PPIs'!R55)))*IF(H$26=".", 1, (H56/H55)^(('Summary, PPI''s'!$H56+'Summary, PPI''s'!$H55)/('Predicted PPIs'!R56+'Predicted PPIs'!R55)))*IF(I$26=".", 1, (I56/I55)^(('Summary, PPI''s'!$I56+'Summary, PPI''s'!$I55)/('Predicted PPIs'!R56+'Predicted PPIs'!R55)))*IF(J$26=".", 1, (J56/J55)^(('Summary, PPI''s'!$J56+'Summary, PPI''s'!$J55)/('Predicted PPIs'!R56+'Predicted PPIs'!R55)))*IF(K$26=".", 1, (K56/K55)^(('Summary, PPI''s'!$K56+'Summary, PPI''s'!$K55)/('Predicted PPIs'!R56+'Predicted PPIs'!R55)))*IF(L$26=".", 1, (L56/L55)^(('Summary, PPI''s'!$L56+'Summary, PPI''s'!$L55)/('Predicted PPIs'!R56+'Predicted PPIs'!R55)))*IF(M$26=".", 1, (M56/M55)^(('Summary, PPI''s'!$M56+'Summary, PPI''s'!$M55)/('Predicted PPIs'!R56+'Predicted PPIs'!R55)))*IF(B$26=".", 1, (B56/B55)^(('Summary, PPI''s'!$B56+'Summary, PPI''s'!$B55)/('Predicted PPIs'!R56+'Predicted PPIs'!R55)))*IF(C$26=".", 1, (C56/C55)^(('Summary, PPI''s'!$C56+'Summary, PPI''s'!$C55)/('Predicted PPIs'!R56+'Predicted PPIs'!R55)))*IF(D$26=".", 1, (D56/D55)^(('Summary, PPI''s'!$D56+'Summary, PPI''s'!$D55)/('Predicted PPIs'!R56+'Predicted PPIs'!R55)))*IF(N$26=".", 1, (N56/N55)^(('Summary, PPI''s'!$N56+'Summary, PPI''s'!$N55)/('Predicted PPIs'!R56+'Predicted PPIs'!R55)))*IF(O$26=".", 1, (O56/O55)^(('Summary, PPI''s'!$O56+'Summary, PPI''s'!$O55)/('Predicted PPIs'!R56+'Predicted PPIs'!R55)))*IF(P$26=".", 1, (P56/P55)^(('Summary, PPI''s'!$P56+'Summary, PPI''s'!$P55)/('Predicted PPIs'!R56+'Predicted PPIs'!R55)))</f>
        <v>#VALUE!</v>
      </c>
      <c r="AA56" s="4" t="e">
        <f>AA55*IF(E$36=".", 1, (E56/E55)^(('Summary, PPI''s'!$E56+'Summary, PPI''s'!$E55)/('Predicted PPIs'!S56+'Predicted PPIs'!S55)))*IF(F$36=".", 1, (F56/F55)^(('Summary, PPI''s'!$F56+'Summary, PPI''s'!$F55)/('Predicted PPIs'!S56+'Predicted PPIs'!S55)))*IF(G$36=".", 1, (G56/G55)^(('Summary, PPI''s'!$G56+'Summary, PPI''s'!$G55)/('Predicted PPIs'!S56+'Predicted PPIs'!S55)))*IF(H$36=".", 1, (H56/H55)^(('Summary, PPI''s'!$H56+'Summary, PPI''s'!$H55)/('Predicted PPIs'!S56+'Predicted PPIs'!S55)))*IF(I$36=".", 1, (I56/I55)^(('Summary, PPI''s'!$I56+'Summary, PPI''s'!$I55)/('Predicted PPIs'!S56+'Predicted PPIs'!S55)))*IF(J$36=".", 1, (J56/J55)^(('Summary, PPI''s'!$J56+'Summary, PPI''s'!$J55)/('Predicted PPIs'!S56+'Predicted PPIs'!S55)))*IF(K$36=".", 1, (K56/K55)^(('Summary, PPI''s'!$K56+'Summary, PPI''s'!$K55)/('Predicted PPIs'!S56+'Predicted PPIs'!S55)))*IF(L$36=".", 1, (L56/L55)^(('Summary, PPI''s'!$L56+'Summary, PPI''s'!$L55)/('Predicted PPIs'!S56+'Predicted PPIs'!S55)))*IF(M$36=".", 1, (M56/M55)^(('Summary, PPI''s'!$M56+'Summary, PPI''s'!$M55)/('Predicted PPIs'!S56+'Predicted PPIs'!S55)))*IF(B$36=".", 1, (B56/B55)^(('Summary, PPI''s'!$B56+'Summary, PPI''s'!$B55)/('Predicted PPIs'!S56+'Predicted PPIs'!S55)))*IF(C$36=".", 1, (C56/C55)^(('Summary, PPI''s'!$C56+'Summary, PPI''s'!$C55)/('Predicted PPIs'!S56+'Predicted PPIs'!S55)))*IF(D$36=".", 1, (D56/D55)^(('Summary, PPI''s'!$D56+'Summary, PPI''s'!$D55)/('Predicted PPIs'!S56+'Predicted PPIs'!S55)))*IF(N$36=".", 1, (N56/N55)^(('Summary, PPI''s'!$N56+'Summary, PPI''s'!$N55)/('Predicted PPIs'!S56+'Predicted PPIs'!S55)))*IF(O$36=".", 1, (O56/O55)^(('Summary, PPI''s'!$O56+'Summary, PPI''s'!$O55)/('Predicted PPIs'!S56+'Predicted PPIs'!S55)))*IF(P$36=".", 1, (P56/P55)^(('Summary, PPI''s'!$P56+'Summary, PPI''s'!$P55)/('Predicted PPIs'!S56+'Predicted PPIs'!S55)))</f>
        <v>#VALUE!</v>
      </c>
      <c r="AB56" s="4" t="e">
        <f>AB55*IF(E$46=".", 1, (E56/E55)^(('Summary, PPI''s'!$E56+'Summary, PPI''s'!$E55)/('Predicted PPIs'!T56+'Predicted PPIs'!T55)))*IF(F$46=".", 1, (F56/F55)^(('Summary, PPI''s'!$F56+'Summary, PPI''s'!$F55)/('Predicted PPIs'!T56+'Predicted PPIs'!T55)))*IF(G$46=".", 1, (G56/G55)^(('Summary, PPI''s'!$G56+'Summary, PPI''s'!$G55)/('Predicted PPIs'!T56+'Predicted PPIs'!T55)))*IF(H$46=".", 1, (H56/H55)^(('Summary, PPI''s'!$H56+'Summary, PPI''s'!$H55)/('Predicted PPIs'!T56+'Predicted PPIs'!T55)))*IF(I$46=".", 1, (I56/I55)^(('Summary, PPI''s'!$I56+'Summary, PPI''s'!$I55)/('Predicted PPIs'!T56+'Predicted PPIs'!T55)))*IF(J$46=".", 1, (J56/J55)^(('Summary, PPI''s'!$J56+'Summary, PPI''s'!$J55)/('Predicted PPIs'!T56+'Predicted PPIs'!T55)))*IF(K$46=".", 1, (K56/K55)^(('Summary, PPI''s'!$K56+'Summary, PPI''s'!$K55)/('Predicted PPIs'!T56+'Predicted PPIs'!T55)))*IF(L$46=".", 1, (L56/L55)^(('Summary, PPI''s'!$L56+'Summary, PPI''s'!$L55)/('Predicted PPIs'!T56+'Predicted PPIs'!T55)))*IF(M$46=".", 1, (M56/M55)^(('Summary, PPI''s'!$M56+'Summary, PPI''s'!$M55)/('Predicted PPIs'!T56+'Predicted PPIs'!T55)))*IF(B$46=".", 1, (B56/B55)^(('Summary, PPI''s'!$B56+'Summary, PPI''s'!$B55)/('Predicted PPIs'!T56+'Predicted PPIs'!T55)))*IF(C$46=".", 1, (C56/C55)^(('Summary, PPI''s'!$C56+'Summary, PPI''s'!$C55)/('Predicted PPIs'!T56+'Predicted PPIs'!T55)))*IF(D$46=".", 1, (D56/D55)^(('Summary, PPI''s'!$D56+'Summary, PPI''s'!$D55)/('Predicted PPIs'!T56+'Predicted PPIs'!T55)))*IF(N$46=".", 1, (N56/N55)^(('Summary, PPI''s'!$N56+'Summary, PPI''s'!$N55)/('Predicted PPIs'!T56+'Predicted PPIs'!T55)))*IF(O$46=".", 1, (O56/O55)^(('Summary, PPI''s'!$O56+'Summary, PPI''s'!$O55)/('Predicted PPIs'!T56+'Predicted PPIs'!T55)))*IF(P$46=".", 1, (P56/P55)^(('Summary, PPI''s'!$P56+'Summary, PPI''s'!$P55)/('Predicted PPIs'!T56+'Predicted PPIs'!T55)))</f>
        <v>#VALUE!</v>
      </c>
      <c r="AC56" s="4">
        <f>AC55*IF(E$60=".",1,(E56/E55)^(('Summary, PPI''s'!$E56+'Summary, PPI''s'!$E55)/('Predicted PPIs'!U56+'Predicted PPIs'!U55)))*IF(F$60=".",1,(F56/F55)^(('Summary, PPI''s'!$F56+'Summary, PPI''s'!$F55)/('Predicted PPIs'!U56+'Predicted PPIs'!U55)))*IF(G$60=".",1,(G56/G55)^(('Summary, PPI''s'!$G56+'Summary, PPI''s'!$G55)/('Predicted PPIs'!U56+'Predicted PPIs'!U55)))*IF(H$60=".",1,(H56/H55)^(('Summary, PPI''s'!$H56+'Summary, PPI''s'!$H55)/('Predicted PPIs'!U56+'Predicted PPIs'!U55)))*IF(I$60=".",1,(I56/I55)^(('Summary, PPI''s'!$I56+'Summary, PPI''s'!$I55)/('Predicted PPIs'!U56+'Predicted PPIs'!U55)))*IF(J$60=".",1,(J56/J55)^(('Summary, PPI''s'!$J56+'Summary, PPI''s'!$J55)/('Predicted PPIs'!U56+'Predicted PPIs'!U55)))*IF(K$60=".",1,(K56/K55)^(('Summary, PPI''s'!$K56+'Summary, PPI''s'!$K55)/('Predicted PPIs'!U56+'Predicted PPIs'!U55)))*IF(L$60=".",1,(L56/L55)^(('Summary, PPI''s'!$L56+'Summary, PPI''s'!$L55)/('Predicted PPIs'!U56+'Predicted PPIs'!U55)))*IF(M$60=".",1,(M56/M55)^(('Summary, PPI''s'!$M56+'Summary, PPI''s'!$M55)/('Predicted PPIs'!U56+'Predicted PPIs'!U55)))*IF(B$60=".",1,(B56/B55)^(('Summary, PPI''s'!$B56+'Summary, PPI''s'!$B55)/('Predicted PPIs'!U56+'Predicted PPIs'!U55)))*IF(C$60=".",1,(C56/C55)^(('Summary, PPI''s'!$C56+'Summary, PPI''s'!$C55)/('Predicted PPIs'!U56+'Predicted PPIs'!U55)))*IF(D$60=".",1,(D56/D55)^(('Summary, PPI''s'!$D56+'Summary, PPI''s'!$D55)/('Predicted PPIs'!U56+'Predicted PPIs'!U55)))*IF(N$60=".",1,(N56/N55)^(('Summary, PPI''s'!$N56+'Summary, PPI''s'!$N55)/('Predicted PPIs'!U56+'Predicted PPIs'!U55)))*IF(O$60=".",1,(O56/O55)^(('Summary, PPI''s'!$O56+'Summary, PPI''s'!$O55)/('Predicted PPIs'!U56+'Predicted PPIs'!U55)))*IF(P$60=".",1,(P56/P55)^(('Summary, PPI''s'!$P56+'Summary, PPI''s'!$P55)/('Predicted PPIs'!U56+'Predicted PPIs'!U55)))</f>
        <v>12.842543588089672</v>
      </c>
      <c r="AD56" s="4">
        <f>AD55*IF(E$73=".", 1, (E56/E55)^(('Summary, PPI''s'!$E56+'Summary, PPI''s'!$E55)/('Predicted PPIs'!V56+'Predicted PPIs'!V55)))*IF(F$73=".", 1, (F56/F55)^(('Summary, PPI''s'!$F56+'Summary, PPI''s'!$F55)/('Predicted PPIs'!V56+'Predicted PPIs'!V55)))*IF(G$73=".", 1, (G56/G55)^(('Summary, PPI''s'!$G56+'Summary, PPI''s'!$G55)/('Predicted PPIs'!V56+'Predicted PPIs'!V55)))*IF(H$73=".", 1, (H56/H55)^(('Summary, PPI''s'!$H56+'Summary, PPI''s'!$H55)/('Predicted PPIs'!V56+'Predicted PPIs'!V55)))*IF(I$73=".", 1, (I56/I55)^(('Summary, PPI''s'!$I56+'Summary, PPI''s'!$I55)/('Predicted PPIs'!V56+'Predicted PPIs'!V55)))*IF(J$73=".", 1, (J56/J55)^(('Summary, PPI''s'!$J56+'Summary, PPI''s'!$J55)/('Predicted PPIs'!V56+'Predicted PPIs'!V55)))*IF(K$73=".", 1, (K56/K55)^(('Summary, PPI''s'!$K56+'Summary, PPI''s'!$K55)/('Predicted PPIs'!V56+'Predicted PPIs'!V55)))*IF(L$73=".", 1, (L56/L55)^(('Summary, PPI''s'!$L56+'Summary, PPI''s'!$L55)/('Predicted PPIs'!V56+'Predicted PPIs'!V55)))*IF(M$73=".", 1, (M56/M55)^(('Summary, PPI''s'!$M56+'Summary, PPI''s'!$M55)/('Predicted PPIs'!V56+'Predicted PPIs'!V55)))*IF(B$73=".", 1, (B56/B55)^(('Summary, PPI''s'!$B56+'Summary, PPI''s'!$B55)/('Predicted PPIs'!V56+'Predicted PPIs'!V55)))*IF(C$73=".", 1, (C56/C55)^(('Summary, PPI''s'!$C56+'Summary, PPI''s'!$C55)/('Predicted PPIs'!V56+'Predicted PPIs'!V55)))*IF(D$73=".", 1, (D56/D55)^(('Summary, PPI''s'!$D56+'Summary, PPI''s'!$D55)/('Predicted PPIs'!V56+'Predicted PPIs'!V55)))*IF(N$73=".", 1, (N56/N55)^(('Summary, PPI''s'!$N56+'Summary, PPI''s'!$N55)/('Predicted PPIs'!V56+'Predicted PPIs'!V55)))*IF(O$73=".", 1, (O56/O55)^(('Summary, PPI''s'!$O56+'Summary, PPI''s'!$O55)/('Predicted PPIs'!V56+'Predicted PPIs'!V55)))*IF(P$73=".", 1, (P56/P55)^(('Summary, PPI''s'!$P56+'Summary, PPI''s'!$P55)/('Predicted PPIs'!V56+'Predicted PPIs'!V55)))</f>
        <v>12.283289483631419</v>
      </c>
      <c r="AE56" s="4">
        <f>AE55*IF(E$94=".", 1, (E56/E55)^(('Summary, PPI''s'!$E56+'Summary, PPI''s'!$E55)/('Predicted PPIs'!W56+'Predicted PPIs'!W55)))*IF(F$94=".", 1, (F56/F55)^(('Summary, PPI''s'!$F56+'Summary, PPI''s'!$F55)/('Predicted PPIs'!W56+'Predicted PPIs'!W55)))*IF(G$94=".", 1, (G56/G55)^(('Summary, PPI''s'!$G56+'Summary, PPI''s'!$G55)/('Predicted PPIs'!W56+'Predicted PPIs'!W55)))*IF(H$94=".", 1, (H56/H55)^(('Summary, PPI''s'!$H56+'Summary, PPI''s'!$H55)/('Predicted PPIs'!W56+'Predicted PPIs'!W55)))*IF(I$94=".", 1, (I56/I55)^(('Summary, PPI''s'!$I56+'Summary, PPI''s'!$I55)/('Predicted PPIs'!W56+'Predicted PPIs'!W55)))*IF(J$94=".", 1, (J56/J55)^(('Summary, PPI''s'!$J56+'Summary, PPI''s'!$J55)/('Predicted PPIs'!W56+'Predicted PPIs'!W55)))*IF(K$94=".", 1, (K56/K55)^(('Summary, PPI''s'!$K56+'Summary, PPI''s'!$K55)/('Predicted PPIs'!W56+'Predicted PPIs'!W55)))*IF(L$94=".", 1, (L56/L55)^(('Summary, PPI''s'!$L56+'Summary, PPI''s'!$L55)/('Predicted PPIs'!W56+'Predicted PPIs'!W55)))*IF(M$94=".", 1, (M56/M55)^(('Summary, PPI''s'!$M56+'Summary, PPI''s'!$M55)/('Predicted PPIs'!W56+'Predicted PPIs'!W55)))*IF(B$94=".", 1, (B56/B55)^(('Summary, PPI''s'!$B56+'Summary, PPI''s'!$B55)/('Predicted PPIs'!W56+'Predicted PPIs'!W55)))*IF(C$94=".", 1, (C56/C55)^(('Summary, PPI''s'!$C56+'Summary, PPI''s'!$C55)/('Predicted PPIs'!W56+'Predicted PPIs'!W55)))*IF(D$94=".", 1, (D56/D55)^(('Summary, PPI''s'!$D56+'Summary, PPI''s'!$D55)/('Predicted PPIs'!W56+'Predicted PPIs'!W55)))*IF(N$94=".", 1, (N56/N55)^(('Summary, PPI''s'!$N56+'Summary, PPI''s'!$N55)/('Predicted PPIs'!W56+'Predicted PPIs'!W55)))*IF(O$94=".", 1, (O56/O55)^(('Summary, PPI''s'!$O56+'Summary, PPI''s'!$O55)/('Predicted PPIs'!W56+'Predicted PPIs'!W55)))*IF(P$94=".", 1, (P56/P55)^(('Summary, PPI''s'!$P56+'Summary, PPI''s'!$P55)/('Predicted PPIs'!W56+'Predicted PPIs'!W55)))</f>
        <v>11.040461755395366</v>
      </c>
      <c r="AF56" s="4">
        <f>AF55*IF(E$123=".", 1, (E56/E55)^(('Summary, PPI''s'!$E56+'Summary, PPI''s'!$E55)/('Predicted PPIs'!X56+'Predicted PPIs'!X55)))*IF(F$123=".", 1, (F56/F55)^(('Summary, PPI''s'!$F56+'Summary, PPI''s'!$F55)/('Predicted PPIs'!X56+'Predicted PPIs'!X55)))*IF(G$123=".", 1, (G56/G55)^(('Summary, PPI''s'!$G56+'Summary, PPI''s'!$G55)/('Predicted PPIs'!X56+'Predicted PPIs'!X55)))*IF(H$123=".", 1, (H56/H55)^(('Summary, PPI''s'!$H56+'Summary, PPI''s'!$H55)/('Predicted PPIs'!X56+'Predicted PPIs'!X55)))*IF(I$123=".", 1, (I56/I55)^(('Summary, PPI''s'!$I56+'Summary, PPI''s'!$I55)/('Predicted PPIs'!X56+'Predicted PPIs'!X55)))*IF(J$123=".", 1, (J56/J55)^(('Summary, PPI''s'!$J56+'Summary, PPI''s'!$J55)/('Predicted PPIs'!X56+'Predicted PPIs'!X55)))*IF(K$123=".", 1, (K56/K55)^(('Summary, PPI''s'!$K56+'Summary, PPI''s'!$K55)/('Predicted PPIs'!X56+'Predicted PPIs'!X55)))*IF(L$123=".", 1, (L56/L55)^(('Summary, PPI''s'!$L56+'Summary, PPI''s'!$L55)/('Predicted PPIs'!X56+'Predicted PPIs'!X55)))*IF(M$123=".", 1, (M56/M55)^(('Summary, PPI''s'!$M56+'Summary, PPI''s'!$M55)/('Predicted PPIs'!X56+'Predicted PPIs'!X55)))*IF(B$123=".", 1, (B56/B55)^(('Summary, PPI''s'!$B56+'Summary, PPI''s'!$B55)/('Predicted PPIs'!X56+'Predicted PPIs'!X55)))*IF(C$123=".", 1, (C56/C55)^(('Summary, PPI''s'!$C56+'Summary, PPI''s'!$C55)/('Predicted PPIs'!X56+'Predicted PPIs'!X55)))*IF(D$123=".", 1, (D56/D55)^(('Summary, PPI''s'!$D56+'Summary, PPI''s'!$D55)/('Predicted PPIs'!X56+'Predicted PPIs'!X55)))*IF(N$123=".", 1, (N56/N55)^(('Summary, PPI''s'!$N56+'Summary, PPI''s'!$N55)/('Predicted PPIs'!X56+'Predicted PPIs'!X55)))*IF(O$123=".", 1, (O56/O55)^(('Summary, PPI''s'!$O56+'Summary, PPI''s'!$O55)/('Predicted PPIs'!X56+'Predicted PPIs'!X55)))*IF(P$123=".", 1, (P56/P55)^(('Summary, PPI''s'!$P56+'Summary, PPI''s'!$P55)/('Predicted PPIs'!X56+'Predicted PPIs'!X55)))</f>
        <v>10.461416963274708</v>
      </c>
      <c r="AH56" s="13">
        <f t="shared" si="91"/>
        <v>14.200364671557914</v>
      </c>
      <c r="AJ56" s="4">
        <v>506.7</v>
      </c>
      <c r="AK56" s="4">
        <v>-0.73599999999999999</v>
      </c>
      <c r="AL56" s="4">
        <v>-48.329000000000001</v>
      </c>
      <c r="AM56" s="4">
        <v>-2.7469999999999999</v>
      </c>
      <c r="AN56" s="4">
        <v>646.70000000000005</v>
      </c>
      <c r="AO56" s="4">
        <v>132</v>
      </c>
      <c r="AP56" s="4">
        <f>('[3]1967'!$I$14+'[3]1967'!$I$69+'[3]1967'!$I$71-'[3]1967'!$I$73)*0.001</f>
        <v>-11.766999999999999</v>
      </c>
      <c r="AQ56" s="4">
        <f>('[3]1967'!$AY$56+'[3]1967'!$AY$69+'[3]1967'!$AY$71-'[3]1967'!$AY$73)*0.001</f>
        <v>-27.581</v>
      </c>
      <c r="AR56" s="4">
        <f>AR$38*1172/23762</f>
        <v>-0.55181954380944365</v>
      </c>
      <c r="AS56" s="4">
        <v>-3.8439999999999999</v>
      </c>
      <c r="AT56" s="4">
        <v>18.395</v>
      </c>
      <c r="AU56" s="4">
        <v>24.72</v>
      </c>
      <c r="AV56" s="4">
        <v>15.657999999999999</v>
      </c>
      <c r="AW56" s="4">
        <v>16.466999999999999</v>
      </c>
      <c r="AX56" s="4">
        <v>17.844000000000001</v>
      </c>
      <c r="AY56" s="4">
        <v>25.184999999999999</v>
      </c>
      <c r="AZ56" s="4">
        <v>9.9290000000000003</v>
      </c>
      <c r="BA56" s="4">
        <v>19.561</v>
      </c>
      <c r="BB56" s="4">
        <f>BB$38*159.482/184.05</f>
        <v>89.233666720999722</v>
      </c>
      <c r="BC56" s="4">
        <v>22.099</v>
      </c>
      <c r="BG56" s="4">
        <f t="shared" si="50"/>
        <v>26.906365680411433</v>
      </c>
      <c r="BI56" s="4">
        <f>BI$13*'[2]Ordinary Experience'!$D$370/'[2]Ordinary Experience'!$D$413</f>
        <v>195958472.36829373</v>
      </c>
      <c r="BJ56" s="4">
        <f>'[2]Ordinary Experience'!$E$370</f>
        <v>29.256307950297217</v>
      </c>
      <c r="BL56" s="4">
        <f t="shared" si="90"/>
        <v>48.971003324127516</v>
      </c>
      <c r="BM56" s="4">
        <f t="shared" si="34"/>
        <v>2.027434536595818E-3</v>
      </c>
      <c r="BO56" s="4">
        <f>IF(OR('Summary, hourly ad costs'!R56=-9999,'Summary, PPI''s'!R56="."),".",(('Summary, hourly ad costs'!B56/'Summary, hourly ad costs'!R56)*100/('Summary, hourly ad costs'!B$11/'Summary, hourly ad costs'!R$11))/('Summary, PPI''s'!R56))</f>
        <v>2.0410534295408005</v>
      </c>
      <c r="BP56" s="4" t="str">
        <f>IF(OR('Summary, hourly ad costs'!S56=-9999,'Summary, PPI''s'!S56="."),".",(('Summary, hourly ad costs'!C56/'Summary, hourly ad costs'!S56)*100/('Summary, hourly ad costs'!C$11/'Summary, hourly ad costs'!S$11))/('Summary, PPI''s'!S56))</f>
        <v>.</v>
      </c>
      <c r="BQ56" s="4" t="str">
        <f>IF(OR('Summary, hourly ad costs'!T56=-9999,'Summary, PPI''s'!T56="."),".",(('Summary, hourly ad costs'!D56/'Summary, hourly ad costs'!T56)*100/('Summary, hourly ad costs'!D$11/'Summary, hourly ad costs'!T$11))/('Summary, PPI''s'!T56))</f>
        <v>.</v>
      </c>
      <c r="BR56" s="4">
        <f>IF(OR('Summary, hourly ad costs'!U56=-9999,'Summary, PPI''s'!U56="."),".",(('Summary, hourly ad costs'!E56/'Summary, hourly ad costs'!U56)*100/('Summary, hourly ad costs'!E$11/'Summary, hourly ad costs'!U$11))/('Summary, PPI''s'!U56))</f>
        <v>1.9575467125043486</v>
      </c>
      <c r="BS56" s="4">
        <f>IF(OR('Summary, hourly ad costs'!V56=-9999,'Summary, PPI''s'!V56="."),".",(('Summary, hourly ad costs'!F56/'Summary, hourly ad costs'!V56)*100/('Summary, hourly ad costs'!F$11/'Summary, hourly ad costs'!V$11))/('Summary, PPI''s'!V56))</f>
        <v>1.7817389603439222</v>
      </c>
      <c r="BT56" s="4" t="str">
        <f>IF(OR('Summary, hourly ad costs'!W56=-9999,'Summary, PPI''s'!W56="."),".",(('Summary, hourly ad costs'!G56/'Summary, hourly ad costs'!W56)*100/('Summary, hourly ad costs'!G$11/'Summary, hourly ad costs'!W$11))/('Summary, PPI''s'!W56))</f>
        <v>.</v>
      </c>
      <c r="BU56" s="4">
        <f>IF(OR('Summary, hourly ad costs'!X56=-9999,'Summary, PPI''s'!X56="."),".",(('Summary, hourly ad costs'!H56/'Summary, hourly ad costs'!X56)*100/('Summary, hourly ad costs'!H$11/'Summary, hourly ad costs'!X$11))/('Summary, PPI''s'!X56))</f>
        <v>1.1131573306636389</v>
      </c>
      <c r="BV56" s="4" t="str">
        <f>IF(OR('Summary, hourly ad costs'!Y56=-9999,'Summary, PPI''s'!Y56="."),".",(('Summary, hourly ad costs'!I56/'Summary, hourly ad costs'!Y56)*100/('Summary, hourly ad costs'!I$11/'Summary, hourly ad costs'!Y$11))/('Summary, PPI''s'!Y56))</f>
        <v>.</v>
      </c>
      <c r="BW56" s="4" t="str">
        <f>IF(OR('Summary, hourly ad costs'!Z56=-9999,'Summary, PPI''s'!Z56="."),".",(('Summary, hourly ad costs'!J56/'Summary, hourly ad costs'!Z56)*100/('Summary, hourly ad costs'!J$11/'Summary, hourly ad costs'!Z$11))/('Summary, PPI''s'!Z56))</f>
        <v>.</v>
      </c>
      <c r="BX56" s="4" t="str">
        <f>IF(OR('Summary, hourly ad costs'!AA56=-9999,'Summary, PPI''s'!AA56="."),".",(('Summary, hourly ad costs'!K56/'Summary, hourly ad costs'!AA56)*100/('Summary, hourly ad costs'!K$11/'Summary, hourly ad costs'!AA$11))/('Summary, PPI''s'!AA56))</f>
        <v>.</v>
      </c>
      <c r="BY56" s="4" t="str">
        <f>IF(OR('Summary, hourly ad costs'!AB56=-9999,'Summary, PPI''s'!AB56="."),".",(('Summary, hourly ad costs'!L56/'Summary, hourly ad costs'!AB56)*100/('Summary, hourly ad costs'!L$11/'Summary, hourly ad costs'!AB$11))/('Summary, PPI''s'!AB56))</f>
        <v>.</v>
      </c>
      <c r="BZ56" s="4" t="str">
        <f>IF(OR('Summary, hourly ad costs'!AC56=-9999,'Summary, PPI''s'!AC56="."),".",(('Summary, hourly ad costs'!M56/'Summary, hourly ad costs'!AC56)*100/('Summary, hourly ad costs'!M$11/'Summary, hourly ad costs'!AC$11))/('Summary, PPI''s'!AC56))</f>
        <v>.</v>
      </c>
      <c r="CA56" s="4" t="str">
        <f>IF(OR('Summary, hourly ad costs'!AD56=-9999,'Summary, PPI''s'!AD56="."),".",(('Summary, hourly ad costs'!N56/'Summary, hourly ad costs'!AD56)*100/('Summary, hourly ad costs'!N$11/'Summary, hourly ad costs'!AD$11))/('Summary, PPI''s'!AD56))</f>
        <v>.</v>
      </c>
      <c r="CB56" s="4" t="str">
        <f>IF(OR('Summary, hourly ad costs'!AE56=-9999,'Summary, PPI''s'!AE56="."),".",(('Summary, hourly ad costs'!O56/'Summary, hourly ad costs'!AE56)*100/('Summary, hourly ad costs'!O$11/'Summary, hourly ad costs'!AE$11))/('Summary, PPI''s'!AE56))</f>
        <v>.</v>
      </c>
      <c r="CC56" s="4" t="str">
        <f>IF(OR('Summary, hourly ad costs'!AF56=-9999,'Summary, PPI''s'!AF56="."),".",(('Summary, hourly ad costs'!P56/'Summary, hourly ad costs'!AF56)*100/('Summary, hourly ad costs'!P$11/'Summary, hourly ad costs'!AF$11))/('Summary, PPI''s'!AF56))</f>
        <v>.</v>
      </c>
      <c r="CE56" s="4">
        <f t="shared" si="113"/>
        <v>3.5114728952257312E-2</v>
      </c>
      <c r="CF56" s="4" t="str">
        <f t="shared" si="114"/>
        <v>.</v>
      </c>
      <c r="CG56" s="4" t="str">
        <f t="shared" si="115"/>
        <v>.</v>
      </c>
      <c r="CH56" s="4">
        <f t="shared" si="116"/>
        <v>8.35186650204367E-3</v>
      </c>
      <c r="CI56" s="4">
        <f t="shared" si="117"/>
        <v>-1.2579733669507265E-2</v>
      </c>
      <c r="CJ56" s="4" t="str">
        <f t="shared" si="118"/>
        <v>.</v>
      </c>
      <c r="CK56" s="4">
        <f t="shared" si="119"/>
        <v>4.9057939276231366E-5</v>
      </c>
      <c r="CL56" s="4">
        <f t="shared" si="130"/>
        <v>-1.3855075032101163E-2</v>
      </c>
      <c r="CM56" s="4">
        <f t="shared" si="130"/>
        <v>1.0795361781673176E-2</v>
      </c>
      <c r="CN56" s="4">
        <f t="shared" si="89"/>
        <v>-2.8370784159742504E-2</v>
      </c>
      <c r="CO56" s="4">
        <f t="shared" si="120"/>
        <v>7.4687834175569748E-3</v>
      </c>
      <c r="CP56" s="4">
        <f t="shared" si="120"/>
        <v>0.18552190321259243</v>
      </c>
      <c r="CQ56" s="4" t="str">
        <f t="shared" si="110"/>
        <v>.</v>
      </c>
      <c r="CR56" s="4" t="str">
        <f t="shared" si="111"/>
        <v>.</v>
      </c>
      <c r="CS56" s="4" t="str">
        <f t="shared" si="112"/>
        <v>.</v>
      </c>
      <c r="CU56" s="5">
        <f>IF(CU55=".", ".", IF('Summary, PPI''s'!R56=".",IF(OR('Summary, hourly ad costs'!R56=-9999,'Summary, hourly ad costs'!R56=0), ".", 'Predicted PPIs'!CU55*('Summary, hourly ad costs'!B56/'Summary, hourly ad costs'!R56)/('Summary, hourly ad costs'!B55/'Summary, hourly ad costs'!R55)/(1-CE55)), 'Summary, PPI''s'!R56))</f>
        <v>22.802719786209064</v>
      </c>
      <c r="CV56" s="5">
        <f>IF(CV55=".", ".", IF('Summary, PPI''s'!S56=".",IF(OR('Summary, hourly ad costs'!S56=-9999,'Summary, hourly ad costs'!S56=0), ".", 'Predicted PPIs'!CV55*('Summary, hourly ad costs'!C56/'Summary, hourly ad costs'!S56)/('Summary, hourly ad costs'!C55/'Summary, hourly ad costs'!S55)/(1-CF55)), 'Summary, PPI''s'!S56))</f>
        <v>22.802719786209064</v>
      </c>
      <c r="CW56" s="5" t="str">
        <f>IF(CW55=".", ".", IF('Summary, PPI''s'!T56=".",IF(OR('Summary, hourly ad costs'!T56=-9999,'Summary, hourly ad costs'!T56=0), ".", 'Predicted PPIs'!CW55*('Summary, hourly ad costs'!D56/'Summary, hourly ad costs'!T56)/('Summary, hourly ad costs'!D55/'Summary, hourly ad costs'!T55)/(1-CG55)), 'Summary, PPI''s'!T56))</f>
        <v>.</v>
      </c>
      <c r="CX56" s="5">
        <f>IF(CX55=".", ".", IF('Summary, PPI''s'!U56=".",IF(OR('Summary, hourly ad costs'!U56=-9999,'Summary, hourly ad costs'!U56=0), ".", 'Predicted PPIs'!CX55*('Summary, hourly ad costs'!E56/'Summary, hourly ad costs'!U56)/('Summary, hourly ad costs'!E55/'Summary, hourly ad costs'!U55)/(1-CH55)), 'Summary, PPI''s'!U56))</f>
        <v>8.2631848014991114</v>
      </c>
      <c r="CY56" s="5">
        <f>IF(CY55=".", ".", IF('Summary, PPI''s'!V56=".",IF(OR('Summary, hourly ad costs'!V56=-9999,'Summary, hourly ad costs'!V56=0), ".", 'Predicted PPIs'!CY55*('Summary, hourly ad costs'!F56/'Summary, hourly ad costs'!V56)/('Summary, hourly ad costs'!F55/'Summary, hourly ad costs'!V55)/(1-CI55)), 'Summary, PPI''s'!V56))</f>
        <v>12.932146089082561</v>
      </c>
      <c r="CZ56" s="5">
        <f>IF(CZ55=".", ".", IF('Summary, PPI''s'!W56=".",IF(OR('Summary, hourly ad costs'!W56=-9999,'Summary, hourly ad costs'!W56=0), ".", 'Predicted PPIs'!CZ55*('Summary, hourly ad costs'!G56/'Summary, hourly ad costs'!W56)/('Summary, hourly ad costs'!G55/'Summary, hourly ad costs'!W55)/(1-CJ55)), 'Summary, PPI''s'!W56))</f>
        <v>9.7554660923155332</v>
      </c>
      <c r="DA56" s="5">
        <f>IF(DA55=".", ".", IF('Summary, PPI''s'!X56=".",IF(OR('Summary, hourly ad costs'!X56=-9999,'Summary, hourly ad costs'!X56=0), ".", 'Predicted PPIs'!DA55*('Summary, hourly ad costs'!H56/'Summary, hourly ad costs'!X56)/('Summary, hourly ad costs'!H55/'Summary, hourly ad costs'!X55)/(1-CK55)), 'Summary, PPI''s'!X56))</f>
        <v>13.442</v>
      </c>
      <c r="DB56" s="5">
        <f>IF(DB55=".", ".", IF('Summary, PPI''s'!Y56=".",IF(OR('Summary, hourly ad costs'!Y56=-9999,'Summary, hourly ad costs'!Y56=0), ".", 'Predicted PPIs'!DB55*('Summary, hourly ad costs'!I56/'Summary, hourly ad costs'!Y56)/('Summary, hourly ad costs'!I55/'Summary, hourly ad costs'!Y55)/(1-CL55)), 'Summary, PPI''s'!Y56))</f>
        <v>11.737300213884668</v>
      </c>
      <c r="DC56" s="5">
        <f>IF(DC55=".", ".", IF('Summary, PPI''s'!Z56=".",IF(OR('Summary, hourly ad costs'!Z56=-9999,'Summary, hourly ad costs'!Z56=0), ".", 'Predicted PPIs'!DC55*('Summary, hourly ad costs'!J56/'Summary, hourly ad costs'!Z56)/('Summary, hourly ad costs'!J55/'Summary, hourly ad costs'!Z55)/(1-CM55)), 'Summary, PPI''s'!Z56))</f>
        <v>17.177124508801885</v>
      </c>
      <c r="DD56" s="5" t="str">
        <f>IF(DD55=".", ".", IF('Summary, PPI''s'!AA56=".",IF(OR('Summary, hourly ad costs'!AA56=-9999,'Summary, hourly ad costs'!AA56=0), ".", 'Predicted PPIs'!DD55*('Summary, hourly ad costs'!K56/'Summary, hourly ad costs'!AA56)/('Summary, hourly ad costs'!K55/'Summary, hourly ad costs'!AA55)/(1-CN55)), 'Summary, PPI''s'!AA56))</f>
        <v>.</v>
      </c>
      <c r="DE56" s="5" t="str">
        <f>IF(DE55=".", ".", IF('Summary, PPI''s'!AB56=".",IF(OR('Summary, hourly ad costs'!AB56=-9999,'Summary, hourly ad costs'!AB56=0), ".", 'Predicted PPIs'!DE55*('Summary, hourly ad costs'!L56/'Summary, hourly ad costs'!AB56)/('Summary, hourly ad costs'!L55/'Summary, hourly ad costs'!AB55)/(1-CO55)), 'Summary, PPI''s'!AB56))</f>
        <v>.</v>
      </c>
      <c r="DF56" s="5" t="str">
        <f>IF(DF55=".", ".", IF('Summary, PPI''s'!AC56=".",IF(OR('Summary, hourly ad costs'!AC56=-9999,'Summary, hourly ad costs'!AC56=0), ".", 'Predicted PPIs'!DF55*('Summary, hourly ad costs'!M56/'Summary, hourly ad costs'!AC56)/('Summary, hourly ad costs'!M55/'Summary, hourly ad costs'!AC55)/(1-CP55)), 'Summary, PPI''s'!AC56))</f>
        <v>.</v>
      </c>
      <c r="DG56" s="5" t="str">
        <f>IF(DG55=".", ".", IF('Summary, PPI''s'!AD56=".",IF(OR('Summary, hourly ad costs'!AD56=-9999,'Summary, hourly ad costs'!AD56=0), ".", 'Predicted PPIs'!DG55*('Summary, hourly ad costs'!N56/'Summary, hourly ad costs'!AD56)/('Summary, hourly ad costs'!N55/'Summary, hourly ad costs'!AD55)/(1-CQ55)), 'Summary, PPI''s'!AD56))</f>
        <v>.</v>
      </c>
      <c r="DH56" s="5" t="str">
        <f>IF(DH55=".", ".", IF('Summary, PPI''s'!AE56=".",IF(OR('Summary, hourly ad costs'!AE56=-9999,'Summary, hourly ad costs'!AE56=0), ".", 'Predicted PPIs'!DH55*('Summary, hourly ad costs'!O56/'Summary, hourly ad costs'!AE56)/('Summary, hourly ad costs'!O55/'Summary, hourly ad costs'!AE55)/(1-CR55)), 'Summary, PPI''s'!AE56))</f>
        <v>.</v>
      </c>
      <c r="DI56" s="5" t="str">
        <f>IF(DI55=".", ".", IF('Summary, PPI''s'!AF56=".",IF(OR('Summary, hourly ad costs'!AF56=-9999,'Summary, hourly ad costs'!AF56=0), ".", 'Predicted PPIs'!DI55*('Summary, hourly ad costs'!P56/'Summary, hourly ad costs'!AF56)/('Summary, hourly ad costs'!P55/'Summary, hourly ad costs'!AF55)/(1-CS55)), 'Summary, PPI''s'!AF56))</f>
        <v>.</v>
      </c>
      <c r="DK56" s="4">
        <v>7.617</v>
      </c>
      <c r="DM56" s="5">
        <f t="shared" si="121"/>
        <v>4.0909058468755699E-2</v>
      </c>
      <c r="DN56" s="5">
        <f t="shared" si="122"/>
        <v>4.0909058468755699E-2</v>
      </c>
      <c r="DO56" s="4">
        <f t="shared" si="123"/>
        <v>-2.283036267982759E-2</v>
      </c>
      <c r="DP56" s="5">
        <f t="shared" si="124"/>
        <v>-3.9254299593015629E-2</v>
      </c>
      <c r="DQ56" s="5">
        <f t="shared" si="125"/>
        <v>-3.925429959301574E-2</v>
      </c>
      <c r="DR56" s="5">
        <f t="shared" si="126"/>
        <v>-1.2787475890343902E-2</v>
      </c>
      <c r="DS56" s="5">
        <f t="shared" si="127"/>
        <v>3.2734402628603165E-2</v>
      </c>
      <c r="DT56" s="5">
        <f t="shared" si="128"/>
        <v>5.2055230608563097E-3</v>
      </c>
      <c r="DU56" s="5">
        <f t="shared" si="129"/>
        <v>-7.5319583348990138E-2</v>
      </c>
      <c r="DV56" s="4">
        <f t="shared" si="131"/>
        <v>7.7637731330262633E-4</v>
      </c>
      <c r="DW56" s="4">
        <f t="shared" si="78"/>
        <v>-2.3898675173443813E-2</v>
      </c>
      <c r="DX56" s="4">
        <f t="shared" si="78"/>
        <v>-0.13154199852920306</v>
      </c>
      <c r="DY56" s="4">
        <f t="shared" si="108"/>
        <v>-1.9915768784781976E-2</v>
      </c>
      <c r="DZ56" s="4">
        <f t="shared" si="132"/>
        <v>-1.3516599986482733E-2</v>
      </c>
      <c r="EA56" s="4">
        <f t="shared" si="109"/>
        <v>-1.1829765497681213E-2</v>
      </c>
      <c r="EC56" s="1">
        <f t="shared" si="93"/>
        <v>22.802719786209064</v>
      </c>
      <c r="ED56" s="1">
        <f t="shared" si="94"/>
        <v>22.802719786209064</v>
      </c>
      <c r="EE56" s="1">
        <f t="shared" si="95"/>
        <v>14.787936689316988</v>
      </c>
      <c r="EF56" s="1">
        <f t="shared" si="96"/>
        <v>8.2631848014991114</v>
      </c>
      <c r="EG56" s="1">
        <f t="shared" si="97"/>
        <v>12.932146089082561</v>
      </c>
      <c r="EH56" s="1">
        <f t="shared" si="98"/>
        <v>9.7554660923155332</v>
      </c>
      <c r="EI56" s="1">
        <f t="shared" si="99"/>
        <v>13.442</v>
      </c>
      <c r="EJ56" s="1">
        <f t="shared" si="100"/>
        <v>11.737300213884668</v>
      </c>
      <c r="EK56" s="1">
        <f t="shared" si="101"/>
        <v>17.177124508801885</v>
      </c>
      <c r="EL56" s="1">
        <f t="shared" si="102"/>
        <v>6.2263462693823719</v>
      </c>
      <c r="EM56" s="1">
        <f t="shared" si="103"/>
        <v>5.694616679997325</v>
      </c>
      <c r="EN56" s="1">
        <f t="shared" si="104"/>
        <v>5.383073914490204</v>
      </c>
      <c r="EO56" s="1">
        <f t="shared" si="105"/>
        <v>8.5983233330586977</v>
      </c>
      <c r="EP56" s="1">
        <f t="shared" si="106"/>
        <v>11.05154371457783</v>
      </c>
      <c r="EQ56" s="1">
        <f t="shared" si="107"/>
        <v>8.4839671157461503</v>
      </c>
      <c r="ES56" s="1">
        <f>IF(EF$26=".", 0, 'Summary, PPI''s'!E56)+IF(EG$26=".", 0, 'Summary, PPI''s'!F56)+IF(EH$26=".", 0, 'Summary, PPI''s'!G56)+IF(EI$26=".", 0, 'Summary, PPI''s'!H56)+IF(EJ$26=".", 0, 'Summary, PPI''s'!I56)+IF(EK$26=".", 0, 'Summary, PPI''s'!J56)+IF(EL$26=".", 0, 'Summary, PPI''s'!K56)+IF(EM$26=".", 0, 'Summary, PPI''s'!L56)+IF(EN$26=".", 0, 'Summary, PPI''s'!M56)+IF(EC$26=".", 0, 'Summary, PPI''s'!B56)+IF(ED$26=".", 0, 'Summary, PPI''s'!C56)+IF(EE$26=".", 0, 'Summary, PPI''s'!D56)+IF(EO$26=".", 0, 'Summary, PPI''s'!N56)+IF(EP$26=".", 0, 'Summary, PPI''s'!O56)+IF(EQ$26=".", 0, 'Summary, PPI''s'!P56)</f>
        <v>17450831.947113447</v>
      </c>
      <c r="ET56" s="1">
        <f>'Summary, hourly ad costs'!E56+'Summary, hourly ad costs'!F56+'Summary, hourly ad costs'!H56+'Summary, hourly ad costs'!I56+'Summary, hourly ad costs'!J56+'Summary, hourly ad costs'!K56+'Summary, hourly ad costs'!L56+'Summary, hourly ad costs'!M56+'Summary, hourly ad costs'!B56</f>
        <v>10233421.832664756</v>
      </c>
      <c r="EV56" s="13">
        <f>EV55*IF(EF$26=".", 1, (EF56/EF55)^(('Summary, PPI''s'!$E56+'Summary, PPI''s'!$E55)/('Predicted PPIs'!ES56+'Predicted PPIs'!ES55)))*IF(EG$26=".", 1, (EG56/EG55)^(('Summary, PPI''s'!$F56+'Summary, PPI''s'!$F55)/('Predicted PPIs'!ES56+'Predicted PPIs'!ES55)))*IF(EH$26=".", 1, (EH56/EH55)^(('Summary, PPI''s'!$G56+'Summary, PPI''s'!$G55)/('Predicted PPIs'!ES56+'Predicted PPIs'!ES55)))*IF(EI$26=".", 1, (EI56/EI55)^(('Summary, PPI''s'!$H56+'Summary, PPI''s'!$H55)/('Predicted PPIs'!ES56+'Predicted PPIs'!ES55)))*IF(EJ$26=".", 1, (EJ56/EJ55)^(('Summary, PPI''s'!$I56+'Summary, PPI''s'!$I55)/('Predicted PPIs'!ES56+'Predicted PPIs'!ES55)))*IF(EK$26=".", 1, (EK56/EK55)^(('Summary, PPI''s'!$J56+'Summary, PPI''s'!$J55)/('Predicted PPIs'!ES56+'Predicted PPIs'!ES55)))*IF(EL$26=".", 1, (EL56/EL55)^(('Summary, PPI''s'!$K56+'Summary, PPI''s'!$K55)/('Predicted PPIs'!ES56+'Predicted PPIs'!ES55)))*IF(EM$26=".", 1, (EM56/EM55)^(('Summary, PPI''s'!$L56+'Summary, PPI''s'!$L55)/('Predicted PPIs'!ES56+'Predicted PPIs'!ES55)))*IF(EN$26=".", 1, (EN56/EN55)^(('Summary, PPI''s'!$M56+'Summary, PPI''s'!$M55)/('Predicted PPIs'!ES56+'Predicted PPIs'!ES55)))*IF(EC$26=".", 1, (EC56/EC55)^(('Summary, PPI''s'!$B56+'Summary, PPI''s'!$B55)/('Predicted PPIs'!ES56+'Predicted PPIs'!ES55)))*IF(ED$26=".", 1, (ED56/ED55)^(('Summary, PPI''s'!$C56+'Summary, PPI''s'!$C55)/('Predicted PPIs'!ES56+'Predicted PPIs'!ES55)))*IF(EE$26=".", 1, (EE56/EE55)^(('Summary, PPI''s'!$D56+'Summary, PPI''s'!$D55)/('Predicted PPIs'!ES56+'Predicted PPIs'!ES55)))*IF(EO$26=".", 1, (EO56/EO55)^(('Summary, PPI''s'!$N56+'Summary, PPI''s'!$N55)/('Predicted PPIs'!ES56+'Predicted PPIs'!ES55)))*IF(EP$26=".", 1, (EP56/EP55)^(('Summary, PPI''s'!$O56+'Summary, PPI''s'!$O55)/('Predicted PPIs'!ES56+'Predicted PPIs'!ES55)))*IF(EQ$26=".", 1, (EQ56/EQ55)^(('Summary, PPI''s'!$P56+'Summary, PPI''s'!$P55)/('Predicted PPIs'!ES56+'Predicted PPIs'!ES55)))</f>
        <v>12.948123033691225</v>
      </c>
      <c r="EW56" s="13">
        <f>EW55*IF(EF$26=".", 1, (EF56/EF55)^(('Summary, PPI''s'!$E56+'Summary, PPI''s'!$E55)/('Predicted PPIs'!ET56+'Predicted PPIs'!ET55)))*IF(EG$26=".", 1, (EG56/EG55)^(('Summary, PPI''s'!$F56+'Summary, PPI''s'!$F55)/('Predicted PPIs'!ET56+'Predicted PPIs'!ET55)))*IF(EH$26=".", 1, (EH56/EH55)^(('Summary, PPI''s'!$G56+'Summary, PPI''s'!$G55)/('Predicted PPIs'!ET56+'Predicted PPIs'!ET55)))*IF(EK$26=".", 1, (EK56/EK55)^(('Summary, PPI''s'!$J56+'Summary, PPI''s'!$J55)/('Predicted PPIs'!ET56+'Predicted PPIs'!ET55)))*IF(EL$26=".", 1, (EL56/EL55)^(('Summary, PPI''s'!$K56+'Summary, PPI''s'!$K55)/('Predicted PPIs'!ET56+'Predicted PPIs'!ET55)))*IF(EM$26=".", 1, (EM56/EM55)^(('Summary, PPI''s'!$L56+'Summary, PPI''s'!$L55)/('Predicted PPIs'!ET56+'Predicted PPIs'!ET55)))*IF(EN$26=".", 1, (EN56/EN55)^(('Summary, PPI''s'!$M56+'Summary, PPI''s'!$M55)/('Predicted PPIs'!ET56+'Predicted PPIs'!ET55)))*IF(EC$26=".", 1, (EC56/EC55)^(('Summary, PPI''s'!$B56+'Summary, PPI''s'!$B55)/('Predicted PPIs'!ET56+'Predicted PPIs'!ET55)))</f>
        <v>15.691848764284265</v>
      </c>
      <c r="EY56" s="2"/>
    </row>
    <row r="57" spans="1:155" x14ac:dyDescent="0.3">
      <c r="A57" s="4">
        <v>1966</v>
      </c>
      <c r="B57" s="10">
        <f>IF(B56=".", ".", IF('Summary, PPI''s'!R57=".",IF(OR('Summary, hourly ad costs'!R57=-9999,'Summary, hourly ad costs'!R57=0), ".", 'Predicted PPIs'!B56*('Summary, hourly ad costs'!B57/'Summary, hourly ad costs'!R57)/('Summary, hourly ad costs'!B56/'Summary, hourly ad costs'!R56)), 'Summary, PPI''s'!R57))</f>
        <v>21.046617678986426</v>
      </c>
      <c r="C57" s="10">
        <f>IF(C56=".", ".", IF('Summary, PPI''s'!S57=".",IF(OR('Summary, hourly ad costs'!S57=-9999,'Summary, hourly ad costs'!S57=0), ".", 'Predicted PPIs'!C56*('Summary, hourly ad costs'!C57/'Summary, hourly ad costs'!S57)/('Summary, hourly ad costs'!C56/'Summary, hourly ad costs'!S56)), 'Summary, PPI''s'!S57))</f>
        <v>21.046617678986426</v>
      </c>
      <c r="D57" s="10" t="str">
        <f>IF(D56=".", ".", IF('Summary, PPI''s'!T57=".",IF(OR('Summary, hourly ad costs'!T57=-9999,'Summary, hourly ad costs'!T57=0), ".", 'Predicted PPIs'!D56*('Summary, hourly ad costs'!D57/'Summary, hourly ad costs'!T57)/('Summary, hourly ad costs'!D56/'Summary, hourly ad costs'!T56)), 'Summary, PPI''s'!T57))</f>
        <v>.</v>
      </c>
      <c r="E57" s="10">
        <f>IF(E56=".", ".", IF('Summary, PPI''s'!U57=".",IF(OR('Summary, hourly ad costs'!U57=-9999,'Summary, hourly ad costs'!U57=0), ".", 'Predicted PPIs'!E56*('Summary, hourly ad costs'!E57/'Summary, hourly ad costs'!U57)/('Summary, hourly ad costs'!E56/'Summary, hourly ad costs'!U56)), 'Summary, PPI''s'!U57))</f>
        <v>8.2631848014991114</v>
      </c>
      <c r="F57" s="10">
        <f>IF(F56=".", ".", IF('Summary, PPI''s'!V57=".",IF(OR('Summary, hourly ad costs'!V57=-9999,'Summary, hourly ad costs'!V57=0), ".", 'Predicted PPIs'!F56*('Summary, hourly ad costs'!F57/'Summary, hourly ad costs'!V57)/('Summary, hourly ad costs'!F56/'Summary, hourly ad costs'!V56)), 'Summary, PPI''s'!V57))</f>
        <v>12.932146089082561</v>
      </c>
      <c r="G57" s="10">
        <f>IF(G56=".", ".", IF('Summary, PPI''s'!W57=".",IF(OR('Summary, hourly ad costs'!W57=-9999,'Summary, hourly ad costs'!W57=0), ".", 'Predicted PPIs'!G56*('Summary, hourly ad costs'!G57/'Summary, hourly ad costs'!W57)/('Summary, hourly ad costs'!G56/'Summary, hourly ad costs'!W56)), 'Summary, PPI''s'!W57))</f>
        <v>9.4939254464089498</v>
      </c>
      <c r="H57" s="10">
        <f>IF(H56=".", ".", IF('Summary, PPI''s'!X57=".",IF(OR('Summary, hourly ad costs'!X57=-9999,'Summary, hourly ad costs'!X57=0), ".", 'Predicted PPIs'!H56*('Summary, hourly ad costs'!H57/'Summary, hourly ad costs'!X57)/('Summary, hourly ad costs'!H56/'Summary, hourly ad costs'!X56)), 'Summary, PPI''s'!X57))</f>
        <v>12.505000000000001</v>
      </c>
      <c r="I57" s="10">
        <f>IF(I56=".", ".", IF('Summary, PPI''s'!Y57=".",IF(OR('Summary, hourly ad costs'!Y57=-9999,'Summary, hourly ad costs'!Y57=0), ".", 'Predicted PPIs'!I56*('Summary, hourly ad costs'!I57/'Summary, hourly ad costs'!Y57)/('Summary, hourly ad costs'!I56/'Summary, hourly ad costs'!Y56)), 'Summary, PPI''s'!Y57))</f>
        <v>10.960033110272173</v>
      </c>
      <c r="J57" s="10">
        <f>IF(J56=".", ".", IF('Summary, PPI''s'!Z57=".",IF(OR('Summary, hourly ad costs'!Z57=-9999,'Summary, hourly ad costs'!Z57=0), ".", 'Predicted PPIs'!J56*('Summary, hourly ad costs'!J57/'Summary, hourly ad costs'!Z57)/('Summary, hourly ad costs'!J56/'Summary, hourly ad costs'!Z56)), 'Summary, PPI''s'!Z57))</f>
        <v>14.771495562947612</v>
      </c>
      <c r="K57" s="10" t="str">
        <f>IF(K56=".", ".", IF('Summary, PPI''s'!AA57=".",IF(OR('Summary, hourly ad costs'!AA57=-9999,'Summary, hourly ad costs'!AA57=0), ".", 'Predicted PPIs'!K56*('Summary, hourly ad costs'!K57/'Summary, hourly ad costs'!AA57)/('Summary, hourly ad costs'!K56/'Summary, hourly ad costs'!AA56)), 'Summary, PPI''s'!AA57))</f>
        <v>.</v>
      </c>
      <c r="L57" s="10" t="str">
        <f>IF(L56=".", ".", IF('Summary, PPI''s'!AB57=".",IF(OR('Summary, hourly ad costs'!AB57=-9999,'Summary, hourly ad costs'!AB57=0), ".", 'Predicted PPIs'!L56*('Summary, hourly ad costs'!L57/'Summary, hourly ad costs'!AB57)/('Summary, hourly ad costs'!L56/'Summary, hourly ad costs'!AB56)), 'Summary, PPI''s'!AB57))</f>
        <v>.</v>
      </c>
      <c r="M57" s="10" t="str">
        <f>IF(M56=".", ".", IF('Summary, PPI''s'!AC57=".",IF(OR('Summary, hourly ad costs'!AC57=-9999,'Summary, hourly ad costs'!AC57=0), ".", 'Predicted PPIs'!M56*('Summary, hourly ad costs'!M57/'Summary, hourly ad costs'!AC57)/('Summary, hourly ad costs'!M56/'Summary, hourly ad costs'!AC56)), 'Summary, PPI''s'!AC57))</f>
        <v>.</v>
      </c>
      <c r="N57" s="10" t="str">
        <f>IF(N56=".", ".", IF('Summary, PPI''s'!AD57=".",IF(OR('Summary, hourly ad costs'!AD57=-9999,'Summary, hourly ad costs'!AD57=0), ".", 'Predicted PPIs'!N56*('Summary, hourly ad costs'!N57/'Summary, hourly ad costs'!AD57)/('Summary, hourly ad costs'!N56/'Summary, hourly ad costs'!AD56)), 'Summary, PPI''s'!AD57))</f>
        <v>.</v>
      </c>
      <c r="O57" s="10" t="str">
        <f>IF(O56=".", ".", IF('Summary, PPI''s'!AE57=".",IF(OR('Summary, hourly ad costs'!AE57=-9999,'Summary, hourly ad costs'!AE57=0), ".", 'Predicted PPIs'!O56*('Summary, hourly ad costs'!O57/'Summary, hourly ad costs'!AE57)/('Summary, hourly ad costs'!O56/'Summary, hourly ad costs'!AE56)), 'Summary, PPI''s'!AE57))</f>
        <v>.</v>
      </c>
      <c r="P57" s="10" t="str">
        <f>IF(P56=".", ".", IF('Summary, PPI''s'!AF57=".",IF(OR('Summary, hourly ad costs'!AF57=-9999,'Summary, hourly ad costs'!AF57=0), ".", 'Predicted PPIs'!P56*('Summary, hourly ad costs'!P57/'Summary, hourly ad costs'!AF57)/('Summary, hourly ad costs'!P56/'Summary, hourly ad costs'!AF56)), 'Summary, PPI''s'!AF57))</f>
        <v>.</v>
      </c>
      <c r="R57" s="1">
        <f>IF(E$26=".", 0, 'Summary, PPI''s'!E57)+IF(F$26=".", 0, 'Summary, PPI''s'!F57)+IF(G$26=".", 0, 'Summary, PPI''s'!G57)+IF(H$26=".", 0, 'Summary, PPI''s'!H57)+IF(I$26=".", 0, 'Summary, PPI''s'!I57)+IF(J$26=".", 0, 'Summary, PPI''s'!J57)+IF(K$26=".", 0, 'Summary, PPI''s'!K57)+IF(L$26=".", 0, 'Summary, PPI''s'!L57)+IF(M$26=".", 0, 'Summary, PPI''s'!M57)+IF(B$26=".", 0, 'Summary, PPI''s'!B57)+IF(C$26=".", 0, 'Summary, PPI''s'!C57)+IF(D$26=".", 0, 'Summary, PPI''s'!D57)+IF(N$26=".", 0, 'Summary, PPI''s'!N57)+IF(O$26=".", 0, 'Summary, PPI''s'!O57)+IF(P$26=".", 0, 'Summary, PPI''s'!P57)</f>
        <v>17168913.902400039</v>
      </c>
      <c r="S57" s="1">
        <f>IF(E$36=".", 0, 'Summary, PPI''s'!E57)+IF(F$36=".", 0, 'Summary, PPI''s'!F57)+IF(G$36=".", 0, 'Summary, PPI''s'!G57)+IF(H$36=".", 0, 'Summary, PPI''s'!H57)+IF(I$36=".", 0, 'Summary, PPI''s'!I57)+IF(J$36=".", 0, 'Summary, PPI''s'!J57)+IF(K$36=".", 0, 'Summary, PPI''s'!K57)+IF(L$36=".", 0, 'Summary, PPI''s'!L57)+IF(M$36=".", 0, 'Summary, PPI''s'!M57)+IF(B$36=".", 0, 'Summary, PPI''s'!B57)+IF(C$36=".", 0, 'Summary, PPI''s'!C57)+IF(D$36=".", 0, 'Summary, PPI''s'!D57)+IF(N$36=".", 0, 'Summary, PPI''s'!N57)+IF(O$36=".", 0, 'Summary, PPI''s'!O57)+IF(P$36=".", 0, 'Summary, PPI''s'!P57)</f>
        <v>17168913.902400039</v>
      </c>
      <c r="T57" s="1">
        <f>IF(E$46=".", 0, 'Summary, PPI''s'!E57)+IF(F$46=".", 0, 'Summary, PPI''s'!F57)+IF(G$46=".", 0, 'Summary, PPI''s'!G57)+IF(H$46=".", 0, 'Summary, PPI''s'!H57)+IF(I$46=".", 0, 'Summary, PPI''s'!I57)+IF(J$46=".", 0, 'Summary, PPI''s'!J57)+IF(K$46=".", 0, 'Summary, PPI''s'!K57)+IF(L$46=".", 0, 'Summary, PPI''s'!L57)+IF(M$46=".", 0, 'Summary, PPI''s'!M57)+IF(B$46=".", 0, 'Summary, PPI''s'!B57)+IF(C$46=".", 0, 'Summary, PPI''s'!C57)+IF(D$46=".", 0, 'Summary, PPI''s'!D57)+IF(N$46=".", 0, 'Summary, PPI''s'!N57)+IF(O$46=".", 0, 'Summary, PPI''s'!O57)+IF(P$46=".", 0, 'Summary, PPI''s'!P57)</f>
        <v>12584435.909142092</v>
      </c>
      <c r="U57" s="1">
        <f>IF(E$60=".", 0, 'Summary, PPI''s'!E57)+IF(F$60=".", 0, 'Summary, PPI''s'!F57)+IF(G$60=".", 0, 'Summary, PPI''s'!G57)+IF(H$60=".", 0, 'Summary, PPI''s'!H57)+IF(I$60=".", 0, 'Summary, PPI''s'!I57)+IF(J$60=".", 0, 'Summary, PPI''s'!J57)+IF(K$60=".", 0, 'Summary, PPI''s'!K57)+IF(L$60=".", 0, 'Summary, PPI''s'!L57)+IF(M$60=".", 0, 'Summary, PPI''s'!M57)+IF(B$60=".", 0, 'Summary, PPI''s'!B57)+IF(C$60=".", 0, 'Summary, PPI''s'!C57)+IF(D$60=".", 0, 'Summary, PPI''s'!D57)+IF(N$60=".", 0, 'Summary, PPI''s'!N57)+IF(O$60=".", 0, 'Summary, PPI''s'!O57)+IF(P$60=".", 0, 'Summary, PPI''s'!P57)</f>
        <v>11344969.804534171</v>
      </c>
      <c r="V57" s="1">
        <f>IF(E$73=".", 0, 'Summary, PPI''s'!E57)+IF(F$73=".", 0, 'Summary, PPI''s'!F57)+IF(G$73=".", 0, 'Summary, PPI''s'!G57)+IF(H$73=".", 0, 'Summary, PPI''s'!H57)+IF(I$73=".", 0, 'Summary, PPI''s'!I57)+IF(J$73=".", 0, 'Summary, PPI''s'!J57)+IF(K$73=".", 0, 'Summary, PPI''s'!K57)+IF(L$73=".", 0, 'Summary, PPI''s'!L57)+IF(M$73=".", 0, 'Summary, PPI''s'!M57)+IF(B$73=".", 0, 'Summary, PPI''s'!B57)+IF(C$73=".", 0, 'Summary, PPI''s'!C57)+IF(D$73=".", 0, 'Summary, PPI''s'!D57)+IF(N$73=".", 0, 'Summary, PPI''s'!N57)+IF(O$73=".", 0, 'Summary, PPI''s'!O57)+IF(P$73=".", 0, 'Summary, PPI''s'!P57)</f>
        <v>10008163.865508378</v>
      </c>
      <c r="W57" s="1">
        <f>IF(E$94=".",0,'Summary, PPI''s'!E57)+IF(F$94=".",0,'Summary, PPI''s'!F57)+IF(G$94=".",0,'Summary, PPI''s'!G57)+IF(H$94=".",0,'Summary, PPI''s'!H57)+IF(I$94=".",0,'Summary, PPI''s'!I57)+IF(J$94=".",0,'Summary, PPI''s'!J57)+IF(K$94=".",0,'Summary, PPI''s'!K57)+IF(L$94=".",0,'Summary, PPI''s'!L57)+IF(M$94=".",0,'Summary, PPI''s'!M57)+IF(B$94=".",0,'Summary, PPI''s'!B57)+IF(C$94=".",0,'Summary, PPI''s'!C57)+IF(D$94=".",0,'Summary, PPI''s'!D57)+IF(N$94=".",0,'Summary, PPI''s'!N57)+IF(O$94=".",0,'Summary, PPI''s'!O57)+IF(P$94=".",0,'Summary, PPI''s'!P57)</f>
        <v>7894285.7830329081</v>
      </c>
      <c r="X57" s="1">
        <f>IF(E$123=".", 0, 'Summary, PPI''s'!E57)+IF(F$123=".", 0, 'Summary, PPI''s'!F57)+IF(G$123=".", 0, 'Summary, PPI''s'!G57)+IF(H$123=".", 0, 'Summary, PPI''s'!H57)+IF(I$123=".", 0, 'Summary, PPI''s'!I57)+IF(J$123=".", 0, 'Summary, PPI''s'!J57)+IF(K$123=".", 0, 'Summary, PPI''s'!K57)+IF(L$123=".", 0, 'Summary, PPI''s'!L57)+IF(M$123=".", 0, 'Summary, PPI''s'!M57)+IF(B$123=".", 0, 'Summary, PPI''s'!B57)+IF(C$123=".", 0, 'Summary, PPI''s'!C57)+IF(D$123=".", 0, 'Summary, PPI''s'!D57)+IF(N$123=".", 0, 'Summary, PPI''s'!N57)+IF(O$123=".", 0, 'Summary, PPI''s'!O57)+IF(P$123=".", 0, 'Summary, PPI''s'!P57)</f>
        <v>7079283.7731718672</v>
      </c>
      <c r="Z57" s="4" t="e">
        <f>Z56*IF(E$26=".", 1, (E57/E56)^(('Summary, PPI''s'!$E57+'Summary, PPI''s'!$E56)/('Predicted PPIs'!R57+'Predicted PPIs'!R56)))*IF(F$26=".", 1, (F57/F56)^(('Summary, PPI''s'!$F57+'Summary, PPI''s'!$F56)/('Predicted PPIs'!R57+'Predicted PPIs'!R56)))*IF(G$26=".", 1, (G57/G56)^(('Summary, PPI''s'!$G57+'Summary, PPI''s'!$G56)/('Predicted PPIs'!R57+'Predicted PPIs'!R56)))*IF(H$26=".", 1, (H57/H56)^(('Summary, PPI''s'!$H57+'Summary, PPI''s'!$H56)/('Predicted PPIs'!R57+'Predicted PPIs'!R56)))*IF(I$26=".", 1, (I57/I56)^(('Summary, PPI''s'!$I57+'Summary, PPI''s'!$I56)/('Predicted PPIs'!R57+'Predicted PPIs'!R56)))*IF(J$26=".", 1, (J57/J56)^(('Summary, PPI''s'!$J57+'Summary, PPI''s'!$J56)/('Predicted PPIs'!R57+'Predicted PPIs'!R56)))*IF(K$26=".", 1, (K57/K56)^(('Summary, PPI''s'!$K57+'Summary, PPI''s'!$K56)/('Predicted PPIs'!R57+'Predicted PPIs'!R56)))*IF(L$26=".", 1, (L57/L56)^(('Summary, PPI''s'!$L57+'Summary, PPI''s'!$L56)/('Predicted PPIs'!R57+'Predicted PPIs'!R56)))*IF(M$26=".", 1, (M57/M56)^(('Summary, PPI''s'!$M57+'Summary, PPI''s'!$M56)/('Predicted PPIs'!R57+'Predicted PPIs'!R56)))*IF(B$26=".", 1, (B57/B56)^(('Summary, PPI''s'!$B57+'Summary, PPI''s'!$B56)/('Predicted PPIs'!R57+'Predicted PPIs'!R56)))*IF(C$26=".", 1, (C57/C56)^(('Summary, PPI''s'!$C57+'Summary, PPI''s'!$C56)/('Predicted PPIs'!R57+'Predicted PPIs'!R56)))*IF(D$26=".", 1, (D57/D56)^(('Summary, PPI''s'!$D57+'Summary, PPI''s'!$D56)/('Predicted PPIs'!R57+'Predicted PPIs'!R56)))*IF(N$26=".", 1, (N57/N56)^(('Summary, PPI''s'!$N57+'Summary, PPI''s'!$N56)/('Predicted PPIs'!R57+'Predicted PPIs'!R56)))*IF(O$26=".", 1, (O57/O56)^(('Summary, PPI''s'!$O57+'Summary, PPI''s'!$O56)/('Predicted PPIs'!R57+'Predicted PPIs'!R56)))*IF(P$26=".", 1, (P57/P56)^(('Summary, PPI''s'!$P57+'Summary, PPI''s'!$P56)/('Predicted PPIs'!R57+'Predicted PPIs'!R56)))</f>
        <v>#VALUE!</v>
      </c>
      <c r="AA57" s="4" t="e">
        <f>AA56*IF(E$36=".", 1, (E57/E56)^(('Summary, PPI''s'!$E57+'Summary, PPI''s'!$E56)/('Predicted PPIs'!S57+'Predicted PPIs'!S56)))*IF(F$36=".", 1, (F57/F56)^(('Summary, PPI''s'!$F57+'Summary, PPI''s'!$F56)/('Predicted PPIs'!S57+'Predicted PPIs'!S56)))*IF(G$36=".", 1, (G57/G56)^(('Summary, PPI''s'!$G57+'Summary, PPI''s'!$G56)/('Predicted PPIs'!S57+'Predicted PPIs'!S56)))*IF(H$36=".", 1, (H57/H56)^(('Summary, PPI''s'!$H57+'Summary, PPI''s'!$H56)/('Predicted PPIs'!S57+'Predicted PPIs'!S56)))*IF(I$36=".", 1, (I57/I56)^(('Summary, PPI''s'!$I57+'Summary, PPI''s'!$I56)/('Predicted PPIs'!S57+'Predicted PPIs'!S56)))*IF(J$36=".", 1, (J57/J56)^(('Summary, PPI''s'!$J57+'Summary, PPI''s'!$J56)/('Predicted PPIs'!S57+'Predicted PPIs'!S56)))*IF(K$36=".", 1, (K57/K56)^(('Summary, PPI''s'!$K57+'Summary, PPI''s'!$K56)/('Predicted PPIs'!S57+'Predicted PPIs'!S56)))*IF(L$36=".", 1, (L57/L56)^(('Summary, PPI''s'!$L57+'Summary, PPI''s'!$L56)/('Predicted PPIs'!S57+'Predicted PPIs'!S56)))*IF(M$36=".", 1, (M57/M56)^(('Summary, PPI''s'!$M57+'Summary, PPI''s'!$M56)/('Predicted PPIs'!S57+'Predicted PPIs'!S56)))*IF(B$36=".", 1, (B57/B56)^(('Summary, PPI''s'!$B57+'Summary, PPI''s'!$B56)/('Predicted PPIs'!S57+'Predicted PPIs'!S56)))*IF(C$36=".", 1, (C57/C56)^(('Summary, PPI''s'!$C57+'Summary, PPI''s'!$C56)/('Predicted PPIs'!S57+'Predicted PPIs'!S56)))*IF(D$36=".", 1, (D57/D56)^(('Summary, PPI''s'!$D57+'Summary, PPI''s'!$D56)/('Predicted PPIs'!S57+'Predicted PPIs'!S56)))*IF(N$36=".", 1, (N57/N56)^(('Summary, PPI''s'!$N57+'Summary, PPI''s'!$N56)/('Predicted PPIs'!S57+'Predicted PPIs'!S56)))*IF(O$36=".", 1, (O57/O56)^(('Summary, PPI''s'!$O57+'Summary, PPI''s'!$O56)/('Predicted PPIs'!S57+'Predicted PPIs'!S56)))*IF(P$36=".", 1, (P57/P56)^(('Summary, PPI''s'!$P57+'Summary, PPI''s'!$P56)/('Predicted PPIs'!S57+'Predicted PPIs'!S56)))</f>
        <v>#VALUE!</v>
      </c>
      <c r="AB57" s="4" t="e">
        <f>AB56*IF(E$46=".", 1, (E57/E56)^(('Summary, PPI''s'!$E57+'Summary, PPI''s'!$E56)/('Predicted PPIs'!T57+'Predicted PPIs'!T56)))*IF(F$46=".", 1, (F57/F56)^(('Summary, PPI''s'!$F57+'Summary, PPI''s'!$F56)/('Predicted PPIs'!T57+'Predicted PPIs'!T56)))*IF(G$46=".", 1, (G57/G56)^(('Summary, PPI''s'!$G57+'Summary, PPI''s'!$G56)/('Predicted PPIs'!T57+'Predicted PPIs'!T56)))*IF(H$46=".", 1, (H57/H56)^(('Summary, PPI''s'!$H57+'Summary, PPI''s'!$H56)/('Predicted PPIs'!T57+'Predicted PPIs'!T56)))*IF(I$46=".", 1, (I57/I56)^(('Summary, PPI''s'!$I57+'Summary, PPI''s'!$I56)/('Predicted PPIs'!T57+'Predicted PPIs'!T56)))*IF(J$46=".", 1, (J57/J56)^(('Summary, PPI''s'!$J57+'Summary, PPI''s'!$J56)/('Predicted PPIs'!T57+'Predicted PPIs'!T56)))*IF(K$46=".", 1, (K57/K56)^(('Summary, PPI''s'!$K57+'Summary, PPI''s'!$K56)/('Predicted PPIs'!T57+'Predicted PPIs'!T56)))*IF(L$46=".", 1, (L57/L56)^(('Summary, PPI''s'!$L57+'Summary, PPI''s'!$L56)/('Predicted PPIs'!T57+'Predicted PPIs'!T56)))*IF(M$46=".", 1, (M57/M56)^(('Summary, PPI''s'!$M57+'Summary, PPI''s'!$M56)/('Predicted PPIs'!T57+'Predicted PPIs'!T56)))*IF(B$46=".", 1, (B57/B56)^(('Summary, PPI''s'!$B57+'Summary, PPI''s'!$B56)/('Predicted PPIs'!T57+'Predicted PPIs'!T56)))*IF(C$46=".", 1, (C57/C56)^(('Summary, PPI''s'!$C57+'Summary, PPI''s'!$C56)/('Predicted PPIs'!T57+'Predicted PPIs'!T56)))*IF(D$46=".", 1, (D57/D56)^(('Summary, PPI''s'!$D57+'Summary, PPI''s'!$D56)/('Predicted PPIs'!T57+'Predicted PPIs'!T56)))*IF(N$46=".", 1, (N57/N56)^(('Summary, PPI''s'!$N57+'Summary, PPI''s'!$N56)/('Predicted PPIs'!T57+'Predicted PPIs'!T56)))*IF(O$46=".", 1, (O57/O56)^(('Summary, PPI''s'!$O57+'Summary, PPI''s'!$O56)/('Predicted PPIs'!T57+'Predicted PPIs'!T56)))*IF(P$46=".", 1, (P57/P56)^(('Summary, PPI''s'!$P57+'Summary, PPI''s'!$P56)/('Predicted PPIs'!T57+'Predicted PPIs'!T56)))</f>
        <v>#VALUE!</v>
      </c>
      <c r="AC57" s="4">
        <f>AC56*IF(E$60=".",1,(E57/E56)^(('Summary, PPI''s'!$E57+'Summary, PPI''s'!$E56)/('Predicted PPIs'!U57+'Predicted PPIs'!U56)))*IF(F$60=".",1,(F57/F56)^(('Summary, PPI''s'!$F57+'Summary, PPI''s'!$F56)/('Predicted PPIs'!U57+'Predicted PPIs'!U56)))*IF(G$60=".",1,(G57/G56)^(('Summary, PPI''s'!$G57+'Summary, PPI''s'!$G56)/('Predicted PPIs'!U57+'Predicted PPIs'!U56)))*IF(H$60=".",1,(H57/H56)^(('Summary, PPI''s'!$H57+'Summary, PPI''s'!$H56)/('Predicted PPIs'!U57+'Predicted PPIs'!U56)))*IF(I$60=".",1,(I57/I56)^(('Summary, PPI''s'!$I57+'Summary, PPI''s'!$I56)/('Predicted PPIs'!U57+'Predicted PPIs'!U56)))*IF(J$60=".",1,(J57/J56)^(('Summary, PPI''s'!$J57+'Summary, PPI''s'!$J56)/('Predicted PPIs'!U57+'Predicted PPIs'!U56)))*IF(K$60=".",1,(K57/K56)^(('Summary, PPI''s'!$K57+'Summary, PPI''s'!$K56)/('Predicted PPIs'!U57+'Predicted PPIs'!U56)))*IF(L$60=".",1,(L57/L56)^(('Summary, PPI''s'!$L57+'Summary, PPI''s'!$L56)/('Predicted PPIs'!U57+'Predicted PPIs'!U56)))*IF(M$60=".",1,(M57/M56)^(('Summary, PPI''s'!$M57+'Summary, PPI''s'!$M56)/('Predicted PPIs'!U57+'Predicted PPIs'!U56)))*IF(B$60=".",1,(B57/B56)^(('Summary, PPI''s'!$B57+'Summary, PPI''s'!$B56)/('Predicted PPIs'!U57+'Predicted PPIs'!U56)))*IF(C$60=".",1,(C57/C56)^(('Summary, PPI''s'!$C57+'Summary, PPI''s'!$C56)/('Predicted PPIs'!U57+'Predicted PPIs'!U56)))*IF(D$60=".",1,(D57/D56)^(('Summary, PPI''s'!$D57+'Summary, PPI''s'!$D56)/('Predicted PPIs'!U57+'Predicted PPIs'!U56)))*IF(N$60=".",1,(N57/N56)^(('Summary, PPI''s'!$N57+'Summary, PPI''s'!$N56)/('Predicted PPIs'!U57+'Predicted PPIs'!U56)))*IF(O$60=".",1,(O57/O56)^(('Summary, PPI''s'!$O57+'Summary, PPI''s'!$O56)/('Predicted PPIs'!U57+'Predicted PPIs'!U56)))*IF(P$60=".",1,(P57/P56)^(('Summary, PPI''s'!$P57+'Summary, PPI''s'!$P56)/('Predicted PPIs'!U57+'Predicted PPIs'!U56)))</f>
        <v>12.714822290475018</v>
      </c>
      <c r="AD57" s="4">
        <f>AD56*IF(E$73=".", 1, (E57/E56)^(('Summary, PPI''s'!$E57+'Summary, PPI''s'!$E56)/('Predicted PPIs'!V57+'Predicted PPIs'!V56)))*IF(F$73=".", 1, (F57/F56)^(('Summary, PPI''s'!$F57+'Summary, PPI''s'!$F56)/('Predicted PPIs'!V57+'Predicted PPIs'!V56)))*IF(G$73=".", 1, (G57/G56)^(('Summary, PPI''s'!$G57+'Summary, PPI''s'!$G56)/('Predicted PPIs'!V57+'Predicted PPIs'!V56)))*IF(H$73=".", 1, (H57/H56)^(('Summary, PPI''s'!$H57+'Summary, PPI''s'!$H56)/('Predicted PPIs'!V57+'Predicted PPIs'!V56)))*IF(I$73=".", 1, (I57/I56)^(('Summary, PPI''s'!$I57+'Summary, PPI''s'!$I56)/('Predicted PPIs'!V57+'Predicted PPIs'!V56)))*IF(J$73=".", 1, (J57/J56)^(('Summary, PPI''s'!$J57+'Summary, PPI''s'!$J56)/('Predicted PPIs'!V57+'Predicted PPIs'!V56)))*IF(K$73=".", 1, (K57/K56)^(('Summary, PPI''s'!$K57+'Summary, PPI''s'!$K56)/('Predicted PPIs'!V57+'Predicted PPIs'!V56)))*IF(L$73=".", 1, (L57/L56)^(('Summary, PPI''s'!$L57+'Summary, PPI''s'!$L56)/('Predicted PPIs'!V57+'Predicted PPIs'!V56)))*IF(M$73=".", 1, (M57/M56)^(('Summary, PPI''s'!$M57+'Summary, PPI''s'!$M56)/('Predicted PPIs'!V57+'Predicted PPIs'!V56)))*IF(B$73=".", 1, (B57/B56)^(('Summary, PPI''s'!$B57+'Summary, PPI''s'!$B56)/('Predicted PPIs'!V57+'Predicted PPIs'!V56)))*IF(C$73=".", 1, (C57/C56)^(('Summary, PPI''s'!$C57+'Summary, PPI''s'!$C56)/('Predicted PPIs'!V57+'Predicted PPIs'!V56)))*IF(D$73=".", 1, (D57/D56)^(('Summary, PPI''s'!$D57+'Summary, PPI''s'!$D56)/('Predicted PPIs'!V57+'Predicted PPIs'!V56)))*IF(N$73=".", 1, (N57/N56)^(('Summary, PPI''s'!$N57+'Summary, PPI''s'!$N56)/('Predicted PPIs'!V57+'Predicted PPIs'!V56)))*IF(O$73=".", 1, (O57/O56)^(('Summary, PPI''s'!$O57+'Summary, PPI''s'!$O56)/('Predicted PPIs'!V57+'Predicted PPIs'!V56)))*IF(P$73=".", 1, (P57/P56)^(('Summary, PPI''s'!$P57+'Summary, PPI''s'!$P56)/('Predicted PPIs'!V57+'Predicted PPIs'!V56)))</f>
        <v>12.228702037782423</v>
      </c>
      <c r="AE57" s="4">
        <f>AE56*IF(E$94=".", 1, (E57/E56)^(('Summary, PPI''s'!$E57+'Summary, PPI''s'!$E56)/('Predicted PPIs'!W57+'Predicted PPIs'!W56)))*IF(F$94=".", 1, (F57/F56)^(('Summary, PPI''s'!$F57+'Summary, PPI''s'!$F56)/('Predicted PPIs'!W57+'Predicted PPIs'!W56)))*IF(G$94=".", 1, (G57/G56)^(('Summary, PPI''s'!$G57+'Summary, PPI''s'!$G56)/('Predicted PPIs'!W57+'Predicted PPIs'!W56)))*IF(H$94=".", 1, (H57/H56)^(('Summary, PPI''s'!$H57+'Summary, PPI''s'!$H56)/('Predicted PPIs'!W57+'Predicted PPIs'!W56)))*IF(I$94=".", 1, (I57/I56)^(('Summary, PPI''s'!$I57+'Summary, PPI''s'!$I56)/('Predicted PPIs'!W57+'Predicted PPIs'!W56)))*IF(J$94=".", 1, (J57/J56)^(('Summary, PPI''s'!$J57+'Summary, PPI''s'!$J56)/('Predicted PPIs'!W57+'Predicted PPIs'!W56)))*IF(K$94=".", 1, (K57/K56)^(('Summary, PPI''s'!$K57+'Summary, PPI''s'!$K56)/('Predicted PPIs'!W57+'Predicted PPIs'!W56)))*IF(L$94=".", 1, (L57/L56)^(('Summary, PPI''s'!$L57+'Summary, PPI''s'!$L56)/('Predicted PPIs'!W57+'Predicted PPIs'!W56)))*IF(M$94=".", 1, (M57/M56)^(('Summary, PPI''s'!$M57+'Summary, PPI''s'!$M56)/('Predicted PPIs'!W57+'Predicted PPIs'!W56)))*IF(B$94=".", 1, (B57/B56)^(('Summary, PPI''s'!$B57+'Summary, PPI''s'!$B56)/('Predicted PPIs'!W57+'Predicted PPIs'!W56)))*IF(C$94=".", 1, (C57/C56)^(('Summary, PPI''s'!$C57+'Summary, PPI''s'!$C56)/('Predicted PPIs'!W57+'Predicted PPIs'!W56)))*IF(D$94=".", 1, (D57/D56)^(('Summary, PPI''s'!$D57+'Summary, PPI''s'!$D56)/('Predicted PPIs'!W57+'Predicted PPIs'!W56)))*IF(N$94=".", 1, (N57/N56)^(('Summary, PPI''s'!$N57+'Summary, PPI''s'!$N56)/('Predicted PPIs'!W57+'Predicted PPIs'!W56)))*IF(O$94=".", 1, (O57/O56)^(('Summary, PPI''s'!$O57+'Summary, PPI''s'!$O56)/('Predicted PPIs'!W57+'Predicted PPIs'!W56)))*IF(P$94=".", 1, (P57/P56)^(('Summary, PPI''s'!$P57+'Summary, PPI''s'!$P56)/('Predicted PPIs'!W57+'Predicted PPIs'!W56)))</f>
        <v>10.897557466940658</v>
      </c>
      <c r="AF57" s="4">
        <f>AF56*IF(E$123=".", 1, (E57/E56)^(('Summary, PPI''s'!$E57+'Summary, PPI''s'!$E56)/('Predicted PPIs'!X57+'Predicted PPIs'!X56)))*IF(F$123=".", 1, (F57/F56)^(('Summary, PPI''s'!$F57+'Summary, PPI''s'!$F56)/('Predicted PPIs'!X57+'Predicted PPIs'!X56)))*IF(G$123=".", 1, (G57/G56)^(('Summary, PPI''s'!$G57+'Summary, PPI''s'!$G56)/('Predicted PPIs'!X57+'Predicted PPIs'!X56)))*IF(H$123=".", 1, (H57/H56)^(('Summary, PPI''s'!$H57+'Summary, PPI''s'!$H56)/('Predicted PPIs'!X57+'Predicted PPIs'!X56)))*IF(I$123=".", 1, (I57/I56)^(('Summary, PPI''s'!$I57+'Summary, PPI''s'!$I56)/('Predicted PPIs'!X57+'Predicted PPIs'!X56)))*IF(J$123=".", 1, (J57/J56)^(('Summary, PPI''s'!$J57+'Summary, PPI''s'!$J56)/('Predicted PPIs'!X57+'Predicted PPIs'!X56)))*IF(K$123=".", 1, (K57/K56)^(('Summary, PPI''s'!$K57+'Summary, PPI''s'!$K56)/('Predicted PPIs'!X57+'Predicted PPIs'!X56)))*IF(L$123=".", 1, (L57/L56)^(('Summary, PPI''s'!$L57+'Summary, PPI''s'!$L56)/('Predicted PPIs'!X57+'Predicted PPIs'!X56)))*IF(M$123=".", 1, (M57/M56)^(('Summary, PPI''s'!$M57+'Summary, PPI''s'!$M56)/('Predicted PPIs'!X57+'Predicted PPIs'!X56)))*IF(B$123=".", 1, (B57/B56)^(('Summary, PPI''s'!$B57+'Summary, PPI''s'!$B56)/('Predicted PPIs'!X57+'Predicted PPIs'!X56)))*IF(C$123=".", 1, (C57/C56)^(('Summary, PPI''s'!$C57+'Summary, PPI''s'!$C56)/('Predicted PPIs'!X57+'Predicted PPIs'!X56)))*IF(D$123=".", 1, (D57/D56)^(('Summary, PPI''s'!$D57+'Summary, PPI''s'!$D56)/('Predicted PPIs'!X57+'Predicted PPIs'!X56)))*IF(N$123=".", 1, (N57/N56)^(('Summary, PPI''s'!$N57+'Summary, PPI''s'!$N56)/('Predicted PPIs'!X57+'Predicted PPIs'!X56)))*IF(O$123=".", 1, (O57/O56)^(('Summary, PPI''s'!$O57+'Summary, PPI''s'!$O56)/('Predicted PPIs'!X57+'Predicted PPIs'!X56)))*IF(P$123=".", 1, (P57/P56)^(('Summary, PPI''s'!$P57+'Summary, PPI''s'!$P56)/('Predicted PPIs'!X57+'Predicted PPIs'!X56)))</f>
        <v>10.34820322844725</v>
      </c>
      <c r="AH57" s="13">
        <f t="shared" si="91"/>
        <v>14.05913961049332</v>
      </c>
      <c r="AJ57" s="4">
        <v>479.9</v>
      </c>
      <c r="AK57" s="4">
        <v>-0.82399999999999995</v>
      </c>
      <c r="AL57" s="4">
        <v>-45.338000000000001</v>
      </c>
      <c r="AM57" s="4">
        <v>-2.5990000000000002</v>
      </c>
      <c r="AN57" s="4">
        <v>625.4</v>
      </c>
      <c r="AO57" s="4">
        <v>129.80000000000001</v>
      </c>
      <c r="AP57" s="4">
        <f>('[3]1966'!$I$14+'[3]1966'!$I$69+'[3]1966'!$I$71-'[3]1966'!$I$73)*0.001</f>
        <v>-11.176</v>
      </c>
      <c r="AQ57" s="4">
        <f>('[3]1966'!$AY$56+'[3]1966'!$AY$69+'[3]1966'!$AY$71-'[3]1966'!$AY$73)*0.001</f>
        <v>-25.905999999999999</v>
      </c>
      <c r="AR57" s="4">
        <f>AR$38*1011/23762</f>
        <v>-0.4760149819038802</v>
      </c>
      <c r="AS57" s="4">
        <v>-3.7069999999999999</v>
      </c>
      <c r="AT57" s="4">
        <v>17.943999999999999</v>
      </c>
      <c r="AU57" s="4">
        <v>25.724</v>
      </c>
      <c r="AV57" s="4">
        <v>15.375</v>
      </c>
      <c r="AW57" s="4">
        <v>15.696</v>
      </c>
      <c r="AX57" s="4">
        <v>17.582000000000001</v>
      </c>
      <c r="AY57" s="4">
        <v>24.523</v>
      </c>
      <c r="AZ57" s="4">
        <v>9.6289999999999996</v>
      </c>
      <c r="BA57" s="4">
        <v>19.445</v>
      </c>
      <c r="BB57" s="4">
        <f>BB$38*161.524/184.05</f>
        <v>90.376210377614768</v>
      </c>
      <c r="BC57" s="4">
        <v>21.152999999999999</v>
      </c>
      <c r="BG57" s="4">
        <f t="shared" si="50"/>
        <v>26.420872846565022</v>
      </c>
      <c r="BI57" s="4">
        <f>BI$13*'[2]Ordinary Experience'!$D$369/'[2]Ordinary Experience'!$D$413</f>
        <v>193514501.44419953</v>
      </c>
      <c r="BJ57" s="4">
        <f>'[2]Ordinary Experience'!$E$369</f>
        <v>29.512844637985221</v>
      </c>
      <c r="BL57" s="4">
        <f t="shared" si="90"/>
        <v>48.871918708268673</v>
      </c>
      <c r="BM57" s="4">
        <f t="shared" si="34"/>
        <v>3.4398805817402733E-2</v>
      </c>
      <c r="BO57" s="4">
        <f>IF(OR('Summary, hourly ad costs'!R57=-9999,'Summary, PPI''s'!R57="."),".",(('Summary, hourly ad costs'!B57/'Summary, hourly ad costs'!R57)*100/('Summary, hourly ad costs'!B$11/'Summary, hourly ad costs'!R$11))/('Summary, PPI''s'!R57))</f>
        <v>1.971813725041623</v>
      </c>
      <c r="BP57" s="4" t="str">
        <f>IF(OR('Summary, hourly ad costs'!S57=-9999,'Summary, PPI''s'!S57="."),".",(('Summary, hourly ad costs'!C57/'Summary, hourly ad costs'!S57)*100/('Summary, hourly ad costs'!C$11/'Summary, hourly ad costs'!S$11))/('Summary, PPI''s'!S57))</f>
        <v>.</v>
      </c>
      <c r="BQ57" s="4" t="str">
        <f>IF(OR('Summary, hourly ad costs'!T57=-9999,'Summary, PPI''s'!T57="."),".",(('Summary, hourly ad costs'!D57/'Summary, hourly ad costs'!T57)*100/('Summary, hourly ad costs'!D$11/'Summary, hourly ad costs'!T$11))/('Summary, PPI''s'!T57))</f>
        <v>.</v>
      </c>
      <c r="BR57" s="4">
        <f>IF(OR('Summary, hourly ad costs'!U57=-9999,'Summary, PPI''s'!U57="."),".",(('Summary, hourly ad costs'!E57/'Summary, hourly ad costs'!U57)*100/('Summary, hourly ad costs'!E$11/'Summary, hourly ad costs'!U$11))/('Summary, PPI''s'!U57))</f>
        <v>1.9413329587964632</v>
      </c>
      <c r="BS57" s="4">
        <f>IF(OR('Summary, hourly ad costs'!V57=-9999,'Summary, PPI''s'!V57="."),".",(('Summary, hourly ad costs'!F57/'Summary, hourly ad costs'!V57)*100/('Summary, hourly ad costs'!F$11/'Summary, hourly ad costs'!V$11))/('Summary, PPI''s'!V57))</f>
        <v>1.8044383137540023</v>
      </c>
      <c r="BT57" s="4" t="str">
        <f>IF(OR('Summary, hourly ad costs'!W57=-9999,'Summary, PPI''s'!W57="."),".",(('Summary, hourly ad costs'!G57/'Summary, hourly ad costs'!W57)*100/('Summary, hourly ad costs'!G$11/'Summary, hourly ad costs'!W$11))/('Summary, PPI''s'!W57))</f>
        <v>.</v>
      </c>
      <c r="BU57" s="4">
        <f>IF(OR('Summary, hourly ad costs'!X57=-9999,'Summary, PPI''s'!X57="."),".",(('Summary, hourly ad costs'!H57/'Summary, hourly ad costs'!X57)*100/('Summary, hourly ad costs'!H$11/'Summary, hourly ad costs'!X$11))/('Summary, PPI''s'!X57))</f>
        <v>1.11310272413779</v>
      </c>
      <c r="BV57" s="4" t="str">
        <f>IF(OR('Summary, hourly ad costs'!Y57=-9999,'Summary, PPI''s'!Y57="."),".",(('Summary, hourly ad costs'!I57/'Summary, hourly ad costs'!Y57)*100/('Summary, hourly ad costs'!I$11/'Summary, hourly ad costs'!Y$11))/('Summary, PPI''s'!Y57))</f>
        <v>.</v>
      </c>
      <c r="BW57" s="4" t="str">
        <f>IF(OR('Summary, hourly ad costs'!Z57=-9999,'Summary, PPI''s'!Z57="."),".",(('Summary, hourly ad costs'!J57/'Summary, hourly ad costs'!Z57)*100/('Summary, hourly ad costs'!J$11/'Summary, hourly ad costs'!Z$11))/('Summary, PPI''s'!Z57))</f>
        <v>.</v>
      </c>
      <c r="BX57" s="4" t="str">
        <f>IF(OR('Summary, hourly ad costs'!AA57=-9999,'Summary, PPI''s'!AA57="."),".",(('Summary, hourly ad costs'!K57/'Summary, hourly ad costs'!AA57)*100/('Summary, hourly ad costs'!K$11/'Summary, hourly ad costs'!AA$11))/('Summary, PPI''s'!AA57))</f>
        <v>.</v>
      </c>
      <c r="BY57" s="4" t="str">
        <f>IF(OR('Summary, hourly ad costs'!AB57=-9999,'Summary, PPI''s'!AB57="."),".",(('Summary, hourly ad costs'!L57/'Summary, hourly ad costs'!AB57)*100/('Summary, hourly ad costs'!L$11/'Summary, hourly ad costs'!AB$11))/('Summary, PPI''s'!AB57))</f>
        <v>.</v>
      </c>
      <c r="BZ57" s="4" t="str">
        <f>IF(OR('Summary, hourly ad costs'!AC57=-9999,'Summary, PPI''s'!AC57="."),".",(('Summary, hourly ad costs'!M57/'Summary, hourly ad costs'!AC57)*100/('Summary, hourly ad costs'!M$11/'Summary, hourly ad costs'!AC$11))/('Summary, PPI''s'!AC57))</f>
        <v>.</v>
      </c>
      <c r="CA57" s="4" t="str">
        <f>IF(OR('Summary, hourly ad costs'!AD57=-9999,'Summary, PPI''s'!AD57="."),".",(('Summary, hourly ad costs'!N57/'Summary, hourly ad costs'!AD57)*100/('Summary, hourly ad costs'!N$11/'Summary, hourly ad costs'!AD$11))/('Summary, PPI''s'!AD57))</f>
        <v>.</v>
      </c>
      <c r="CB57" s="4" t="str">
        <f>IF(OR('Summary, hourly ad costs'!AE57=-9999,'Summary, PPI''s'!AE57="."),".",(('Summary, hourly ad costs'!O57/'Summary, hourly ad costs'!AE57)*100/('Summary, hourly ad costs'!O$11/'Summary, hourly ad costs'!AE$11))/('Summary, PPI''s'!AE57))</f>
        <v>.</v>
      </c>
      <c r="CC57" s="4" t="str">
        <f>IF(OR('Summary, hourly ad costs'!AF57=-9999,'Summary, PPI''s'!AF57="."),".",(('Summary, hourly ad costs'!P57/'Summary, hourly ad costs'!AF57)*100/('Summary, hourly ad costs'!P$11/'Summary, hourly ad costs'!AF$11))/('Summary, PPI''s'!AF57))</f>
        <v>.</v>
      </c>
      <c r="CE57" s="4">
        <f t="shared" si="113"/>
        <v>4.6627634768052761E-2</v>
      </c>
      <c r="CF57" s="4" t="str">
        <f t="shared" si="114"/>
        <v>.</v>
      </c>
      <c r="CG57" s="4" t="str">
        <f t="shared" si="115"/>
        <v>.</v>
      </c>
      <c r="CH57" s="4">
        <f t="shared" si="116"/>
        <v>3.7509866917371459E-2</v>
      </c>
      <c r="CI57" s="4">
        <f t="shared" si="117"/>
        <v>6.4798489185581287E-2</v>
      </c>
      <c r="CJ57" s="4" t="str">
        <f t="shared" si="118"/>
        <v>.</v>
      </c>
      <c r="CK57" s="4">
        <f t="shared" si="119"/>
        <v>-3.5118642604636818E-5</v>
      </c>
      <c r="CL57" s="4">
        <f t="shared" si="130"/>
        <v>1.9354787307187725E-2</v>
      </c>
      <c r="CM57" s="4">
        <f t="shared" si="130"/>
        <v>2.4129815082317672E-2</v>
      </c>
      <c r="CN57" s="4">
        <f t="shared" si="89"/>
        <v>5.129470732159927E-3</v>
      </c>
      <c r="CO57" s="4">
        <f t="shared" si="120"/>
        <v>0.22015386867634718</v>
      </c>
      <c r="CP57" s="4">
        <f t="shared" si="120"/>
        <v>9.9803032263861224E-2</v>
      </c>
      <c r="CQ57" s="4" t="str">
        <f t="shared" si="110"/>
        <v>.</v>
      </c>
      <c r="CR57" s="4" t="str">
        <f t="shared" si="111"/>
        <v>.</v>
      </c>
      <c r="CS57" s="4" t="str">
        <f t="shared" si="112"/>
        <v>.</v>
      </c>
      <c r="CU57" s="5">
        <f>IF(CU56=".", ".", IF('Summary, PPI''s'!R57=".",IF(OR('Summary, hourly ad costs'!R57=-9999,'Summary, hourly ad costs'!R57=0), ".", 'Predicted PPIs'!CU56*('Summary, hourly ad costs'!B57/'Summary, hourly ad costs'!R57)/('Summary, hourly ad costs'!B56/'Summary, hourly ad costs'!R56)/(1-CE56)), 'Summary, PPI''s'!R57))</f>
        <v>21.046617678986426</v>
      </c>
      <c r="CV57" s="5">
        <f>IF(CV56=".", ".", IF('Summary, PPI''s'!S57=".",IF(OR('Summary, hourly ad costs'!S57=-9999,'Summary, hourly ad costs'!S57=0), ".", 'Predicted PPIs'!CV56*('Summary, hourly ad costs'!C57/'Summary, hourly ad costs'!S57)/('Summary, hourly ad costs'!C56/'Summary, hourly ad costs'!S56)/(1-CF56)), 'Summary, PPI''s'!S57))</f>
        <v>21.046617678986426</v>
      </c>
      <c r="CW57" s="5" t="str">
        <f>IF(CW56=".", ".", IF('Summary, PPI''s'!T57=".",IF(OR('Summary, hourly ad costs'!T57=-9999,'Summary, hourly ad costs'!T57=0), ".", 'Predicted PPIs'!CW56*('Summary, hourly ad costs'!D57/'Summary, hourly ad costs'!T57)/('Summary, hourly ad costs'!D56/'Summary, hourly ad costs'!T56)/(1-CG56)), 'Summary, PPI''s'!T57))</f>
        <v>.</v>
      </c>
      <c r="CX57" s="5">
        <f>IF(CX56=".", ".", IF('Summary, PPI''s'!U57=".",IF(OR('Summary, hourly ad costs'!U57=-9999,'Summary, hourly ad costs'!U57=0), ".", 'Predicted PPIs'!CX56*('Summary, hourly ad costs'!E57/'Summary, hourly ad costs'!U57)/('Summary, hourly ad costs'!E56/'Summary, hourly ad costs'!U56)/(1-CH56)), 'Summary, PPI''s'!U57))</f>
        <v>8.2631848014991114</v>
      </c>
      <c r="CY57" s="5">
        <f>IF(CY56=".", ".", IF('Summary, PPI''s'!V57=".",IF(OR('Summary, hourly ad costs'!V57=-9999,'Summary, hourly ad costs'!V57=0), ".", 'Predicted PPIs'!CY56*('Summary, hourly ad costs'!F57/'Summary, hourly ad costs'!V57)/('Summary, hourly ad costs'!F56/'Summary, hourly ad costs'!V56)/(1-CI56)), 'Summary, PPI''s'!V57))</f>
        <v>12.932146089082561</v>
      </c>
      <c r="CZ57" s="5">
        <f>IF(CZ56=".", ".", IF('Summary, PPI''s'!W57=".",IF(OR('Summary, hourly ad costs'!W57=-9999,'Summary, hourly ad costs'!W57=0), ".", 'Predicted PPIs'!CZ56*('Summary, hourly ad costs'!G57/'Summary, hourly ad costs'!W57)/('Summary, hourly ad costs'!G56/'Summary, hourly ad costs'!W56)/(1-CJ56)), 'Summary, PPI''s'!W57))</f>
        <v>9.4939254464089498</v>
      </c>
      <c r="DA57" s="5">
        <f>IF(DA56=".", ".", IF('Summary, PPI''s'!X57=".",IF(OR('Summary, hourly ad costs'!X57=-9999,'Summary, hourly ad costs'!X57=0), ".", 'Predicted PPIs'!DA56*('Summary, hourly ad costs'!H57/'Summary, hourly ad costs'!X57)/('Summary, hourly ad costs'!H56/'Summary, hourly ad costs'!X56)/(1-CK56)), 'Summary, PPI''s'!X57))</f>
        <v>12.505000000000001</v>
      </c>
      <c r="DB57" s="5">
        <f>IF(DB56=".", ".", IF('Summary, PPI''s'!Y57=".",IF(OR('Summary, hourly ad costs'!Y57=-9999,'Summary, hourly ad costs'!Y57=0), ".", 'Predicted PPIs'!DB56*('Summary, hourly ad costs'!I57/'Summary, hourly ad costs'!Y57)/('Summary, hourly ad costs'!I56/'Summary, hourly ad costs'!Y56)/(1-CL56)), 'Summary, PPI''s'!Y57))</f>
        <v>11.218164301901648</v>
      </c>
      <c r="DC57" s="5">
        <f>IF(DC56=".", ".", IF('Summary, PPI''s'!Z57=".",IF(OR('Summary, hourly ad costs'!Z57=-9999,'Summary, hourly ad costs'!Z57=0), ".", 'Predicted PPIs'!DC56*('Summary, hourly ad costs'!J57/'Summary, hourly ad costs'!Z57)/('Summary, hourly ad costs'!J56/'Summary, hourly ad costs'!Z56)/(1-CM56)), 'Summary, PPI''s'!Z57))</f>
        <v>17.847083403103259</v>
      </c>
      <c r="DD57" s="5" t="str">
        <f>IF(DD56=".", ".", IF('Summary, PPI''s'!AA57=".",IF(OR('Summary, hourly ad costs'!AA57=-9999,'Summary, hourly ad costs'!AA57=0), ".", 'Predicted PPIs'!DD56*('Summary, hourly ad costs'!K57/'Summary, hourly ad costs'!AA57)/('Summary, hourly ad costs'!K56/'Summary, hourly ad costs'!AA56)/(1-CN56)), 'Summary, PPI''s'!AA57))</f>
        <v>.</v>
      </c>
      <c r="DE57" s="5" t="str">
        <f>IF(DE56=".", ".", IF('Summary, PPI''s'!AB57=".",IF(OR('Summary, hourly ad costs'!AB57=-9999,'Summary, hourly ad costs'!AB57=0), ".", 'Predicted PPIs'!DE56*('Summary, hourly ad costs'!L57/'Summary, hourly ad costs'!AB57)/('Summary, hourly ad costs'!L56/'Summary, hourly ad costs'!AB56)/(1-CO56)), 'Summary, PPI''s'!AB57))</f>
        <v>.</v>
      </c>
      <c r="DF57" s="5" t="str">
        <f>IF(DF56=".", ".", IF('Summary, PPI''s'!AC57=".",IF(OR('Summary, hourly ad costs'!AC57=-9999,'Summary, hourly ad costs'!AC57=0), ".", 'Predicted PPIs'!DF56*('Summary, hourly ad costs'!M57/'Summary, hourly ad costs'!AC57)/('Summary, hourly ad costs'!M56/'Summary, hourly ad costs'!AC56)/(1-CP56)), 'Summary, PPI''s'!AC57))</f>
        <v>.</v>
      </c>
      <c r="DG57" s="5" t="str">
        <f>IF(DG56=".", ".", IF('Summary, PPI''s'!AD57=".",IF(OR('Summary, hourly ad costs'!AD57=-9999,'Summary, hourly ad costs'!AD57=0), ".", 'Predicted PPIs'!DG56*('Summary, hourly ad costs'!N57/'Summary, hourly ad costs'!AD57)/('Summary, hourly ad costs'!N56/'Summary, hourly ad costs'!AD56)/(1-CQ56)), 'Summary, PPI''s'!AD57))</f>
        <v>.</v>
      </c>
      <c r="DH57" s="5" t="str">
        <f>IF(DH56=".", ".", IF('Summary, PPI''s'!AE57=".",IF(OR('Summary, hourly ad costs'!AE57=-9999,'Summary, hourly ad costs'!AE57=0), ".", 'Predicted PPIs'!DH56*('Summary, hourly ad costs'!O57/'Summary, hourly ad costs'!AE57)/('Summary, hourly ad costs'!O56/'Summary, hourly ad costs'!AE56)/(1-CR56)), 'Summary, PPI''s'!AE57))</f>
        <v>.</v>
      </c>
      <c r="DI57" s="5" t="str">
        <f>IF(DI56=".", ".", IF('Summary, PPI''s'!AF57=".",IF(OR('Summary, hourly ad costs'!AF57=-9999,'Summary, hourly ad costs'!AF57=0), ".", 'Predicted PPIs'!DI56*('Summary, hourly ad costs'!P57/'Summary, hourly ad costs'!AF57)/('Summary, hourly ad costs'!P56/'Summary, hourly ad costs'!AF56)/(1-CS56)), 'Summary, PPI''s'!AF57))</f>
        <v>.</v>
      </c>
      <c r="DK57" s="4">
        <v>7.3179999999999996</v>
      </c>
      <c r="DM57" s="5">
        <f t="shared" si="121"/>
        <v>2.013174010304386E-2</v>
      </c>
      <c r="DN57" s="5">
        <f t="shared" si="122"/>
        <v>2.013174010304386E-2</v>
      </c>
      <c r="DO57" s="4">
        <f t="shared" si="123"/>
        <v>-2.2607145756395493E-2</v>
      </c>
      <c r="DP57" s="5">
        <f t="shared" si="124"/>
        <v>3.8386741493888543E-2</v>
      </c>
      <c r="DQ57" s="5">
        <f t="shared" si="125"/>
        <v>-2.5006832467887374E-2</v>
      </c>
      <c r="DR57" s="5">
        <f t="shared" si="126"/>
        <v>6.8919482621818684E-3</v>
      </c>
      <c r="DS57" s="5">
        <f t="shared" si="127"/>
        <v>4.9882851975292297E-2</v>
      </c>
      <c r="DT57" s="5">
        <f t="shared" si="128"/>
        <v>4.2437032035631539E-2</v>
      </c>
      <c r="DU57" s="5">
        <f t="shared" si="129"/>
        <v>4.0929253241508867E-2</v>
      </c>
      <c r="DV57" s="4">
        <f t="shared" si="131"/>
        <v>-4.3138955880867513E-4</v>
      </c>
      <c r="DW57" s="4">
        <f t="shared" si="78"/>
        <v>-0.11780947400978167</v>
      </c>
      <c r="DX57" s="4">
        <f t="shared" si="78"/>
        <v>4.2688603482577803E-2</v>
      </c>
      <c r="DY57" s="4">
        <f t="shared" si="108"/>
        <v>-1.5752830420080858E-2</v>
      </c>
      <c r="DZ57" s="4">
        <f t="shared" si="132"/>
        <v>-8.9769877795741783E-3</v>
      </c>
      <c r="EA57" s="4">
        <f t="shared" si="109"/>
        <v>-9.2288339762966083E-3</v>
      </c>
      <c r="EC57" s="1">
        <f t="shared" si="93"/>
        <v>21.046617678986426</v>
      </c>
      <c r="ED57" s="1">
        <f t="shared" si="94"/>
        <v>21.046617678986426</v>
      </c>
      <c r="EE57" s="1">
        <f t="shared" si="95"/>
        <v>13.890325424959338</v>
      </c>
      <c r="EF57" s="1">
        <f t="shared" si="96"/>
        <v>8.2631848014991114</v>
      </c>
      <c r="EG57" s="1">
        <f t="shared" si="97"/>
        <v>12.932146089082561</v>
      </c>
      <c r="EH57" s="1">
        <f t="shared" si="98"/>
        <v>9.4939254464089498</v>
      </c>
      <c r="EI57" s="1">
        <f t="shared" si="99"/>
        <v>12.505000000000001</v>
      </c>
      <c r="EJ57" s="1">
        <f t="shared" si="100"/>
        <v>11.218164301901648</v>
      </c>
      <c r="EK57" s="1">
        <f t="shared" si="101"/>
        <v>17.847083403103259</v>
      </c>
      <c r="EL57" s="1">
        <f t="shared" si="102"/>
        <v>5.9865832549775435</v>
      </c>
      <c r="EM57" s="1">
        <f t="shared" si="103"/>
        <v>5.3433788161182552</v>
      </c>
      <c r="EN57" s="1">
        <f t="shared" si="104"/>
        <v>4.5705463208982113</v>
      </c>
      <c r="EO57" s="1">
        <f t="shared" si="105"/>
        <v>8.0994945129516385</v>
      </c>
      <c r="EP57" s="1">
        <f t="shared" si="106"/>
        <v>10.476121562076132</v>
      </c>
      <c r="EQ57" s="1">
        <f t="shared" si="107"/>
        <v>8.0556386131200828</v>
      </c>
      <c r="ES57" s="1">
        <f>IF(EF$26=".", 0, 'Summary, PPI''s'!E57)+IF(EG$26=".", 0, 'Summary, PPI''s'!F57)+IF(EH$26=".", 0, 'Summary, PPI''s'!G57)+IF(EI$26=".", 0, 'Summary, PPI''s'!H57)+IF(EJ$26=".", 0, 'Summary, PPI''s'!I57)+IF(EK$26=".", 0, 'Summary, PPI''s'!J57)+IF(EL$26=".", 0, 'Summary, PPI''s'!K57)+IF(EM$26=".", 0, 'Summary, PPI''s'!L57)+IF(EN$26=".", 0, 'Summary, PPI''s'!M57)+IF(EC$26=".", 0, 'Summary, PPI''s'!B57)+IF(ED$26=".", 0, 'Summary, PPI''s'!C57)+IF(EE$26=".", 0, 'Summary, PPI''s'!D57)+IF(EO$26=".", 0, 'Summary, PPI''s'!N57)+IF(EP$26=".", 0, 'Summary, PPI''s'!O57)+IF(EQ$26=".", 0, 'Summary, PPI''s'!P57)</f>
        <v>17168913.902400039</v>
      </c>
      <c r="ET57" s="1">
        <f>'Summary, hourly ad costs'!E57+'Summary, hourly ad costs'!F57+'Summary, hourly ad costs'!H57+'Summary, hourly ad costs'!I57+'Summary, hourly ad costs'!J57+'Summary, hourly ad costs'!K57+'Summary, hourly ad costs'!L57+'Summary, hourly ad costs'!M57+'Summary, hourly ad costs'!B57</f>
        <v>10008163.865508378</v>
      </c>
      <c r="EV57" s="13">
        <f>EV56*IF(EF$26=".", 1, (EF57/EF56)^(('Summary, PPI''s'!$E57+'Summary, PPI''s'!$E56)/('Predicted PPIs'!ES57+'Predicted PPIs'!ES56)))*IF(EG$26=".", 1, (EG57/EG56)^(('Summary, PPI''s'!$F57+'Summary, PPI''s'!$F56)/('Predicted PPIs'!ES57+'Predicted PPIs'!ES56)))*IF(EH$26=".", 1, (EH57/EH56)^(('Summary, PPI''s'!$G57+'Summary, PPI''s'!$G56)/('Predicted PPIs'!ES57+'Predicted PPIs'!ES56)))*IF(EI$26=".", 1, (EI57/EI56)^(('Summary, PPI''s'!$H57+'Summary, PPI''s'!$H56)/('Predicted PPIs'!ES57+'Predicted PPIs'!ES56)))*IF(EJ$26=".", 1, (EJ57/EJ56)^(('Summary, PPI''s'!$I57+'Summary, PPI''s'!$I56)/('Predicted PPIs'!ES57+'Predicted PPIs'!ES56)))*IF(EK$26=".", 1, (EK57/EK56)^(('Summary, PPI''s'!$J57+'Summary, PPI''s'!$J56)/('Predicted PPIs'!ES57+'Predicted PPIs'!ES56)))*IF(EL$26=".", 1, (EL57/EL56)^(('Summary, PPI''s'!$K57+'Summary, PPI''s'!$K56)/('Predicted PPIs'!ES57+'Predicted PPIs'!ES56)))*IF(EM$26=".", 1, (EM57/EM56)^(('Summary, PPI''s'!$L57+'Summary, PPI''s'!$L56)/('Predicted PPIs'!ES57+'Predicted PPIs'!ES56)))*IF(EN$26=".", 1, (EN57/EN56)^(('Summary, PPI''s'!$M57+'Summary, PPI''s'!$M56)/('Predicted PPIs'!ES57+'Predicted PPIs'!ES56)))*IF(EC$26=".", 1, (EC57/EC56)^(('Summary, PPI''s'!$B57+'Summary, PPI''s'!$B56)/('Predicted PPIs'!ES57+'Predicted PPIs'!ES56)))*IF(ED$26=".", 1, (ED57/ED56)^(('Summary, PPI''s'!$C57+'Summary, PPI''s'!$C56)/('Predicted PPIs'!ES57+'Predicted PPIs'!ES56)))*IF(EE$26=".", 1, (EE57/EE56)^(('Summary, PPI''s'!$D57+'Summary, PPI''s'!$D56)/('Predicted PPIs'!ES57+'Predicted PPIs'!ES56)))*IF(EO$26=".", 1, (EO57/EO56)^(('Summary, PPI''s'!$N57+'Summary, PPI''s'!$N56)/('Predicted PPIs'!ES57+'Predicted PPIs'!ES56)))*IF(EP$26=".", 1, (EP57/EP56)^(('Summary, PPI''s'!$O57+'Summary, PPI''s'!$O56)/('Predicted PPIs'!ES57+'Predicted PPIs'!ES56)))*IF(EQ$26=".", 1, (EQ57/EQ56)^(('Summary, PPI''s'!$P57+'Summary, PPI''s'!$P56)/('Predicted PPIs'!ES57+'Predicted PPIs'!ES56)))</f>
        <v>12.614584773783804</v>
      </c>
      <c r="EW57" s="13">
        <f>EW56*IF(EF$26=".", 1, (EF57/EF56)^(('Summary, PPI''s'!$E57+'Summary, PPI''s'!$E56)/('Predicted PPIs'!ET57+'Predicted PPIs'!ET56)))*IF(EG$26=".", 1, (EG57/EG56)^(('Summary, PPI''s'!$F57+'Summary, PPI''s'!$F56)/('Predicted PPIs'!ET57+'Predicted PPIs'!ET56)))*IF(EH$26=".", 1, (EH57/EH56)^(('Summary, PPI''s'!$G57+'Summary, PPI''s'!$G56)/('Predicted PPIs'!ET57+'Predicted PPIs'!ET56)))*IF(EK$26=".", 1, (EK57/EK56)^(('Summary, PPI''s'!$J57+'Summary, PPI''s'!$J56)/('Predicted PPIs'!ET57+'Predicted PPIs'!ET56)))*IF(EL$26=".", 1, (EL57/EL56)^(('Summary, PPI''s'!$K57+'Summary, PPI''s'!$K56)/('Predicted PPIs'!ET57+'Predicted PPIs'!ET56)))*IF(EM$26=".", 1, (EM57/EM56)^(('Summary, PPI''s'!$L57+'Summary, PPI''s'!$L56)/('Predicted PPIs'!ET57+'Predicted PPIs'!ET56)))*IF(EN$26=".", 1, (EN57/EN56)^(('Summary, PPI''s'!$M57+'Summary, PPI''s'!$M56)/('Predicted PPIs'!ET57+'Predicted PPIs'!ET56)))*IF(EC$26=".", 1, (EC57/EC56)^(('Summary, PPI''s'!$B57+'Summary, PPI''s'!$B56)/('Predicted PPIs'!ET57+'Predicted PPIs'!ET56)))</f>
        <v>15.671163582060631</v>
      </c>
      <c r="EY57" s="2"/>
    </row>
    <row r="58" spans="1:155" x14ac:dyDescent="0.3">
      <c r="A58" s="4">
        <v>1965</v>
      </c>
      <c r="B58" s="10">
        <f>IF(B57=".", ".", IF('Summary, PPI''s'!R58=".",IF(OR('Summary, hourly ad costs'!R58=-9999,'Summary, hourly ad costs'!R58=0), ".", 'Predicted PPIs'!B57*('Summary, hourly ad costs'!B58/'Summary, hourly ad costs'!R58)/('Summary, hourly ad costs'!B57/'Summary, hourly ad costs'!R57)), 'Summary, PPI''s'!R58))</f>
        <v>20.115351410004724</v>
      </c>
      <c r="C58" s="10">
        <f>IF(C57=".", ".", IF('Summary, PPI''s'!S58=".",IF(OR('Summary, hourly ad costs'!S58=-9999,'Summary, hourly ad costs'!S58=0), ".", 'Predicted PPIs'!C57*('Summary, hourly ad costs'!C58/'Summary, hourly ad costs'!S58)/('Summary, hourly ad costs'!C57/'Summary, hourly ad costs'!S57)), 'Summary, PPI''s'!S58))</f>
        <v>20.115351410004724</v>
      </c>
      <c r="D58" s="10" t="str">
        <f>IF(D57=".", ".", IF('Summary, PPI''s'!T58=".",IF(OR('Summary, hourly ad costs'!T58=-9999,'Summary, hourly ad costs'!T58=0), ".", 'Predicted PPIs'!D57*('Summary, hourly ad costs'!D58/'Summary, hourly ad costs'!T58)/('Summary, hourly ad costs'!D57/'Summary, hourly ad costs'!T57)), 'Summary, PPI''s'!T58))</f>
        <v>.</v>
      </c>
      <c r="E58" s="10">
        <f>IF(E57=".", ".", IF('Summary, PPI''s'!U58=".",IF(OR('Summary, hourly ad costs'!U58=-9999,'Summary, hourly ad costs'!U58=0), ".", 'Predicted PPIs'!E57*('Summary, hourly ad costs'!E58/'Summary, hourly ad costs'!U58)/('Summary, hourly ad costs'!E57/'Summary, hourly ad costs'!U57)), 'Summary, PPI''s'!U58))</f>
        <v>7.7587168648996538</v>
      </c>
      <c r="F58" s="10">
        <f>IF(F57=".", ".", IF('Summary, PPI''s'!V58=".",IF(OR('Summary, hourly ad costs'!V58=-9999,'Summary, hourly ad costs'!V58=0), ".", 'Predicted PPIs'!F57*('Summary, hourly ad costs'!F58/'Summary, hourly ad costs'!V58)/('Summary, hourly ad costs'!F57/'Summary, hourly ad costs'!V57)), 'Summary, PPI''s'!V58))</f>
        <v>12.932146089082561</v>
      </c>
      <c r="G58" s="10">
        <f>IF(G57=".", ".", IF('Summary, PPI''s'!W58=".",IF(OR('Summary, hourly ad costs'!W58=-9999,'Summary, hourly ad costs'!W58=0), ".", 'Predicted PPIs'!G57*('Summary, hourly ad costs'!G58/'Summary, hourly ad costs'!W58)/('Summary, hourly ad costs'!G57/'Summary, hourly ad costs'!W57)), 'Summary, PPI''s'!W58))</f>
        <v>9.19315370361638</v>
      </c>
      <c r="H58" s="10">
        <f>IF(H57=".", ".", IF('Summary, PPI''s'!X58=".",IF(OR('Summary, hourly ad costs'!X58=-9999,'Summary, hourly ad costs'!X58=0), ".", 'Predicted PPIs'!H57*('Summary, hourly ad costs'!H58/'Summary, hourly ad costs'!X58)/('Summary, hourly ad costs'!H57/'Summary, hourly ad costs'!X57)), 'Summary, PPI''s'!X58))</f>
        <v>11.613</v>
      </c>
      <c r="I58" s="10">
        <f>IF(I57=".", ".", IF('Summary, PPI''s'!Y58=".",IF(OR('Summary, hourly ad costs'!Y58=-9999,'Summary, hourly ad costs'!Y58=0), ".", 'Predicted PPIs'!I57*('Summary, hourly ad costs'!I58/'Summary, hourly ad costs'!Y58)/('Summary, hourly ad costs'!I57/'Summary, hourly ad costs'!Y57)), 'Summary, PPI''s'!Y58))</f>
        <v>10.052533288612498</v>
      </c>
      <c r="J58" s="10">
        <f>IF(J57=".", ".", IF('Summary, PPI''s'!Z58=".",IF(OR('Summary, hourly ad costs'!Z58=-9999,'Summary, hourly ad costs'!Z58=0), ".", 'Predicted PPIs'!J57*('Summary, hourly ad costs'!J58/'Summary, hourly ad costs'!Z58)/('Summary, hourly ad costs'!J57/'Summary, hourly ad costs'!Z57)), 'Summary, PPI''s'!Z58))</f>
        <v>13.501961847691021</v>
      </c>
      <c r="K58" s="10" t="str">
        <f>IF(K57=".", ".", IF('Summary, PPI''s'!AA58=".",IF(OR('Summary, hourly ad costs'!AA58=-9999,'Summary, hourly ad costs'!AA58=0), ".", 'Predicted PPIs'!K57*('Summary, hourly ad costs'!K58/'Summary, hourly ad costs'!AA58)/('Summary, hourly ad costs'!K57/'Summary, hourly ad costs'!AA57)), 'Summary, PPI''s'!AA58))</f>
        <v>.</v>
      </c>
      <c r="L58" s="10" t="str">
        <f>IF(L57=".", ".", IF('Summary, PPI''s'!AB58=".",IF(OR('Summary, hourly ad costs'!AB58=-9999,'Summary, hourly ad costs'!AB58=0), ".", 'Predicted PPIs'!L57*('Summary, hourly ad costs'!L58/'Summary, hourly ad costs'!AB58)/('Summary, hourly ad costs'!L57/'Summary, hourly ad costs'!AB57)), 'Summary, PPI''s'!AB58))</f>
        <v>.</v>
      </c>
      <c r="M58" s="10" t="str">
        <f>IF(M57=".", ".", IF('Summary, PPI''s'!AC58=".",IF(OR('Summary, hourly ad costs'!AC58=-9999,'Summary, hourly ad costs'!AC58=0), ".", 'Predicted PPIs'!M57*('Summary, hourly ad costs'!M58/'Summary, hourly ad costs'!AC58)/('Summary, hourly ad costs'!M57/'Summary, hourly ad costs'!AC57)), 'Summary, PPI''s'!AC58))</f>
        <v>.</v>
      </c>
      <c r="N58" s="10" t="str">
        <f>IF(N57=".", ".", IF('Summary, PPI''s'!AD58=".",IF(OR('Summary, hourly ad costs'!AD58=-9999,'Summary, hourly ad costs'!AD58=0), ".", 'Predicted PPIs'!N57*('Summary, hourly ad costs'!N58/'Summary, hourly ad costs'!AD58)/('Summary, hourly ad costs'!N57/'Summary, hourly ad costs'!AD57)), 'Summary, PPI''s'!AD58))</f>
        <v>.</v>
      </c>
      <c r="O58" s="10" t="str">
        <f>IF(O57=".", ".", IF('Summary, PPI''s'!AE58=".",IF(OR('Summary, hourly ad costs'!AE58=-9999,'Summary, hourly ad costs'!AE58=0), ".", 'Predicted PPIs'!O57*('Summary, hourly ad costs'!O58/'Summary, hourly ad costs'!AE58)/('Summary, hourly ad costs'!O57/'Summary, hourly ad costs'!AE57)), 'Summary, PPI''s'!AE58))</f>
        <v>.</v>
      </c>
      <c r="P58" s="10" t="str">
        <f>IF(P57=".", ".", IF('Summary, PPI''s'!AF58=".",IF(OR('Summary, hourly ad costs'!AF58=-9999,'Summary, hourly ad costs'!AF58=0), ".", 'Predicted PPIs'!P57*('Summary, hourly ad costs'!P58/'Summary, hourly ad costs'!AF58)/('Summary, hourly ad costs'!P57/'Summary, hourly ad costs'!AF57)), 'Summary, PPI''s'!AF58))</f>
        <v>.</v>
      </c>
      <c r="R58" s="1">
        <f>IF(E$26=".", 0, 'Summary, PPI''s'!E58)+IF(F$26=".", 0, 'Summary, PPI''s'!F58)+IF(G$26=".", 0, 'Summary, PPI''s'!G58)+IF(H$26=".", 0, 'Summary, PPI''s'!H58)+IF(I$26=".", 0, 'Summary, PPI''s'!I58)+IF(J$26=".", 0, 'Summary, PPI''s'!J58)+IF(K$26=".", 0, 'Summary, PPI''s'!K58)+IF(L$26=".", 0, 'Summary, PPI''s'!L58)+IF(M$26=".", 0, 'Summary, PPI''s'!M58)+IF(B$26=".", 0, 'Summary, PPI''s'!B58)+IF(C$26=".", 0, 'Summary, PPI''s'!C58)+IF(D$26=".", 0, 'Summary, PPI''s'!D58)+IF(N$26=".", 0, 'Summary, PPI''s'!N58)+IF(O$26=".", 0, 'Summary, PPI''s'!O58)+IF(P$26=".", 0, 'Summary, PPI''s'!P58)</f>
        <v>15718365.838783987</v>
      </c>
      <c r="S58" s="1">
        <f>IF(E$36=".", 0, 'Summary, PPI''s'!E58)+IF(F$36=".", 0, 'Summary, PPI''s'!F58)+IF(G$36=".", 0, 'Summary, PPI''s'!G58)+IF(H$36=".", 0, 'Summary, PPI''s'!H58)+IF(I$36=".", 0, 'Summary, PPI''s'!I58)+IF(J$36=".", 0, 'Summary, PPI''s'!J58)+IF(K$36=".", 0, 'Summary, PPI''s'!K58)+IF(L$36=".", 0, 'Summary, PPI''s'!L58)+IF(M$36=".", 0, 'Summary, PPI''s'!M58)+IF(B$36=".", 0, 'Summary, PPI''s'!B58)+IF(C$36=".", 0, 'Summary, PPI''s'!C58)+IF(D$36=".", 0, 'Summary, PPI''s'!D58)+IF(N$36=".", 0, 'Summary, PPI''s'!N58)+IF(O$36=".", 0, 'Summary, PPI''s'!O58)+IF(P$36=".", 0, 'Summary, PPI''s'!P58)</f>
        <v>15718365.838783987</v>
      </c>
      <c r="T58" s="1">
        <f>IF(E$46=".", 0, 'Summary, PPI''s'!E58)+IF(F$46=".", 0, 'Summary, PPI''s'!F58)+IF(G$46=".", 0, 'Summary, PPI''s'!G58)+IF(H$46=".", 0, 'Summary, PPI''s'!H58)+IF(I$46=".", 0, 'Summary, PPI''s'!I58)+IF(J$46=".", 0, 'Summary, PPI''s'!J58)+IF(K$46=".", 0, 'Summary, PPI''s'!K58)+IF(L$46=".", 0, 'Summary, PPI''s'!L58)+IF(M$46=".", 0, 'Summary, PPI''s'!M58)+IF(B$46=".", 0, 'Summary, PPI''s'!B58)+IF(C$46=".", 0, 'Summary, PPI''s'!C58)+IF(D$46=".", 0, 'Summary, PPI''s'!D58)+IF(N$46=".", 0, 'Summary, PPI''s'!N58)+IF(O$46=".", 0, 'Summary, PPI''s'!O58)+IF(P$46=".", 0, 'Summary, PPI''s'!P58)</f>
        <v>11503738.777354714</v>
      </c>
      <c r="U58" s="1">
        <f>IF(E$60=".", 0, 'Summary, PPI''s'!E58)+IF(F$60=".", 0, 'Summary, PPI''s'!F58)+IF(G$60=".", 0, 'Summary, PPI''s'!G58)+IF(H$60=".", 0, 'Summary, PPI''s'!H58)+IF(I$60=".", 0, 'Summary, PPI''s'!I58)+IF(J$60=".", 0, 'Summary, PPI''s'!J58)+IF(K$60=".", 0, 'Summary, PPI''s'!K58)+IF(L$60=".", 0, 'Summary, PPI''s'!L58)+IF(M$60=".", 0, 'Summary, PPI''s'!M58)+IF(B$60=".", 0, 'Summary, PPI''s'!B58)+IF(C$60=".", 0, 'Summary, PPI''s'!C58)+IF(D$60=".", 0, 'Summary, PPI''s'!D58)+IF(N$60=".", 0, 'Summary, PPI''s'!N58)+IF(O$60=".", 0, 'Summary, PPI''s'!O58)+IF(P$60=".", 0, 'Summary, PPI''s'!P58)</f>
        <v>10380542.810320361</v>
      </c>
      <c r="V58" s="1">
        <f>IF(E$73=".", 0, 'Summary, PPI''s'!E58)+IF(F$73=".", 0, 'Summary, PPI''s'!F58)+IF(G$73=".", 0, 'Summary, PPI''s'!G58)+IF(H$73=".", 0, 'Summary, PPI''s'!H58)+IF(I$73=".", 0, 'Summary, PPI''s'!I58)+IF(J$73=".", 0, 'Summary, PPI''s'!J58)+IF(K$73=".", 0, 'Summary, PPI''s'!K58)+IF(L$73=".", 0, 'Summary, PPI''s'!L58)+IF(M$73=".", 0, 'Summary, PPI''s'!M58)+IF(B$73=".", 0, 'Summary, PPI''s'!B58)+IF(C$73=".", 0, 'Summary, PPI''s'!C58)+IF(D$73=".", 0, 'Summary, PPI''s'!D58)+IF(N$73=".", 0, 'Summary, PPI''s'!N58)+IF(O$73=".", 0, 'Summary, PPI''s'!O58)+IF(P$73=".", 0, 'Summary, PPI''s'!P58)</f>
        <v>9071726.6810015403</v>
      </c>
      <c r="W58" s="1">
        <f>IF(E$94=".",0,'Summary, PPI''s'!E58)+IF(F$94=".",0,'Summary, PPI''s'!F58)+IF(G$94=".",0,'Summary, PPI''s'!G58)+IF(H$94=".",0,'Summary, PPI''s'!H58)+IF(I$94=".",0,'Summary, PPI''s'!I58)+IF(J$94=".",0,'Summary, PPI''s'!J58)+IF(K$94=".",0,'Summary, PPI''s'!K58)+IF(L$94=".",0,'Summary, PPI''s'!L58)+IF(M$94=".",0,'Summary, PPI''s'!M58)+IF(B$94=".",0,'Summary, PPI''s'!B58)+IF(C$94=".",0,'Summary, PPI''s'!C58)+IF(D$94=".",0,'Summary, PPI''s'!D58)+IF(N$94=".",0,'Summary, PPI''s'!N58)+IF(O$94=".",0,'Summary, PPI''s'!O58)+IF(P$94=".",0,'Summary, PPI''s'!P58)</f>
        <v>7188480.7095435858</v>
      </c>
      <c r="X58" s="1">
        <f>IF(E$123=".", 0, 'Summary, PPI''s'!E58)+IF(F$123=".", 0, 'Summary, PPI''s'!F58)+IF(G$123=".", 0, 'Summary, PPI''s'!G58)+IF(H$123=".", 0, 'Summary, PPI''s'!H58)+IF(I$123=".", 0, 'Summary, PPI''s'!I58)+IF(J$123=".", 0, 'Summary, PPI''s'!J58)+IF(K$123=".", 0, 'Summary, PPI''s'!K58)+IF(L$123=".", 0, 'Summary, PPI''s'!L58)+IF(M$123=".", 0, 'Summary, PPI''s'!M58)+IF(B$123=".", 0, 'Summary, PPI''s'!B58)+IF(C$123=".", 0, 'Summary, PPI''s'!C58)+IF(D$123=".", 0, 'Summary, PPI''s'!D58)+IF(N$123=".", 0, 'Summary, PPI''s'!N58)+IF(O$123=".", 0, 'Summary, PPI''s'!O58)+IF(P$123=".", 0, 'Summary, PPI''s'!P58)</f>
        <v>6447314.8909428921</v>
      </c>
      <c r="Z58" s="4" t="e">
        <f>Z57*IF(E$26=".", 1, (E58/E57)^(('Summary, PPI''s'!$E58+'Summary, PPI''s'!$E57)/('Predicted PPIs'!R58+'Predicted PPIs'!R57)))*IF(F$26=".", 1, (F58/F57)^(('Summary, PPI''s'!$F58+'Summary, PPI''s'!$F57)/('Predicted PPIs'!R58+'Predicted PPIs'!R57)))*IF(G$26=".", 1, (G58/G57)^(('Summary, PPI''s'!$G58+'Summary, PPI''s'!$G57)/('Predicted PPIs'!R58+'Predicted PPIs'!R57)))*IF(H$26=".", 1, (H58/H57)^(('Summary, PPI''s'!$H58+'Summary, PPI''s'!$H57)/('Predicted PPIs'!R58+'Predicted PPIs'!R57)))*IF(I$26=".", 1, (I58/I57)^(('Summary, PPI''s'!$I58+'Summary, PPI''s'!$I57)/('Predicted PPIs'!R58+'Predicted PPIs'!R57)))*IF(J$26=".", 1, (J58/J57)^(('Summary, PPI''s'!$J58+'Summary, PPI''s'!$J57)/('Predicted PPIs'!R58+'Predicted PPIs'!R57)))*IF(K$26=".", 1, (K58/K57)^(('Summary, PPI''s'!$K58+'Summary, PPI''s'!$K57)/('Predicted PPIs'!R58+'Predicted PPIs'!R57)))*IF(L$26=".", 1, (L58/L57)^(('Summary, PPI''s'!$L58+'Summary, PPI''s'!$L57)/('Predicted PPIs'!R58+'Predicted PPIs'!R57)))*IF(M$26=".", 1, (M58/M57)^(('Summary, PPI''s'!$M58+'Summary, PPI''s'!$M57)/('Predicted PPIs'!R58+'Predicted PPIs'!R57)))*IF(B$26=".", 1, (B58/B57)^(('Summary, PPI''s'!$B58+'Summary, PPI''s'!$B57)/('Predicted PPIs'!R58+'Predicted PPIs'!R57)))*IF(C$26=".", 1, (C58/C57)^(('Summary, PPI''s'!$C58+'Summary, PPI''s'!$C57)/('Predicted PPIs'!R58+'Predicted PPIs'!R57)))*IF(D$26=".", 1, (D58/D57)^(('Summary, PPI''s'!$D58+'Summary, PPI''s'!$D57)/('Predicted PPIs'!R58+'Predicted PPIs'!R57)))*IF(N$26=".", 1, (N58/N57)^(('Summary, PPI''s'!$N58+'Summary, PPI''s'!$N57)/('Predicted PPIs'!R58+'Predicted PPIs'!R57)))*IF(O$26=".", 1, (O58/O57)^(('Summary, PPI''s'!$O58+'Summary, PPI''s'!$O57)/('Predicted PPIs'!R58+'Predicted PPIs'!R57)))*IF(P$26=".", 1, (P58/P57)^(('Summary, PPI''s'!$P58+'Summary, PPI''s'!$P57)/('Predicted PPIs'!R58+'Predicted PPIs'!R57)))</f>
        <v>#VALUE!</v>
      </c>
      <c r="AA58" s="4" t="e">
        <f>AA57*IF(E$36=".", 1, (E58/E57)^(('Summary, PPI''s'!$E58+'Summary, PPI''s'!$E57)/('Predicted PPIs'!S58+'Predicted PPIs'!S57)))*IF(F$36=".", 1, (F58/F57)^(('Summary, PPI''s'!$F58+'Summary, PPI''s'!$F57)/('Predicted PPIs'!S58+'Predicted PPIs'!S57)))*IF(G$36=".", 1, (G58/G57)^(('Summary, PPI''s'!$G58+'Summary, PPI''s'!$G57)/('Predicted PPIs'!S58+'Predicted PPIs'!S57)))*IF(H$36=".", 1, (H58/H57)^(('Summary, PPI''s'!$H58+'Summary, PPI''s'!$H57)/('Predicted PPIs'!S58+'Predicted PPIs'!S57)))*IF(I$36=".", 1, (I58/I57)^(('Summary, PPI''s'!$I58+'Summary, PPI''s'!$I57)/('Predicted PPIs'!S58+'Predicted PPIs'!S57)))*IF(J$36=".", 1, (J58/J57)^(('Summary, PPI''s'!$J58+'Summary, PPI''s'!$J57)/('Predicted PPIs'!S58+'Predicted PPIs'!S57)))*IF(K$36=".", 1, (K58/K57)^(('Summary, PPI''s'!$K58+'Summary, PPI''s'!$K57)/('Predicted PPIs'!S58+'Predicted PPIs'!S57)))*IF(L$36=".", 1, (L58/L57)^(('Summary, PPI''s'!$L58+'Summary, PPI''s'!$L57)/('Predicted PPIs'!S58+'Predicted PPIs'!S57)))*IF(M$36=".", 1, (M58/M57)^(('Summary, PPI''s'!$M58+'Summary, PPI''s'!$M57)/('Predicted PPIs'!S58+'Predicted PPIs'!S57)))*IF(B$36=".", 1, (B58/B57)^(('Summary, PPI''s'!$B58+'Summary, PPI''s'!$B57)/('Predicted PPIs'!S58+'Predicted PPIs'!S57)))*IF(C$36=".", 1, (C58/C57)^(('Summary, PPI''s'!$C58+'Summary, PPI''s'!$C57)/('Predicted PPIs'!S58+'Predicted PPIs'!S57)))*IF(D$36=".", 1, (D58/D57)^(('Summary, PPI''s'!$D58+'Summary, PPI''s'!$D57)/('Predicted PPIs'!S58+'Predicted PPIs'!S57)))*IF(N$36=".", 1, (N58/N57)^(('Summary, PPI''s'!$N58+'Summary, PPI''s'!$N57)/('Predicted PPIs'!S58+'Predicted PPIs'!S57)))*IF(O$36=".", 1, (O58/O57)^(('Summary, PPI''s'!$O58+'Summary, PPI''s'!$O57)/('Predicted PPIs'!S58+'Predicted PPIs'!S57)))*IF(P$36=".", 1, (P58/P57)^(('Summary, PPI''s'!$P58+'Summary, PPI''s'!$P57)/('Predicted PPIs'!S58+'Predicted PPIs'!S57)))</f>
        <v>#VALUE!</v>
      </c>
      <c r="AB58" s="4" t="e">
        <f>AB57*IF(E$46=".", 1, (E58/E57)^(('Summary, PPI''s'!$E58+'Summary, PPI''s'!$E57)/('Predicted PPIs'!T58+'Predicted PPIs'!T57)))*IF(F$46=".", 1, (F58/F57)^(('Summary, PPI''s'!$F58+'Summary, PPI''s'!$F57)/('Predicted PPIs'!T58+'Predicted PPIs'!T57)))*IF(G$46=".", 1, (G58/G57)^(('Summary, PPI''s'!$G58+'Summary, PPI''s'!$G57)/('Predicted PPIs'!T58+'Predicted PPIs'!T57)))*IF(H$46=".", 1, (H58/H57)^(('Summary, PPI''s'!$H58+'Summary, PPI''s'!$H57)/('Predicted PPIs'!T58+'Predicted PPIs'!T57)))*IF(I$46=".", 1, (I58/I57)^(('Summary, PPI''s'!$I58+'Summary, PPI''s'!$I57)/('Predicted PPIs'!T58+'Predicted PPIs'!T57)))*IF(J$46=".", 1, (J58/J57)^(('Summary, PPI''s'!$J58+'Summary, PPI''s'!$J57)/('Predicted PPIs'!T58+'Predicted PPIs'!T57)))*IF(K$46=".", 1, (K58/K57)^(('Summary, PPI''s'!$K58+'Summary, PPI''s'!$K57)/('Predicted PPIs'!T58+'Predicted PPIs'!T57)))*IF(L$46=".", 1, (L58/L57)^(('Summary, PPI''s'!$L58+'Summary, PPI''s'!$L57)/('Predicted PPIs'!T58+'Predicted PPIs'!T57)))*IF(M$46=".", 1, (M58/M57)^(('Summary, PPI''s'!$M58+'Summary, PPI''s'!$M57)/('Predicted PPIs'!T58+'Predicted PPIs'!T57)))*IF(B$46=".", 1, (B58/B57)^(('Summary, PPI''s'!$B58+'Summary, PPI''s'!$B57)/('Predicted PPIs'!T58+'Predicted PPIs'!T57)))*IF(C$46=".", 1, (C58/C57)^(('Summary, PPI''s'!$C58+'Summary, PPI''s'!$C57)/('Predicted PPIs'!T58+'Predicted PPIs'!T57)))*IF(D$46=".", 1, (D58/D57)^(('Summary, PPI''s'!$D58+'Summary, PPI''s'!$D57)/('Predicted PPIs'!T58+'Predicted PPIs'!T57)))*IF(N$46=".", 1, (N58/N57)^(('Summary, PPI''s'!$N58+'Summary, PPI''s'!$N57)/('Predicted PPIs'!T58+'Predicted PPIs'!T57)))*IF(O$46=".", 1, (O58/O57)^(('Summary, PPI''s'!$O58+'Summary, PPI''s'!$O57)/('Predicted PPIs'!T58+'Predicted PPIs'!T57)))*IF(P$46=".", 1, (P58/P57)^(('Summary, PPI''s'!$P58+'Summary, PPI''s'!$P57)/('Predicted PPIs'!T58+'Predicted PPIs'!T57)))</f>
        <v>#VALUE!</v>
      </c>
      <c r="AC58" s="4">
        <f>AC57*IF(E$60=".",1,(E58/E57)^(('Summary, PPI''s'!$E58+'Summary, PPI''s'!$E57)/('Predicted PPIs'!U58+'Predicted PPIs'!U57)))*IF(F$60=".",1,(F58/F57)^(('Summary, PPI''s'!$F58+'Summary, PPI''s'!$F57)/('Predicted PPIs'!U58+'Predicted PPIs'!U57)))*IF(G$60=".",1,(G58/G57)^(('Summary, PPI''s'!$G58+'Summary, PPI''s'!$G57)/('Predicted PPIs'!U58+'Predicted PPIs'!U57)))*IF(H$60=".",1,(H58/H57)^(('Summary, PPI''s'!$H58+'Summary, PPI''s'!$H57)/('Predicted PPIs'!U58+'Predicted PPIs'!U57)))*IF(I$60=".",1,(I58/I57)^(('Summary, PPI''s'!$I58+'Summary, PPI''s'!$I57)/('Predicted PPIs'!U58+'Predicted PPIs'!U57)))*IF(J$60=".",1,(J58/J57)^(('Summary, PPI''s'!$J58+'Summary, PPI''s'!$J57)/('Predicted PPIs'!U58+'Predicted PPIs'!U57)))*IF(K$60=".",1,(K58/K57)^(('Summary, PPI''s'!$K58+'Summary, PPI''s'!$K57)/('Predicted PPIs'!U58+'Predicted PPIs'!U57)))*IF(L$60=".",1,(L58/L57)^(('Summary, PPI''s'!$L58+'Summary, PPI''s'!$L57)/('Predicted PPIs'!U58+'Predicted PPIs'!U57)))*IF(M$60=".",1,(M58/M57)^(('Summary, PPI''s'!$M58+'Summary, PPI''s'!$M57)/('Predicted PPIs'!U58+'Predicted PPIs'!U57)))*IF(B$60=".",1,(B58/B57)^(('Summary, PPI''s'!$B58+'Summary, PPI''s'!$B57)/('Predicted PPIs'!U58+'Predicted PPIs'!U57)))*IF(C$60=".",1,(C58/C57)^(('Summary, PPI''s'!$C58+'Summary, PPI''s'!$C57)/('Predicted PPIs'!U58+'Predicted PPIs'!U57)))*IF(D$60=".",1,(D58/D57)^(('Summary, PPI''s'!$D58+'Summary, PPI''s'!$D57)/('Predicted PPIs'!U58+'Predicted PPIs'!U57)))*IF(N$60=".",1,(N58/N57)^(('Summary, PPI''s'!$N58+'Summary, PPI''s'!$N57)/('Predicted PPIs'!U58+'Predicted PPIs'!U57)))*IF(O$60=".",1,(O58/O57)^(('Summary, PPI''s'!$O58+'Summary, PPI''s'!$O57)/('Predicted PPIs'!U58+'Predicted PPIs'!U57)))*IF(P$60=".",1,(P58/P57)^(('Summary, PPI''s'!$P58+'Summary, PPI''s'!$P57)/('Predicted PPIs'!U58+'Predicted PPIs'!U57)))</f>
        <v>12.078164883835285</v>
      </c>
      <c r="AD58" s="4">
        <f>AD57*IF(E$73=".", 1, (E58/E57)^(('Summary, PPI''s'!$E58+'Summary, PPI''s'!$E57)/('Predicted PPIs'!V58+'Predicted PPIs'!V57)))*IF(F$73=".", 1, (F58/F57)^(('Summary, PPI''s'!$F58+'Summary, PPI''s'!$F57)/('Predicted PPIs'!V58+'Predicted PPIs'!V57)))*IF(G$73=".", 1, (G58/G57)^(('Summary, PPI''s'!$G58+'Summary, PPI''s'!$G57)/('Predicted PPIs'!V58+'Predicted PPIs'!V57)))*IF(H$73=".", 1, (H58/H57)^(('Summary, PPI''s'!$H58+'Summary, PPI''s'!$H57)/('Predicted PPIs'!V58+'Predicted PPIs'!V57)))*IF(I$73=".", 1, (I58/I57)^(('Summary, PPI''s'!$I58+'Summary, PPI''s'!$I57)/('Predicted PPIs'!V58+'Predicted PPIs'!V57)))*IF(J$73=".", 1, (J58/J57)^(('Summary, PPI''s'!$J58+'Summary, PPI''s'!$J57)/('Predicted PPIs'!V58+'Predicted PPIs'!V57)))*IF(K$73=".", 1, (K58/K57)^(('Summary, PPI''s'!$K58+'Summary, PPI''s'!$K57)/('Predicted PPIs'!V58+'Predicted PPIs'!V57)))*IF(L$73=".", 1, (L58/L57)^(('Summary, PPI''s'!$L58+'Summary, PPI''s'!$L57)/('Predicted PPIs'!V58+'Predicted PPIs'!V57)))*IF(M$73=".", 1, (M58/M57)^(('Summary, PPI''s'!$M58+'Summary, PPI''s'!$M57)/('Predicted PPIs'!V58+'Predicted PPIs'!V57)))*IF(B$73=".", 1, (B58/B57)^(('Summary, PPI''s'!$B58+'Summary, PPI''s'!$B57)/('Predicted PPIs'!V58+'Predicted PPIs'!V57)))*IF(C$73=".", 1, (C58/C57)^(('Summary, PPI''s'!$C58+'Summary, PPI''s'!$C57)/('Predicted PPIs'!V58+'Predicted PPIs'!V57)))*IF(D$73=".", 1, (D58/D57)^(('Summary, PPI''s'!$D58+'Summary, PPI''s'!$D57)/('Predicted PPIs'!V58+'Predicted PPIs'!V57)))*IF(N$73=".", 1, (N58/N57)^(('Summary, PPI''s'!$N58+'Summary, PPI''s'!$N57)/('Predicted PPIs'!V58+'Predicted PPIs'!V57)))*IF(O$73=".", 1, (O58/O57)^(('Summary, PPI''s'!$O58+'Summary, PPI''s'!$O57)/('Predicted PPIs'!V58+'Predicted PPIs'!V57)))*IF(P$73=".", 1, (P58/P57)^(('Summary, PPI''s'!$P58+'Summary, PPI''s'!$P57)/('Predicted PPIs'!V58+'Predicted PPIs'!V57)))</f>
        <v>11.596116019128935</v>
      </c>
      <c r="AE58" s="4">
        <f>AE57*IF(E$94=".", 1, (E58/E57)^(('Summary, PPI''s'!$E58+'Summary, PPI''s'!$E57)/('Predicted PPIs'!W58+'Predicted PPIs'!W57)))*IF(F$94=".", 1, (F58/F57)^(('Summary, PPI''s'!$F58+'Summary, PPI''s'!$F57)/('Predicted PPIs'!W58+'Predicted PPIs'!W57)))*IF(G$94=".", 1, (G58/G57)^(('Summary, PPI''s'!$G58+'Summary, PPI''s'!$G57)/('Predicted PPIs'!W58+'Predicted PPIs'!W57)))*IF(H$94=".", 1, (H58/H57)^(('Summary, PPI''s'!$H58+'Summary, PPI''s'!$H57)/('Predicted PPIs'!W58+'Predicted PPIs'!W57)))*IF(I$94=".", 1, (I58/I57)^(('Summary, PPI''s'!$I58+'Summary, PPI''s'!$I57)/('Predicted PPIs'!W58+'Predicted PPIs'!W57)))*IF(J$94=".", 1, (J58/J57)^(('Summary, PPI''s'!$J58+'Summary, PPI''s'!$J57)/('Predicted PPIs'!W58+'Predicted PPIs'!W57)))*IF(K$94=".", 1, (K58/K57)^(('Summary, PPI''s'!$K58+'Summary, PPI''s'!$K57)/('Predicted PPIs'!W58+'Predicted PPIs'!W57)))*IF(L$94=".", 1, (L58/L57)^(('Summary, PPI''s'!$L58+'Summary, PPI''s'!$L57)/('Predicted PPIs'!W58+'Predicted PPIs'!W57)))*IF(M$94=".", 1, (M58/M57)^(('Summary, PPI''s'!$M58+'Summary, PPI''s'!$M57)/('Predicted PPIs'!W58+'Predicted PPIs'!W57)))*IF(B$94=".", 1, (B58/B57)^(('Summary, PPI''s'!$B58+'Summary, PPI''s'!$B57)/('Predicted PPIs'!W58+'Predicted PPIs'!W57)))*IF(C$94=".", 1, (C58/C57)^(('Summary, PPI''s'!$C58+'Summary, PPI''s'!$C57)/('Predicted PPIs'!W58+'Predicted PPIs'!W57)))*IF(D$94=".", 1, (D58/D57)^(('Summary, PPI''s'!$D58+'Summary, PPI''s'!$D57)/('Predicted PPIs'!W58+'Predicted PPIs'!W57)))*IF(N$94=".", 1, (N58/N57)^(('Summary, PPI''s'!$N58+'Summary, PPI''s'!$N57)/('Predicted PPIs'!W58+'Predicted PPIs'!W57)))*IF(O$94=".", 1, (O58/O57)^(('Summary, PPI''s'!$O58+'Summary, PPI''s'!$O57)/('Predicted PPIs'!W58+'Predicted PPIs'!W57)))*IF(P$94=".", 1, (P58/P57)^(('Summary, PPI''s'!$P58+'Summary, PPI''s'!$P57)/('Predicted PPIs'!W58+'Predicted PPIs'!W57)))</f>
        <v>10.43496268528415</v>
      </c>
      <c r="AF58" s="4">
        <f>AF57*IF(E$123=".", 1, (E58/E57)^(('Summary, PPI''s'!$E58+'Summary, PPI''s'!$E57)/('Predicted PPIs'!X58+'Predicted PPIs'!X57)))*IF(F$123=".", 1, (F58/F57)^(('Summary, PPI''s'!$F58+'Summary, PPI''s'!$F57)/('Predicted PPIs'!X58+'Predicted PPIs'!X57)))*IF(G$123=".", 1, (G58/G57)^(('Summary, PPI''s'!$G58+'Summary, PPI''s'!$G57)/('Predicted PPIs'!X58+'Predicted PPIs'!X57)))*IF(H$123=".", 1, (H58/H57)^(('Summary, PPI''s'!$H58+'Summary, PPI''s'!$H57)/('Predicted PPIs'!X58+'Predicted PPIs'!X57)))*IF(I$123=".", 1, (I58/I57)^(('Summary, PPI''s'!$I58+'Summary, PPI''s'!$I57)/('Predicted PPIs'!X58+'Predicted PPIs'!X57)))*IF(J$123=".", 1, (J58/J57)^(('Summary, PPI''s'!$J58+'Summary, PPI''s'!$J57)/('Predicted PPIs'!X58+'Predicted PPIs'!X57)))*IF(K$123=".", 1, (K58/K57)^(('Summary, PPI''s'!$K58+'Summary, PPI''s'!$K57)/('Predicted PPIs'!X58+'Predicted PPIs'!X57)))*IF(L$123=".", 1, (L58/L57)^(('Summary, PPI''s'!$L58+'Summary, PPI''s'!$L57)/('Predicted PPIs'!X58+'Predicted PPIs'!X57)))*IF(M$123=".", 1, (M58/M57)^(('Summary, PPI''s'!$M58+'Summary, PPI''s'!$M57)/('Predicted PPIs'!X58+'Predicted PPIs'!X57)))*IF(B$123=".", 1, (B58/B57)^(('Summary, PPI''s'!$B58+'Summary, PPI''s'!$B57)/('Predicted PPIs'!X58+'Predicted PPIs'!X57)))*IF(C$123=".", 1, (C58/C57)^(('Summary, PPI''s'!$C58+'Summary, PPI''s'!$C57)/('Predicted PPIs'!X58+'Predicted PPIs'!X57)))*IF(D$123=".", 1, (D58/D57)^(('Summary, PPI''s'!$D58+'Summary, PPI''s'!$D57)/('Predicted PPIs'!X58+'Predicted PPIs'!X57)))*IF(N$123=".", 1, (N58/N57)^(('Summary, PPI''s'!$N58+'Summary, PPI''s'!$N57)/('Predicted PPIs'!X58+'Predicted PPIs'!X57)))*IF(O$123=".", 1, (O58/O57)^(('Summary, PPI''s'!$O58+'Summary, PPI''s'!$O57)/('Predicted PPIs'!X58+'Predicted PPIs'!X57)))*IF(P$123=".", 1, (P58/P57)^(('Summary, PPI''s'!$P58+'Summary, PPI''s'!$P57)/('Predicted PPIs'!X58+'Predicted PPIs'!X57)))</f>
        <v>9.9581302536310705</v>
      </c>
      <c r="AH58" s="13">
        <f t="shared" si="91"/>
        <v>13.355169459789137</v>
      </c>
      <c r="AJ58" s="4">
        <v>443</v>
      </c>
      <c r="AK58" s="4">
        <v>-0.81100000000000005</v>
      </c>
      <c r="AL58" s="4">
        <v>-42.667999999999999</v>
      </c>
      <c r="AM58" s="4">
        <v>-2.4809999999999999</v>
      </c>
      <c r="AN58" s="4">
        <v>579.79999999999995</v>
      </c>
      <c r="AO58" s="4">
        <v>120.1</v>
      </c>
      <c r="AP58" s="4">
        <f>('[3]1965'!$I$14+'[3]1965'!$I$69+'[3]1965'!$I$71-'[3]1965'!$I$73)*0.001</f>
        <v>-10.51</v>
      </c>
      <c r="AQ58" s="4">
        <f>('[3]1965'!$AY$56+'[3]1965'!$AY$69+'[3]1965'!$AY$71-'[3]1965'!$AY$73)*0.001</f>
        <v>-23.141999999999999</v>
      </c>
      <c r="AR58" s="4">
        <f>AR$38*677/23762</f>
        <v>-0.31875582863395341</v>
      </c>
      <c r="AS58" s="4">
        <v>-3.2389999999999999</v>
      </c>
      <c r="AT58" s="4">
        <v>17.501999999999999</v>
      </c>
      <c r="AU58" s="4">
        <v>23.335000000000001</v>
      </c>
      <c r="AV58" s="4">
        <v>15.162000000000001</v>
      </c>
      <c r="AW58" s="4">
        <v>15.077999999999999</v>
      </c>
      <c r="AX58" s="4">
        <v>17.077000000000002</v>
      </c>
      <c r="AY58" s="4">
        <v>24.018999999999998</v>
      </c>
      <c r="AZ58" s="4">
        <v>9.2940000000000005</v>
      </c>
      <c r="BA58" s="4">
        <v>19.350999999999999</v>
      </c>
      <c r="BB58" s="4">
        <f>BB$38*166.844/184.05</f>
        <v>93.352866720999728</v>
      </c>
      <c r="BC58" s="4">
        <v>20.14</v>
      </c>
      <c r="BG58" s="4">
        <f t="shared" si="50"/>
        <v>25.13108390905839</v>
      </c>
      <c r="BI58" s="4">
        <f>BI$13*'[2]Ordinary Experience'!$D$368/'[2]Ordinary Experience'!$D$413</f>
        <v>191101011.43683031</v>
      </c>
      <c r="BJ58" s="4">
        <f>'[2]Ordinary Experience'!$E$368</f>
        <v>29.771630791745356</v>
      </c>
      <c r="BL58" s="4">
        <f t="shared" si="90"/>
        <v>47.246689026916556</v>
      </c>
      <c r="BM58" s="4">
        <f t="shared" si="34"/>
        <v>6.0512789664926236E-2</v>
      </c>
      <c r="BO58" s="4">
        <f>IF(OR('Summary, hourly ad costs'!R58=-9999,'Summary, PPI''s'!R58="."),".",(('Summary, hourly ad costs'!B58/'Summary, hourly ad costs'!R58)*100/('Summary, hourly ad costs'!B$11/'Summary, hourly ad costs'!R$11))/('Summary, PPI''s'!R58))</f>
        <v>1.883968719666574</v>
      </c>
      <c r="BP58" s="4" t="str">
        <f>IF(OR('Summary, hourly ad costs'!S58=-9999,'Summary, PPI''s'!S58="."),".",(('Summary, hourly ad costs'!C58/'Summary, hourly ad costs'!S58)*100/('Summary, hourly ad costs'!C$11/'Summary, hourly ad costs'!S$11))/('Summary, PPI''s'!S58))</f>
        <v>.</v>
      </c>
      <c r="BQ58" s="4" t="str">
        <f>IF(OR('Summary, hourly ad costs'!T58=-9999,'Summary, PPI''s'!T58="."),".",(('Summary, hourly ad costs'!D58/'Summary, hourly ad costs'!T58)*100/('Summary, hourly ad costs'!D$11/'Summary, hourly ad costs'!T$11))/('Summary, PPI''s'!T58))</f>
        <v>.</v>
      </c>
      <c r="BR58" s="4">
        <f>IF(OR('Summary, hourly ad costs'!U58=-9999,'Summary, PPI''s'!U58="."),".",(('Summary, hourly ad costs'!E58/'Summary, hourly ad costs'!U58)*100/('Summary, hourly ad costs'!E$11/'Summary, hourly ad costs'!U$11))/('Summary, PPI''s'!U58))</f>
        <v>1.8711465025046101</v>
      </c>
      <c r="BS58" s="4">
        <f>IF(OR('Summary, hourly ad costs'!V58=-9999,'Summary, PPI''s'!V58="."),".",(('Summary, hourly ad costs'!F58/'Summary, hourly ad costs'!V58)*100/('Summary, hourly ad costs'!F$11/'Summary, hourly ad costs'!V$11))/('Summary, PPI''s'!V58))</f>
        <v>1.6946289200073337</v>
      </c>
      <c r="BT58" s="4" t="str">
        <f>IF(OR('Summary, hourly ad costs'!W58=-9999,'Summary, PPI''s'!W58="."),".",(('Summary, hourly ad costs'!G58/'Summary, hourly ad costs'!W58)*100/('Summary, hourly ad costs'!G$11/'Summary, hourly ad costs'!W$11))/('Summary, PPI''s'!W58))</f>
        <v>.</v>
      </c>
      <c r="BU58" s="4">
        <f>IF(OR('Summary, hourly ad costs'!X58=-9999,'Summary, PPI''s'!X58="."),".",(('Summary, hourly ad costs'!H58/'Summary, hourly ad costs'!X58)*100/('Summary, hourly ad costs'!H$11/'Summary, hourly ad costs'!X$11))/('Summary, PPI''s'!X58))</f>
        <v>1.1131418161674003</v>
      </c>
      <c r="BV58" s="4" t="str">
        <f>IF(OR('Summary, hourly ad costs'!Y58=-9999,'Summary, PPI''s'!Y58="."),".",(('Summary, hourly ad costs'!I58/'Summary, hourly ad costs'!Y58)*100/('Summary, hourly ad costs'!I$11/'Summary, hourly ad costs'!Y$11))/('Summary, PPI''s'!Y58))</f>
        <v>.</v>
      </c>
      <c r="BW58" s="4" t="str">
        <f>IF(OR('Summary, hourly ad costs'!Z58=-9999,'Summary, PPI''s'!Z58="."),".",(('Summary, hourly ad costs'!J58/'Summary, hourly ad costs'!Z58)*100/('Summary, hourly ad costs'!J$11/'Summary, hourly ad costs'!Z$11))/('Summary, PPI''s'!Z58))</f>
        <v>.</v>
      </c>
      <c r="BX58" s="4" t="str">
        <f>IF(OR('Summary, hourly ad costs'!AA58=-9999,'Summary, PPI''s'!AA58="."),".",(('Summary, hourly ad costs'!K58/'Summary, hourly ad costs'!AA58)*100/('Summary, hourly ad costs'!K$11/'Summary, hourly ad costs'!AA$11))/('Summary, PPI''s'!AA58))</f>
        <v>.</v>
      </c>
      <c r="BY58" s="4" t="str">
        <f>IF(OR('Summary, hourly ad costs'!AB58=-9999,'Summary, PPI''s'!AB58="."),".",(('Summary, hourly ad costs'!L58/'Summary, hourly ad costs'!AB58)*100/('Summary, hourly ad costs'!L$11/'Summary, hourly ad costs'!AB$11))/('Summary, PPI''s'!AB58))</f>
        <v>.</v>
      </c>
      <c r="BZ58" s="4" t="str">
        <f>IF(OR('Summary, hourly ad costs'!AC58=-9999,'Summary, PPI''s'!AC58="."),".",(('Summary, hourly ad costs'!M58/'Summary, hourly ad costs'!AC58)*100/('Summary, hourly ad costs'!M$11/'Summary, hourly ad costs'!AC$11))/('Summary, PPI''s'!AC58))</f>
        <v>.</v>
      </c>
      <c r="CA58" s="4" t="str">
        <f>IF(OR('Summary, hourly ad costs'!AD58=-9999,'Summary, PPI''s'!AD58="."),".",(('Summary, hourly ad costs'!N58/'Summary, hourly ad costs'!AD58)*100/('Summary, hourly ad costs'!N$11/'Summary, hourly ad costs'!AD$11))/('Summary, PPI''s'!AD58))</f>
        <v>.</v>
      </c>
      <c r="CB58" s="4" t="str">
        <f>IF(OR('Summary, hourly ad costs'!AE58=-9999,'Summary, PPI''s'!AE58="."),".",(('Summary, hourly ad costs'!O58/'Summary, hourly ad costs'!AE58)*100/('Summary, hourly ad costs'!O$11/'Summary, hourly ad costs'!AE$11))/('Summary, PPI''s'!AE58))</f>
        <v>.</v>
      </c>
      <c r="CC58" s="4" t="str">
        <f>IF(OR('Summary, hourly ad costs'!AF58=-9999,'Summary, PPI''s'!AF58="."),".",(('Summary, hourly ad costs'!P58/'Summary, hourly ad costs'!AF58)*100/('Summary, hourly ad costs'!P$11/'Summary, hourly ad costs'!AF$11))/('Summary, PPI''s'!AF58))</f>
        <v>.</v>
      </c>
      <c r="CE58" s="4">
        <f t="shared" si="113"/>
        <v>0.20433541967943691</v>
      </c>
      <c r="CF58" s="4" t="str">
        <f t="shared" si="114"/>
        <v>.</v>
      </c>
      <c r="CG58" s="4" t="str">
        <f t="shared" si="115"/>
        <v>.</v>
      </c>
      <c r="CH58" s="4">
        <f t="shared" si="116"/>
        <v>7.6575795814280312E-2</v>
      </c>
      <c r="CI58" s="4">
        <f t="shared" si="117"/>
        <v>8.2629095439530564E-2</v>
      </c>
      <c r="CJ58" s="4" t="str">
        <f t="shared" si="118"/>
        <v>.</v>
      </c>
      <c r="CK58" s="4">
        <f t="shared" si="119"/>
        <v>7.0853290139449854E-6</v>
      </c>
      <c r="CL58" s="4">
        <f t="shared" si="130"/>
        <v>4.614518185623976E-2</v>
      </c>
      <c r="CM58" s="4">
        <f t="shared" si="130"/>
        <v>3.4886717997797342E-2</v>
      </c>
      <c r="CN58" s="4">
        <f t="shared" si="89"/>
        <v>3.2154124941163015E-2</v>
      </c>
      <c r="CO58" s="4">
        <f t="shared" si="120"/>
        <v>0.39172691798829345</v>
      </c>
      <c r="CP58" s="4">
        <f t="shared" si="120"/>
        <v>3.0653622683232545E-2</v>
      </c>
      <c r="CQ58" s="4" t="str">
        <f t="shared" si="110"/>
        <v>.</v>
      </c>
      <c r="CR58" s="4" t="str">
        <f t="shared" si="111"/>
        <v>.</v>
      </c>
      <c r="CS58" s="4" t="str">
        <f t="shared" si="112"/>
        <v>.</v>
      </c>
      <c r="CU58" s="5">
        <f>IF(CU57=".", ".", IF('Summary, PPI''s'!R58=".",IF(OR('Summary, hourly ad costs'!R58=-9999,'Summary, hourly ad costs'!R58=0), ".", 'Predicted PPIs'!CU57*('Summary, hourly ad costs'!B58/'Summary, hourly ad costs'!R58)/('Summary, hourly ad costs'!B57/'Summary, hourly ad costs'!R57)/(1-CE57)), 'Summary, PPI''s'!R58))</f>
        <v>20.115351410004724</v>
      </c>
      <c r="CV58" s="5">
        <f>IF(CV57=".", ".", IF('Summary, PPI''s'!S58=".",IF(OR('Summary, hourly ad costs'!S58=-9999,'Summary, hourly ad costs'!S58=0), ".", 'Predicted PPIs'!CV57*('Summary, hourly ad costs'!C58/'Summary, hourly ad costs'!S58)/('Summary, hourly ad costs'!C57/'Summary, hourly ad costs'!S57)/(1-CF57)), 'Summary, PPI''s'!S58))</f>
        <v>20.115351410004724</v>
      </c>
      <c r="CW58" s="5" t="str">
        <f>IF(CW57=".", ".", IF('Summary, PPI''s'!T58=".",IF(OR('Summary, hourly ad costs'!T58=-9999,'Summary, hourly ad costs'!T58=0), ".", 'Predicted PPIs'!CW57*('Summary, hourly ad costs'!D58/'Summary, hourly ad costs'!T58)/('Summary, hourly ad costs'!D57/'Summary, hourly ad costs'!T57)/(1-CG57)), 'Summary, PPI''s'!T58))</f>
        <v>.</v>
      </c>
      <c r="CX58" s="5">
        <f>IF(CX57=".", ".", IF('Summary, PPI''s'!U58=".",IF(OR('Summary, hourly ad costs'!U58=-9999,'Summary, hourly ad costs'!U58=0), ".", 'Predicted PPIs'!CX57*('Summary, hourly ad costs'!E58/'Summary, hourly ad costs'!U58)/('Summary, hourly ad costs'!E57/'Summary, hourly ad costs'!U57)/(1-CH57)), 'Summary, PPI''s'!U58))</f>
        <v>7.7587168648996538</v>
      </c>
      <c r="CY58" s="5">
        <f>IF(CY57=".", ".", IF('Summary, PPI''s'!V58=".",IF(OR('Summary, hourly ad costs'!V58=-9999,'Summary, hourly ad costs'!V58=0), ".", 'Predicted PPIs'!CY57*('Summary, hourly ad costs'!F58/'Summary, hourly ad costs'!V58)/('Summary, hourly ad costs'!F57/'Summary, hourly ad costs'!V57)/(1-CI57)), 'Summary, PPI''s'!V58))</f>
        <v>12.932146089082561</v>
      </c>
      <c r="CZ58" s="5">
        <f>IF(CZ57=".", ".", IF('Summary, PPI''s'!W58=".",IF(OR('Summary, hourly ad costs'!W58=-9999,'Summary, hourly ad costs'!W58=0), ".", 'Predicted PPIs'!CZ57*('Summary, hourly ad costs'!G58/'Summary, hourly ad costs'!W58)/('Summary, hourly ad costs'!G57/'Summary, hourly ad costs'!W57)/(1-CJ57)), 'Summary, PPI''s'!W58))</f>
        <v>9.19315370361638</v>
      </c>
      <c r="DA58" s="5">
        <f>IF(DA57=".", ".", IF('Summary, PPI''s'!X58=".",IF(OR('Summary, hourly ad costs'!X58=-9999,'Summary, hourly ad costs'!X58=0), ".", 'Predicted PPIs'!DA57*('Summary, hourly ad costs'!H58/'Summary, hourly ad costs'!X58)/('Summary, hourly ad costs'!H57/'Summary, hourly ad costs'!X57)/(1-CK57)), 'Summary, PPI''s'!X58))</f>
        <v>11.613</v>
      </c>
      <c r="DB58" s="5">
        <f>IF(DB57=".", ".", IF('Summary, PPI''s'!Y58=".",IF(OR('Summary, hourly ad costs'!Y58=-9999,'Summary, hourly ad costs'!Y58=0), ".", 'Predicted PPIs'!DB57*('Summary, hourly ad costs'!I58/'Summary, hourly ad costs'!Y58)/('Summary, hourly ad costs'!I57/'Summary, hourly ad costs'!Y57)/(1-CL57)), 'Summary, PPI''s'!Y58))</f>
        <v>10.492368565656346</v>
      </c>
      <c r="DC58" s="5">
        <f>IF(DC57=".", ".", IF('Summary, PPI''s'!Z58=".",IF(OR('Summary, hourly ad costs'!Z58=-9999,'Summary, hourly ad costs'!Z58=0), ".", 'Predicted PPIs'!DC57*('Summary, hourly ad costs'!J58/'Summary, hourly ad costs'!Z58)/('Summary, hourly ad costs'!J57/'Summary, hourly ad costs'!Z57)/(1-CM57)), 'Summary, PPI''s'!Z58))</f>
        <v>16.716586957484839</v>
      </c>
      <c r="DD58" s="5" t="str">
        <f>IF(DD57=".", ".", IF('Summary, PPI''s'!AA58=".",IF(OR('Summary, hourly ad costs'!AA58=-9999,'Summary, hourly ad costs'!AA58=0), ".", 'Predicted PPIs'!DD57*('Summary, hourly ad costs'!K58/'Summary, hourly ad costs'!AA58)/('Summary, hourly ad costs'!K57/'Summary, hourly ad costs'!AA57)/(1-CN57)), 'Summary, PPI''s'!AA58))</f>
        <v>.</v>
      </c>
      <c r="DE58" s="5" t="str">
        <f>IF(DE57=".", ".", IF('Summary, PPI''s'!AB58=".",IF(OR('Summary, hourly ad costs'!AB58=-9999,'Summary, hourly ad costs'!AB58=0), ".", 'Predicted PPIs'!DE57*('Summary, hourly ad costs'!L58/'Summary, hourly ad costs'!AB58)/('Summary, hourly ad costs'!L57/'Summary, hourly ad costs'!AB57)/(1-CO57)), 'Summary, PPI''s'!AB58))</f>
        <v>.</v>
      </c>
      <c r="DF58" s="5" t="str">
        <f>IF(DF57=".", ".", IF('Summary, PPI''s'!AC58=".",IF(OR('Summary, hourly ad costs'!AC58=-9999,'Summary, hourly ad costs'!AC58=0), ".", 'Predicted PPIs'!DF57*('Summary, hourly ad costs'!M58/'Summary, hourly ad costs'!AC58)/('Summary, hourly ad costs'!M57/'Summary, hourly ad costs'!AC57)/(1-CP57)), 'Summary, PPI''s'!AC58))</f>
        <v>.</v>
      </c>
      <c r="DG58" s="5" t="str">
        <f>IF(DG57=".", ".", IF('Summary, PPI''s'!AD58=".",IF(OR('Summary, hourly ad costs'!AD58=-9999,'Summary, hourly ad costs'!AD58=0), ".", 'Predicted PPIs'!DG57*('Summary, hourly ad costs'!N58/'Summary, hourly ad costs'!AD58)/('Summary, hourly ad costs'!N57/'Summary, hourly ad costs'!AD57)/(1-CQ57)), 'Summary, PPI''s'!AD58))</f>
        <v>.</v>
      </c>
      <c r="DH58" s="5" t="str">
        <f>IF(DH57=".", ".", IF('Summary, PPI''s'!AE58=".",IF(OR('Summary, hourly ad costs'!AE58=-9999,'Summary, hourly ad costs'!AE58=0), ".", 'Predicted PPIs'!DH57*('Summary, hourly ad costs'!O58/'Summary, hourly ad costs'!AE58)/('Summary, hourly ad costs'!O57/'Summary, hourly ad costs'!AE57)/(1-CR57)), 'Summary, PPI''s'!AE58))</f>
        <v>.</v>
      </c>
      <c r="DI58" s="5" t="str">
        <f>IF(DI57=".", ".", IF('Summary, PPI''s'!AF58=".",IF(OR('Summary, hourly ad costs'!AF58=-9999,'Summary, hourly ad costs'!AF58=0), ".", 'Predicted PPIs'!DI57*('Summary, hourly ad costs'!P58/'Summary, hourly ad costs'!AF58)/('Summary, hourly ad costs'!P57/'Summary, hourly ad costs'!AF57)/(1-CS57)), 'Summary, PPI''s'!AF58))</f>
        <v>.</v>
      </c>
      <c r="DK58" s="4">
        <v>7.1349999999999998</v>
      </c>
      <c r="DM58" s="5">
        <f t="shared" si="121"/>
        <v>-6.8583717951816059E-2</v>
      </c>
      <c r="DN58" s="5">
        <f t="shared" si="122"/>
        <v>-6.8583717951816059E-2</v>
      </c>
      <c r="DO58" s="4">
        <f t="shared" si="123"/>
        <v>-2.2427076673673139E-2</v>
      </c>
      <c r="DP58" s="5">
        <f t="shared" si="124"/>
        <v>-2.6456950414484814E-2</v>
      </c>
      <c r="DQ58" s="5">
        <f t="shared" si="125"/>
        <v>-4.2764019473239712E-2</v>
      </c>
      <c r="DR58" s="5">
        <f t="shared" si="126"/>
        <v>-7.2828048353188457E-3</v>
      </c>
      <c r="DS58" s="5">
        <f t="shared" si="127"/>
        <v>4.07694338912159E-2</v>
      </c>
      <c r="DT58" s="5">
        <f t="shared" si="128"/>
        <v>5.2859812504382209E-3</v>
      </c>
      <c r="DU58" s="5">
        <f t="shared" si="129"/>
        <v>1.3410563808030851E-2</v>
      </c>
      <c r="DV58" s="4">
        <f t="shared" si="131"/>
        <v>-1.4056950436241557E-3</v>
      </c>
      <c r="DW58" s="4">
        <f t="shared" si="78"/>
        <v>-0.19356731147198961</v>
      </c>
      <c r="DX58" s="4">
        <f t="shared" si="78"/>
        <v>0.18324042278031527</v>
      </c>
      <c r="DY58" s="4">
        <f t="shared" si="108"/>
        <v>-1.2394588216776487E-2</v>
      </c>
      <c r="DZ58" s="4">
        <f t="shared" si="132"/>
        <v>-5.3148828036407806E-3</v>
      </c>
      <c r="EA58" s="4">
        <f t="shared" si="109"/>
        <v>-7.13066262764501E-3</v>
      </c>
      <c r="EC58" s="1">
        <f t="shared" si="93"/>
        <v>20.115351410004724</v>
      </c>
      <c r="ED58" s="1">
        <f t="shared" si="94"/>
        <v>20.115351410004724</v>
      </c>
      <c r="EE58" s="1">
        <f t="shared" si="95"/>
        <v>13.243572999008887</v>
      </c>
      <c r="EF58" s="1">
        <f t="shared" si="96"/>
        <v>7.7587168648996538</v>
      </c>
      <c r="EG58" s="1">
        <f t="shared" si="97"/>
        <v>12.932146089082561</v>
      </c>
      <c r="EH58" s="1">
        <f t="shared" si="98"/>
        <v>9.19315370361638</v>
      </c>
      <c r="EI58" s="1">
        <f t="shared" si="99"/>
        <v>11.613</v>
      </c>
      <c r="EJ58" s="1">
        <f t="shared" si="100"/>
        <v>10.492368565656346</v>
      </c>
      <c r="EK58" s="1">
        <f t="shared" si="101"/>
        <v>16.716586957484839</v>
      </c>
      <c r="EL58" s="1">
        <f t="shared" si="102"/>
        <v>5.8343608880958149</v>
      </c>
      <c r="EM58" s="1">
        <f t="shared" si="103"/>
        <v>4.6606849900482574</v>
      </c>
      <c r="EN58" s="1">
        <f t="shared" si="104"/>
        <v>4.6549654072604474</v>
      </c>
      <c r="EO58" s="1">
        <f t="shared" si="105"/>
        <v>7.7744817184765047</v>
      </c>
      <c r="EP58" s="1">
        <f t="shared" si="106"/>
        <v>10.1232704699619</v>
      </c>
      <c r="EQ58" s="1">
        <f t="shared" si="107"/>
        <v>7.7823704035039611</v>
      </c>
      <c r="ES58" s="1">
        <f>IF(EF$26=".", 0, 'Summary, PPI''s'!E58)+IF(EG$26=".", 0, 'Summary, PPI''s'!F58)+IF(EH$26=".", 0, 'Summary, PPI''s'!G58)+IF(EI$26=".", 0, 'Summary, PPI''s'!H58)+IF(EJ$26=".", 0, 'Summary, PPI''s'!I58)+IF(EK$26=".", 0, 'Summary, PPI''s'!J58)+IF(EL$26=".", 0, 'Summary, PPI''s'!K58)+IF(EM$26=".", 0, 'Summary, PPI''s'!L58)+IF(EN$26=".", 0, 'Summary, PPI''s'!M58)+IF(EC$26=".", 0, 'Summary, PPI''s'!B58)+IF(ED$26=".", 0, 'Summary, PPI''s'!C58)+IF(EE$26=".", 0, 'Summary, PPI''s'!D58)+IF(EO$26=".", 0, 'Summary, PPI''s'!N58)+IF(EP$26=".", 0, 'Summary, PPI''s'!O58)+IF(EQ$26=".", 0, 'Summary, PPI''s'!P58)</f>
        <v>15718365.838783987</v>
      </c>
      <c r="ET58" s="1">
        <f>'Summary, hourly ad costs'!E58+'Summary, hourly ad costs'!F58+'Summary, hourly ad costs'!H58+'Summary, hourly ad costs'!I58+'Summary, hourly ad costs'!J58+'Summary, hourly ad costs'!K58+'Summary, hourly ad costs'!L58+'Summary, hourly ad costs'!M58+'Summary, hourly ad costs'!B58</f>
        <v>9071726.6810015403</v>
      </c>
      <c r="EV58" s="13">
        <f>EV57*IF(EF$26=".", 1, (EF58/EF57)^(('Summary, PPI''s'!$E58+'Summary, PPI''s'!$E57)/('Predicted PPIs'!ES58+'Predicted PPIs'!ES57)))*IF(EG$26=".", 1, (EG58/EG57)^(('Summary, PPI''s'!$F58+'Summary, PPI''s'!$F57)/('Predicted PPIs'!ES58+'Predicted PPIs'!ES57)))*IF(EH$26=".", 1, (EH58/EH57)^(('Summary, PPI''s'!$G58+'Summary, PPI''s'!$G57)/('Predicted PPIs'!ES58+'Predicted PPIs'!ES57)))*IF(EI$26=".", 1, (EI58/EI57)^(('Summary, PPI''s'!$H58+'Summary, PPI''s'!$H57)/('Predicted PPIs'!ES58+'Predicted PPIs'!ES57)))*IF(EJ$26=".", 1, (EJ58/EJ57)^(('Summary, PPI''s'!$I58+'Summary, PPI''s'!$I57)/('Predicted PPIs'!ES58+'Predicted PPIs'!ES57)))*IF(EK$26=".", 1, (EK58/EK57)^(('Summary, PPI''s'!$J58+'Summary, PPI''s'!$J57)/('Predicted PPIs'!ES58+'Predicted PPIs'!ES57)))*IF(EL$26=".", 1, (EL58/EL57)^(('Summary, PPI''s'!$K58+'Summary, PPI''s'!$K57)/('Predicted PPIs'!ES58+'Predicted PPIs'!ES57)))*IF(EM$26=".", 1, (EM58/EM57)^(('Summary, PPI''s'!$L58+'Summary, PPI''s'!$L57)/('Predicted PPIs'!ES58+'Predicted PPIs'!ES57)))*IF(EN$26=".", 1, (EN58/EN57)^(('Summary, PPI''s'!$M58+'Summary, PPI''s'!$M57)/('Predicted PPIs'!ES58+'Predicted PPIs'!ES57)))*IF(EC$26=".", 1, (EC58/EC57)^(('Summary, PPI''s'!$B58+'Summary, PPI''s'!$B57)/('Predicted PPIs'!ES58+'Predicted PPIs'!ES57)))*IF(ED$26=".", 1, (ED58/ED57)^(('Summary, PPI''s'!$C58+'Summary, PPI''s'!$C57)/('Predicted PPIs'!ES58+'Predicted PPIs'!ES57)))*IF(EE$26=".", 1, (EE58/EE57)^(('Summary, PPI''s'!$D58+'Summary, PPI''s'!$D57)/('Predicted PPIs'!ES58+'Predicted PPIs'!ES57)))*IF(EO$26=".", 1, (EO58/EO57)^(('Summary, PPI''s'!$N58+'Summary, PPI''s'!$N57)/('Predicted PPIs'!ES58+'Predicted PPIs'!ES57)))*IF(EP$26=".", 1, (EP58/EP57)^(('Summary, PPI''s'!$O58+'Summary, PPI''s'!$O57)/('Predicted PPIs'!ES58+'Predicted PPIs'!ES57)))*IF(EQ$26=".", 1, (EQ58/EQ57)^(('Summary, PPI''s'!$P58+'Summary, PPI''s'!$P57)/('Predicted PPIs'!ES58+'Predicted PPIs'!ES57)))</f>
        <v>12.071015136201368</v>
      </c>
      <c r="EW58" s="13">
        <f>EW57*IF(EF$26=".", 1, (EF58/EF57)^(('Summary, PPI''s'!$E58+'Summary, PPI''s'!$E57)/('Predicted PPIs'!ET58+'Predicted PPIs'!ET57)))*IF(EG$26=".", 1, (EG58/EG57)^(('Summary, PPI''s'!$F58+'Summary, PPI''s'!$F57)/('Predicted PPIs'!ET58+'Predicted PPIs'!ET57)))*IF(EH$26=".", 1, (EH58/EH57)^(('Summary, PPI''s'!$G58+'Summary, PPI''s'!$G57)/('Predicted PPIs'!ET58+'Predicted PPIs'!ET57)))*IF(EK$26=".", 1, (EK58/EK57)^(('Summary, PPI''s'!$J58+'Summary, PPI''s'!$J57)/('Predicted PPIs'!ET58+'Predicted PPIs'!ET57)))*IF(EL$26=".", 1, (EL58/EL57)^(('Summary, PPI''s'!$K58+'Summary, PPI''s'!$K57)/('Predicted PPIs'!ET58+'Predicted PPIs'!ET57)))*IF(EM$26=".", 1, (EM58/EM57)^(('Summary, PPI''s'!$L58+'Summary, PPI''s'!$L57)/('Predicted PPIs'!ET58+'Predicted PPIs'!ET57)))*IF(EN$26=".", 1, (EN58/EN57)^(('Summary, PPI''s'!$M58+'Summary, PPI''s'!$M57)/('Predicted PPIs'!ET58+'Predicted PPIs'!ET57)))*IF(EC$26=".", 1, (EC58/EC57)^(('Summary, PPI''s'!$B58+'Summary, PPI''s'!$B57)/('Predicted PPIs'!ET58+'Predicted PPIs'!ET57)))</f>
        <v>15.011147680615963</v>
      </c>
      <c r="EY58" s="2"/>
    </row>
    <row r="59" spans="1:155" x14ac:dyDescent="0.3">
      <c r="A59" s="4">
        <v>1964</v>
      </c>
      <c r="B59" s="10">
        <f>IF(B58=".", ".", IF('Summary, PPI''s'!R59=".",IF(OR('Summary, hourly ad costs'!R59=-9999,'Summary, hourly ad costs'!R59=0), ".", 'Predicted PPIs'!B58*('Summary, hourly ad costs'!B59/'Summary, hourly ad costs'!R59)/('Summary, hourly ad costs'!B58/'Summary, hourly ad costs'!R58)), 'Summary, PPI''s'!R59))</f>
        <v>20.833756817504895</v>
      </c>
      <c r="C59" s="10">
        <f>IF(C58=".", ".", IF('Summary, PPI''s'!S59=".",IF(OR('Summary, hourly ad costs'!S59=-9999,'Summary, hourly ad costs'!S59=0), ".", 'Predicted PPIs'!C58*('Summary, hourly ad costs'!C59/'Summary, hourly ad costs'!S59)/('Summary, hourly ad costs'!C58/'Summary, hourly ad costs'!S58)), 'Summary, PPI''s'!S59))</f>
        <v>20.833756817504895</v>
      </c>
      <c r="D59" s="10" t="str">
        <f>IF(D58=".", ".", IF('Summary, PPI''s'!T59=".",IF(OR('Summary, hourly ad costs'!T59=-9999,'Summary, hourly ad costs'!T59=0), ".", 'Predicted PPIs'!D58*('Summary, hourly ad costs'!D59/'Summary, hourly ad costs'!T59)/('Summary, hourly ad costs'!D58/'Summary, hourly ad costs'!T58)), 'Summary, PPI''s'!T59))</f>
        <v>.</v>
      </c>
      <c r="E59" s="10">
        <f>IF(E58=".", ".", IF('Summary, PPI''s'!U59=".",IF(OR('Summary, hourly ad costs'!U59=-9999,'Summary, hourly ad costs'!U59=0), ".", 'Predicted PPIs'!E58*('Summary, hourly ad costs'!E59/'Summary, hourly ad costs'!U59)/('Summary, hourly ad costs'!E58/'Summary, hourly ad costs'!U58)), 'Summary, PPI''s'!U59))</f>
        <v>7.6880913537757296</v>
      </c>
      <c r="F59" s="10">
        <f>IF(F58=".", ".", IF('Summary, PPI''s'!V59=".",IF(OR('Summary, hourly ad costs'!V59=-9999,'Summary, hourly ad costs'!V59=0), ".", 'Predicted PPIs'!F58*('Summary, hourly ad costs'!F59/'Summary, hourly ad costs'!V59)/('Summary, hourly ad costs'!F58/'Summary, hourly ad costs'!V58)), 'Summary, PPI''s'!V59))</f>
        <v>13.032729447553203</v>
      </c>
      <c r="G59" s="10">
        <f>IF(G58=".", ".", IF('Summary, PPI''s'!W59=".",IF(OR('Summary, hourly ad costs'!W59=-9999,'Summary, hourly ad costs'!W59=0), ".", 'Predicted PPIs'!G58*('Summary, hourly ad costs'!G59/'Summary, hourly ad costs'!W59)/('Summary, hourly ad costs'!G58/'Summary, hourly ad costs'!W58)), 'Summary, PPI''s'!W59))</f>
        <v>8.9335231860225974</v>
      </c>
      <c r="H59" s="10">
        <f>IF(H58=".", ".", IF('Summary, PPI''s'!X59=".",IF(OR('Summary, hourly ad costs'!X59=-9999,'Summary, hourly ad costs'!X59=0), ".", 'Predicted PPIs'!H58*('Summary, hourly ad costs'!H59/'Summary, hourly ad costs'!X59)/('Summary, hourly ad costs'!H58/'Summary, hourly ad costs'!X58)), 'Summary, PPI''s'!X59))</f>
        <v>10.763999999999999</v>
      </c>
      <c r="I59" s="10">
        <f>IF(I58=".", ".", IF('Summary, PPI''s'!Y59=".",IF(OR('Summary, hourly ad costs'!Y59=-9999,'Summary, hourly ad costs'!Y59=0), ".", 'Predicted PPIs'!I58*('Summary, hourly ad costs'!I59/'Summary, hourly ad costs'!Y59)/('Summary, hourly ad costs'!I58/'Summary, hourly ad costs'!Y58)), 'Summary, PPI''s'!Y59))</f>
        <v>9.2013587457294932</v>
      </c>
      <c r="J59" s="10">
        <f>IF(J58=".", ".", IF('Summary, PPI''s'!Z59=".",IF(OR('Summary, hourly ad costs'!Z59=-9999,'Summary, hourly ad costs'!Z59=0), ".", 'Predicted PPIs'!J58*('Summary, hourly ad costs'!J59/'Summary, hourly ad costs'!Z59)/('Summary, hourly ad costs'!J58/'Summary, hourly ad costs'!Z58)), 'Summary, PPI''s'!Z59))</f>
        <v>12.404336353898014</v>
      </c>
      <c r="K59" s="10" t="str">
        <f>IF(K58=".", ".", IF('Summary, PPI''s'!AA59=".",IF(OR('Summary, hourly ad costs'!AA59=-9999,'Summary, hourly ad costs'!AA59=0), ".", 'Predicted PPIs'!K58*('Summary, hourly ad costs'!K59/'Summary, hourly ad costs'!AA59)/('Summary, hourly ad costs'!K58/'Summary, hourly ad costs'!AA58)), 'Summary, PPI''s'!AA59))</f>
        <v>.</v>
      </c>
      <c r="L59" s="10" t="str">
        <f>IF(L58=".", ".", IF('Summary, PPI''s'!AB59=".",IF(OR('Summary, hourly ad costs'!AB59=-9999,'Summary, hourly ad costs'!AB59=0), ".", 'Predicted PPIs'!L58*('Summary, hourly ad costs'!L59/'Summary, hourly ad costs'!AB59)/('Summary, hourly ad costs'!L58/'Summary, hourly ad costs'!AB58)), 'Summary, PPI''s'!AB59))</f>
        <v>.</v>
      </c>
      <c r="M59" s="10" t="str">
        <f>IF(M58=".", ".", IF('Summary, PPI''s'!AC59=".",IF(OR('Summary, hourly ad costs'!AC59=-9999,'Summary, hourly ad costs'!AC59=0), ".", 'Predicted PPIs'!M58*('Summary, hourly ad costs'!M59/'Summary, hourly ad costs'!AC59)/('Summary, hourly ad costs'!M58/'Summary, hourly ad costs'!AC58)), 'Summary, PPI''s'!AC59))</f>
        <v>.</v>
      </c>
      <c r="N59" s="10" t="str">
        <f>IF(N58=".", ".", IF('Summary, PPI''s'!AD59=".",IF(OR('Summary, hourly ad costs'!AD59=-9999,'Summary, hourly ad costs'!AD59=0), ".", 'Predicted PPIs'!N58*('Summary, hourly ad costs'!N59/'Summary, hourly ad costs'!AD59)/('Summary, hourly ad costs'!N58/'Summary, hourly ad costs'!AD58)), 'Summary, PPI''s'!AD59))</f>
        <v>.</v>
      </c>
      <c r="O59" s="10" t="str">
        <f>IF(O58=".", ".", IF('Summary, PPI''s'!AE59=".",IF(OR('Summary, hourly ad costs'!AE59=-9999,'Summary, hourly ad costs'!AE59=0), ".", 'Predicted PPIs'!O58*('Summary, hourly ad costs'!O59/'Summary, hourly ad costs'!AE59)/('Summary, hourly ad costs'!O58/'Summary, hourly ad costs'!AE58)), 'Summary, PPI''s'!AE59))</f>
        <v>.</v>
      </c>
      <c r="P59" s="10" t="str">
        <f>IF(P58=".", ".", IF('Summary, PPI''s'!AF59=".",IF(OR('Summary, hourly ad costs'!AF59=-9999,'Summary, hourly ad costs'!AF59=0), ".", 'Predicted PPIs'!P58*('Summary, hourly ad costs'!P59/'Summary, hourly ad costs'!AF59)/('Summary, hourly ad costs'!P58/'Summary, hourly ad costs'!AF58)), 'Summary, PPI''s'!AF59))</f>
        <v>.</v>
      </c>
      <c r="R59" s="1">
        <f>IF(E$26=".", 0, 'Summary, PPI''s'!E59)+IF(F$26=".", 0, 'Summary, PPI''s'!F59)+IF(G$26=".", 0, 'Summary, PPI''s'!G59)+IF(H$26=".", 0, 'Summary, PPI''s'!H59)+IF(I$26=".", 0, 'Summary, PPI''s'!I59)+IF(J$26=".", 0, 'Summary, PPI''s'!J59)+IF(K$26=".", 0, 'Summary, PPI''s'!K59)+IF(L$26=".", 0, 'Summary, PPI''s'!L59)+IF(M$26=".", 0, 'Summary, PPI''s'!M59)+IF(B$26=".", 0, 'Summary, PPI''s'!B59)+IF(C$26=".", 0, 'Summary, PPI''s'!C59)+IF(D$26=".", 0, 'Summary, PPI''s'!D59)+IF(N$26=".", 0, 'Summary, PPI''s'!N59)+IF(O$26=".", 0, 'Summary, PPI''s'!O59)+IF(P$26=".", 0, 'Summary, PPI''s'!P59)</f>
        <v>14536943.648487916</v>
      </c>
      <c r="S59" s="1">
        <f>IF(E$36=".", 0, 'Summary, PPI''s'!E59)+IF(F$36=".", 0, 'Summary, PPI''s'!F59)+IF(G$36=".", 0, 'Summary, PPI''s'!G59)+IF(H$36=".", 0, 'Summary, PPI''s'!H59)+IF(I$36=".", 0, 'Summary, PPI''s'!I59)+IF(J$36=".", 0, 'Summary, PPI''s'!J59)+IF(K$36=".", 0, 'Summary, PPI''s'!K59)+IF(L$36=".", 0, 'Summary, PPI''s'!L59)+IF(M$36=".", 0, 'Summary, PPI''s'!M59)+IF(B$36=".", 0, 'Summary, PPI''s'!B59)+IF(C$36=".", 0, 'Summary, PPI''s'!C59)+IF(D$36=".", 0, 'Summary, PPI''s'!D59)+IF(N$36=".", 0, 'Summary, PPI''s'!N59)+IF(O$36=".", 0, 'Summary, PPI''s'!O59)+IF(P$36=".", 0, 'Summary, PPI''s'!P59)</f>
        <v>14536943.648487916</v>
      </c>
      <c r="T59" s="1">
        <f>IF(E$46=".", 0, 'Summary, PPI''s'!E59)+IF(F$46=".", 0, 'Summary, PPI''s'!F59)+IF(G$46=".", 0, 'Summary, PPI''s'!G59)+IF(H$46=".", 0, 'Summary, PPI''s'!H59)+IF(I$46=".", 0, 'Summary, PPI''s'!I59)+IF(J$46=".", 0, 'Summary, PPI''s'!J59)+IF(K$46=".", 0, 'Summary, PPI''s'!K59)+IF(L$46=".", 0, 'Summary, PPI''s'!L59)+IF(M$46=".", 0, 'Summary, PPI''s'!M59)+IF(B$46=".", 0, 'Summary, PPI''s'!B59)+IF(C$46=".", 0, 'Summary, PPI''s'!C59)+IF(D$46=".", 0, 'Summary, PPI''s'!D59)+IF(N$46=".", 0, 'Summary, PPI''s'!N59)+IF(O$46=".", 0, 'Summary, PPI''s'!O59)+IF(P$46=".", 0, 'Summary, PPI''s'!P59)</f>
        <v>10616984.732733555</v>
      </c>
      <c r="U59" s="1">
        <f>IF(E$60=".", 0, 'Summary, PPI''s'!E59)+IF(F$60=".", 0, 'Summary, PPI''s'!F59)+IF(G$60=".", 0, 'Summary, PPI''s'!G59)+IF(H$60=".", 0, 'Summary, PPI''s'!H59)+IF(I$60=".", 0, 'Summary, PPI''s'!I59)+IF(J$60=".", 0, 'Summary, PPI''s'!J59)+IF(K$60=".", 0, 'Summary, PPI''s'!K59)+IF(L$60=".", 0, 'Summary, PPI''s'!L59)+IF(M$60=".", 0, 'Summary, PPI''s'!M59)+IF(B$60=".", 0, 'Summary, PPI''s'!B59)+IF(C$60=".", 0, 'Summary, PPI''s'!C59)+IF(D$60=".", 0, 'Summary, PPI''s'!D59)+IF(N$60=".", 0, 'Summary, PPI''s'!N59)+IF(O$60=".", 0, 'Summary, PPI''s'!O59)+IF(P$60=".", 0, 'Summary, PPI''s'!P59)</f>
        <v>9587226.7156008855</v>
      </c>
      <c r="V59" s="1">
        <f>IF(E$73=".", 0, 'Summary, PPI''s'!E59)+IF(F$73=".", 0, 'Summary, PPI''s'!F59)+IF(G$73=".", 0, 'Summary, PPI''s'!G59)+IF(H$73=".", 0, 'Summary, PPI''s'!H59)+IF(I$73=".", 0, 'Summary, PPI''s'!I59)+IF(J$73=".", 0, 'Summary, PPI''s'!J59)+IF(K$73=".", 0, 'Summary, PPI''s'!K59)+IF(L$73=".", 0, 'Summary, PPI''s'!L59)+IF(M$73=".", 0, 'Summary, PPI''s'!M59)+IF(B$73=".", 0, 'Summary, PPI''s'!B59)+IF(C$73=".", 0, 'Summary, PPI''s'!C59)+IF(D$73=".", 0, 'Summary, PPI''s'!D59)+IF(N$73=".", 0, 'Summary, PPI''s'!N59)+IF(O$73=".", 0, 'Summary, PPI''s'!O59)+IF(P$73=".", 0, 'Summary, PPI''s'!P59)</f>
        <v>8310049.4838090157</v>
      </c>
      <c r="W59" s="1">
        <f>IF(E$94=".",0,'Summary, PPI''s'!E59)+IF(F$94=".",0,'Summary, PPI''s'!F59)+IF(G$94=".",0,'Summary, PPI''s'!G59)+IF(H$94=".",0,'Summary, PPI''s'!H59)+IF(I$94=".",0,'Summary, PPI''s'!I59)+IF(J$94=".",0,'Summary, PPI''s'!J59)+IF(K$94=".",0,'Summary, PPI''s'!K59)+IF(L$94=".",0,'Summary, PPI''s'!L59)+IF(M$94=".",0,'Summary, PPI''s'!M59)+IF(B$94=".",0,'Summary, PPI''s'!B59)+IF(C$94=".",0,'Summary, PPI''s'!C59)+IF(D$94=".",0,'Summary, PPI''s'!D59)+IF(N$94=".",0,'Summary, PPI''s'!N59)+IF(O$94=".",0,'Summary, PPI''s'!O59)+IF(P$94=".",0,'Summary, PPI''s'!P59)</f>
        <v>6596033.5678379396</v>
      </c>
      <c r="X59" s="1">
        <f>IF(E$123=".", 0, 'Summary, PPI''s'!E59)+IF(F$123=".", 0, 'Summary, PPI''s'!F59)+IF(G$123=".", 0, 'Summary, PPI''s'!G59)+IF(H$123=".", 0, 'Summary, PPI''s'!H59)+IF(I$123=".", 0, 'Summary, PPI''s'!I59)+IF(J$123=".", 0, 'Summary, PPI''s'!J59)+IF(K$123=".", 0, 'Summary, PPI''s'!K59)+IF(L$123=".", 0, 'Summary, PPI''s'!L59)+IF(M$123=".", 0, 'Summary, PPI''s'!M59)+IF(B$123=".", 0, 'Summary, PPI''s'!B59)+IF(C$123=".", 0, 'Summary, PPI''s'!C59)+IF(D$123=".", 0, 'Summary, PPI''s'!D59)+IF(N$123=".", 0, 'Summary, PPI''s'!N59)+IF(O$123=".", 0, 'Summary, PPI''s'!O59)+IF(P$123=".", 0, 'Summary, PPI''s'!P59)</f>
        <v>5924030.7638355447</v>
      </c>
      <c r="Z59" s="4" t="e">
        <f>Z58*IF(E$26=".", 1, (E59/E58)^(('Summary, PPI''s'!$E59+'Summary, PPI''s'!$E58)/('Predicted PPIs'!R59+'Predicted PPIs'!R58)))*IF(F$26=".", 1, (F59/F58)^(('Summary, PPI''s'!$F59+'Summary, PPI''s'!$F58)/('Predicted PPIs'!R59+'Predicted PPIs'!R58)))*IF(G$26=".", 1, (G59/G58)^(('Summary, PPI''s'!$G59+'Summary, PPI''s'!$G58)/('Predicted PPIs'!R59+'Predicted PPIs'!R58)))*IF(H$26=".", 1, (H59/H58)^(('Summary, PPI''s'!$H59+'Summary, PPI''s'!$H58)/('Predicted PPIs'!R59+'Predicted PPIs'!R58)))*IF(I$26=".", 1, (I59/I58)^(('Summary, PPI''s'!$I59+'Summary, PPI''s'!$I58)/('Predicted PPIs'!R59+'Predicted PPIs'!R58)))*IF(J$26=".", 1, (J59/J58)^(('Summary, PPI''s'!$J59+'Summary, PPI''s'!$J58)/('Predicted PPIs'!R59+'Predicted PPIs'!R58)))*IF(K$26=".", 1, (K59/K58)^(('Summary, PPI''s'!$K59+'Summary, PPI''s'!$K58)/('Predicted PPIs'!R59+'Predicted PPIs'!R58)))*IF(L$26=".", 1, (L59/L58)^(('Summary, PPI''s'!$L59+'Summary, PPI''s'!$L58)/('Predicted PPIs'!R59+'Predicted PPIs'!R58)))*IF(M$26=".", 1, (M59/M58)^(('Summary, PPI''s'!$M59+'Summary, PPI''s'!$M58)/('Predicted PPIs'!R59+'Predicted PPIs'!R58)))*IF(B$26=".", 1, (B59/B58)^(('Summary, PPI''s'!$B59+'Summary, PPI''s'!$B58)/('Predicted PPIs'!R59+'Predicted PPIs'!R58)))*IF(C$26=".", 1, (C59/C58)^(('Summary, PPI''s'!$C59+'Summary, PPI''s'!$C58)/('Predicted PPIs'!R59+'Predicted PPIs'!R58)))*IF(D$26=".", 1, (D59/D58)^(('Summary, PPI''s'!$D59+'Summary, PPI''s'!$D58)/('Predicted PPIs'!R59+'Predicted PPIs'!R58)))*IF(N$26=".", 1, (N59/N58)^(('Summary, PPI''s'!$N59+'Summary, PPI''s'!$N58)/('Predicted PPIs'!R59+'Predicted PPIs'!R58)))*IF(O$26=".", 1, (O59/O58)^(('Summary, PPI''s'!$O59+'Summary, PPI''s'!$O58)/('Predicted PPIs'!R59+'Predicted PPIs'!R58)))*IF(P$26=".", 1, (P59/P58)^(('Summary, PPI''s'!$P59+'Summary, PPI''s'!$P58)/('Predicted PPIs'!R59+'Predicted PPIs'!R58)))</f>
        <v>#VALUE!</v>
      </c>
      <c r="AA59" s="4" t="e">
        <f>AA58*IF(E$36=".", 1, (E59/E58)^(('Summary, PPI''s'!$E59+'Summary, PPI''s'!$E58)/('Predicted PPIs'!S59+'Predicted PPIs'!S58)))*IF(F$36=".", 1, (F59/F58)^(('Summary, PPI''s'!$F59+'Summary, PPI''s'!$F58)/('Predicted PPIs'!S59+'Predicted PPIs'!S58)))*IF(G$36=".", 1, (G59/G58)^(('Summary, PPI''s'!$G59+'Summary, PPI''s'!$G58)/('Predicted PPIs'!S59+'Predicted PPIs'!S58)))*IF(H$36=".", 1, (H59/H58)^(('Summary, PPI''s'!$H59+'Summary, PPI''s'!$H58)/('Predicted PPIs'!S59+'Predicted PPIs'!S58)))*IF(I$36=".", 1, (I59/I58)^(('Summary, PPI''s'!$I59+'Summary, PPI''s'!$I58)/('Predicted PPIs'!S59+'Predicted PPIs'!S58)))*IF(J$36=".", 1, (J59/J58)^(('Summary, PPI''s'!$J59+'Summary, PPI''s'!$J58)/('Predicted PPIs'!S59+'Predicted PPIs'!S58)))*IF(K$36=".", 1, (K59/K58)^(('Summary, PPI''s'!$K59+'Summary, PPI''s'!$K58)/('Predicted PPIs'!S59+'Predicted PPIs'!S58)))*IF(L$36=".", 1, (L59/L58)^(('Summary, PPI''s'!$L59+'Summary, PPI''s'!$L58)/('Predicted PPIs'!S59+'Predicted PPIs'!S58)))*IF(M$36=".", 1, (M59/M58)^(('Summary, PPI''s'!$M59+'Summary, PPI''s'!$M58)/('Predicted PPIs'!S59+'Predicted PPIs'!S58)))*IF(B$36=".", 1, (B59/B58)^(('Summary, PPI''s'!$B59+'Summary, PPI''s'!$B58)/('Predicted PPIs'!S59+'Predicted PPIs'!S58)))*IF(C$36=".", 1, (C59/C58)^(('Summary, PPI''s'!$C59+'Summary, PPI''s'!$C58)/('Predicted PPIs'!S59+'Predicted PPIs'!S58)))*IF(D$36=".", 1, (D59/D58)^(('Summary, PPI''s'!$D59+'Summary, PPI''s'!$D58)/('Predicted PPIs'!S59+'Predicted PPIs'!S58)))*IF(N$36=".", 1, (N59/N58)^(('Summary, PPI''s'!$N59+'Summary, PPI''s'!$N58)/('Predicted PPIs'!S59+'Predicted PPIs'!S58)))*IF(O$36=".", 1, (O59/O58)^(('Summary, PPI''s'!$O59+'Summary, PPI''s'!$O58)/('Predicted PPIs'!S59+'Predicted PPIs'!S58)))*IF(P$36=".", 1, (P59/P58)^(('Summary, PPI''s'!$P59+'Summary, PPI''s'!$P58)/('Predicted PPIs'!S59+'Predicted PPIs'!S58)))</f>
        <v>#VALUE!</v>
      </c>
      <c r="AB59" s="4" t="e">
        <f>AB58*IF(E$46=".", 1, (E59/E58)^(('Summary, PPI''s'!$E59+'Summary, PPI''s'!$E58)/('Predicted PPIs'!T59+'Predicted PPIs'!T58)))*IF(F$46=".", 1, (F59/F58)^(('Summary, PPI''s'!$F59+'Summary, PPI''s'!$F58)/('Predicted PPIs'!T59+'Predicted PPIs'!T58)))*IF(G$46=".", 1, (G59/G58)^(('Summary, PPI''s'!$G59+'Summary, PPI''s'!$G58)/('Predicted PPIs'!T59+'Predicted PPIs'!T58)))*IF(H$46=".", 1, (H59/H58)^(('Summary, PPI''s'!$H59+'Summary, PPI''s'!$H58)/('Predicted PPIs'!T59+'Predicted PPIs'!T58)))*IF(I$46=".", 1, (I59/I58)^(('Summary, PPI''s'!$I59+'Summary, PPI''s'!$I58)/('Predicted PPIs'!T59+'Predicted PPIs'!T58)))*IF(J$46=".", 1, (J59/J58)^(('Summary, PPI''s'!$J59+'Summary, PPI''s'!$J58)/('Predicted PPIs'!T59+'Predicted PPIs'!T58)))*IF(K$46=".", 1, (K59/K58)^(('Summary, PPI''s'!$K59+'Summary, PPI''s'!$K58)/('Predicted PPIs'!T59+'Predicted PPIs'!T58)))*IF(L$46=".", 1, (L59/L58)^(('Summary, PPI''s'!$L59+'Summary, PPI''s'!$L58)/('Predicted PPIs'!T59+'Predicted PPIs'!T58)))*IF(M$46=".", 1, (M59/M58)^(('Summary, PPI''s'!$M59+'Summary, PPI''s'!$M58)/('Predicted PPIs'!T59+'Predicted PPIs'!T58)))*IF(B$46=".", 1, (B59/B58)^(('Summary, PPI''s'!$B59+'Summary, PPI''s'!$B58)/('Predicted PPIs'!T59+'Predicted PPIs'!T58)))*IF(C$46=".", 1, (C59/C58)^(('Summary, PPI''s'!$C59+'Summary, PPI''s'!$C58)/('Predicted PPIs'!T59+'Predicted PPIs'!T58)))*IF(D$46=".", 1, (D59/D58)^(('Summary, PPI''s'!$D59+'Summary, PPI''s'!$D58)/('Predicted PPIs'!T59+'Predicted PPIs'!T58)))*IF(N$46=".", 1, (N59/N58)^(('Summary, PPI''s'!$N59+'Summary, PPI''s'!$N58)/('Predicted PPIs'!T59+'Predicted PPIs'!T58)))*IF(O$46=".", 1, (O59/O58)^(('Summary, PPI''s'!$O59+'Summary, PPI''s'!$O58)/('Predicted PPIs'!T59+'Predicted PPIs'!T58)))*IF(P$46=".", 1, (P59/P58)^(('Summary, PPI''s'!$P59+'Summary, PPI''s'!$P58)/('Predicted PPIs'!T59+'Predicted PPIs'!T58)))</f>
        <v>#VALUE!</v>
      </c>
      <c r="AC59" s="4">
        <f>AC58*IF(E$60=".",1,(E59/E58)^(('Summary, PPI''s'!$E59+'Summary, PPI''s'!$E58)/('Predicted PPIs'!U59+'Predicted PPIs'!U58)))*IF(F$60=".",1,(F59/F58)^(('Summary, PPI''s'!$F59+'Summary, PPI''s'!$F58)/('Predicted PPIs'!U59+'Predicted PPIs'!U58)))*IF(G$60=".",1,(G59/G58)^(('Summary, PPI''s'!$G59+'Summary, PPI''s'!$G58)/('Predicted PPIs'!U59+'Predicted PPIs'!U58)))*IF(H$60=".",1,(H59/H58)^(('Summary, PPI''s'!$H59+'Summary, PPI''s'!$H58)/('Predicted PPIs'!U59+'Predicted PPIs'!U58)))*IF(I$60=".",1,(I59/I58)^(('Summary, PPI''s'!$I59+'Summary, PPI''s'!$I58)/('Predicted PPIs'!U59+'Predicted PPIs'!U58)))*IF(J$60=".",1,(J59/J58)^(('Summary, PPI''s'!$J59+'Summary, PPI''s'!$J58)/('Predicted PPIs'!U59+'Predicted PPIs'!U58)))*IF(K$60=".",1,(K59/K58)^(('Summary, PPI''s'!$K59+'Summary, PPI''s'!$K58)/('Predicted PPIs'!U59+'Predicted PPIs'!U58)))*IF(L$60=".",1,(L59/L58)^(('Summary, PPI''s'!$L59+'Summary, PPI''s'!$L58)/('Predicted PPIs'!U59+'Predicted PPIs'!U58)))*IF(M$60=".",1,(M59/M58)^(('Summary, PPI''s'!$M59+'Summary, PPI''s'!$M58)/('Predicted PPIs'!U59+'Predicted PPIs'!U58)))*IF(B$60=".",1,(B59/B58)^(('Summary, PPI''s'!$B59+'Summary, PPI''s'!$B58)/('Predicted PPIs'!U59+'Predicted PPIs'!U58)))*IF(C$60=".",1,(C59/C58)^(('Summary, PPI''s'!$C59+'Summary, PPI''s'!$C58)/('Predicted PPIs'!U59+'Predicted PPIs'!U58)))*IF(D$60=".",1,(D59/D58)^(('Summary, PPI''s'!$D59+'Summary, PPI''s'!$D58)/('Predicted PPIs'!U59+'Predicted PPIs'!U58)))*IF(N$60=".",1,(N59/N58)^(('Summary, PPI''s'!$N59+'Summary, PPI''s'!$N58)/('Predicted PPIs'!U59+'Predicted PPIs'!U58)))*IF(O$60=".",1,(O59/O58)^(('Summary, PPI''s'!$O59+'Summary, PPI''s'!$O58)/('Predicted PPIs'!U59+'Predicted PPIs'!U58)))*IF(P$60=".",1,(P59/P58)^(('Summary, PPI''s'!$P59+'Summary, PPI''s'!$P58)/('Predicted PPIs'!U59+'Predicted PPIs'!U58)))</f>
        <v>11.841238416689658</v>
      </c>
      <c r="AD59" s="4">
        <f>AD58*IF(E$73=".", 1, (E59/E58)^(('Summary, PPI''s'!$E59+'Summary, PPI''s'!$E58)/('Predicted PPIs'!V59+'Predicted PPIs'!V58)))*IF(F$73=".", 1, (F59/F58)^(('Summary, PPI''s'!$F59+'Summary, PPI''s'!$F58)/('Predicted PPIs'!V59+'Predicted PPIs'!V58)))*IF(G$73=".", 1, (G59/G58)^(('Summary, PPI''s'!$G59+'Summary, PPI''s'!$G58)/('Predicted PPIs'!V59+'Predicted PPIs'!V58)))*IF(H$73=".", 1, (H59/H58)^(('Summary, PPI''s'!$H59+'Summary, PPI''s'!$H58)/('Predicted PPIs'!V59+'Predicted PPIs'!V58)))*IF(I$73=".", 1, (I59/I58)^(('Summary, PPI''s'!$I59+'Summary, PPI''s'!$I58)/('Predicted PPIs'!V59+'Predicted PPIs'!V58)))*IF(J$73=".", 1, (J59/J58)^(('Summary, PPI''s'!$J59+'Summary, PPI''s'!$J58)/('Predicted PPIs'!V59+'Predicted PPIs'!V58)))*IF(K$73=".", 1, (K59/K58)^(('Summary, PPI''s'!$K59+'Summary, PPI''s'!$K58)/('Predicted PPIs'!V59+'Predicted PPIs'!V58)))*IF(L$73=".", 1, (L59/L58)^(('Summary, PPI''s'!$L59+'Summary, PPI''s'!$L58)/('Predicted PPIs'!V59+'Predicted PPIs'!V58)))*IF(M$73=".", 1, (M59/M58)^(('Summary, PPI''s'!$M59+'Summary, PPI''s'!$M58)/('Predicted PPIs'!V59+'Predicted PPIs'!V58)))*IF(B$73=".", 1, (B59/B58)^(('Summary, PPI''s'!$B59+'Summary, PPI''s'!$B58)/('Predicted PPIs'!V59+'Predicted PPIs'!V58)))*IF(C$73=".", 1, (C59/C58)^(('Summary, PPI''s'!$C59+'Summary, PPI''s'!$C58)/('Predicted PPIs'!V59+'Predicted PPIs'!V58)))*IF(D$73=".", 1, (D59/D58)^(('Summary, PPI''s'!$D59+'Summary, PPI''s'!$D58)/('Predicted PPIs'!V59+'Predicted PPIs'!V58)))*IF(N$73=".", 1, (N59/N58)^(('Summary, PPI''s'!$N59+'Summary, PPI''s'!$N58)/('Predicted PPIs'!V59+'Predicted PPIs'!V58)))*IF(O$73=".", 1, (O59/O58)^(('Summary, PPI''s'!$O59+'Summary, PPI''s'!$O58)/('Predicted PPIs'!V59+'Predicted PPIs'!V58)))*IF(P$73=".", 1, (P59/P58)^(('Summary, PPI''s'!$P59+'Summary, PPI''s'!$P58)/('Predicted PPIs'!V59+'Predicted PPIs'!V58)))</f>
        <v>11.327320789151058</v>
      </c>
      <c r="AE59" s="4">
        <f>AE58*IF(E$94=".", 1, (E59/E58)^(('Summary, PPI''s'!$E59+'Summary, PPI''s'!$E58)/('Predicted PPIs'!W59+'Predicted PPIs'!W58)))*IF(F$94=".", 1, (F59/F58)^(('Summary, PPI''s'!$F59+'Summary, PPI''s'!$F58)/('Predicted PPIs'!W59+'Predicted PPIs'!W58)))*IF(G$94=".", 1, (G59/G58)^(('Summary, PPI''s'!$G59+'Summary, PPI''s'!$G58)/('Predicted PPIs'!W59+'Predicted PPIs'!W58)))*IF(H$94=".", 1, (H59/H58)^(('Summary, PPI''s'!$H59+'Summary, PPI''s'!$H58)/('Predicted PPIs'!W59+'Predicted PPIs'!W58)))*IF(I$94=".", 1, (I59/I58)^(('Summary, PPI''s'!$I59+'Summary, PPI''s'!$I58)/('Predicted PPIs'!W59+'Predicted PPIs'!W58)))*IF(J$94=".", 1, (J59/J58)^(('Summary, PPI''s'!$J59+'Summary, PPI''s'!$J58)/('Predicted PPIs'!W59+'Predicted PPIs'!W58)))*IF(K$94=".", 1, (K59/K58)^(('Summary, PPI''s'!$K59+'Summary, PPI''s'!$K58)/('Predicted PPIs'!W59+'Predicted PPIs'!W58)))*IF(L$94=".", 1, (L59/L58)^(('Summary, PPI''s'!$L59+'Summary, PPI''s'!$L58)/('Predicted PPIs'!W59+'Predicted PPIs'!W58)))*IF(M$94=".", 1, (M59/M58)^(('Summary, PPI''s'!$M59+'Summary, PPI''s'!$M58)/('Predicted PPIs'!W59+'Predicted PPIs'!W58)))*IF(B$94=".", 1, (B59/B58)^(('Summary, PPI''s'!$B59+'Summary, PPI''s'!$B58)/('Predicted PPIs'!W59+'Predicted PPIs'!W58)))*IF(C$94=".", 1, (C59/C58)^(('Summary, PPI''s'!$C59+'Summary, PPI''s'!$C58)/('Predicted PPIs'!W59+'Predicted PPIs'!W58)))*IF(D$94=".", 1, (D59/D58)^(('Summary, PPI''s'!$D59+'Summary, PPI''s'!$D58)/('Predicted PPIs'!W59+'Predicted PPIs'!W58)))*IF(N$94=".", 1, (N59/N58)^(('Summary, PPI''s'!$N59+'Summary, PPI''s'!$N58)/('Predicted PPIs'!W59+'Predicted PPIs'!W58)))*IF(O$94=".", 1, (O59/O58)^(('Summary, PPI''s'!$O59+'Summary, PPI''s'!$O58)/('Predicted PPIs'!W59+'Predicted PPIs'!W58)))*IF(P$94=".", 1, (P59/P58)^(('Summary, PPI''s'!$P59+'Summary, PPI''s'!$P58)/('Predicted PPIs'!W59+'Predicted PPIs'!W58)))</f>
        <v>10.357551582452061</v>
      </c>
      <c r="AF59" s="4">
        <f>AF58*IF(E$123=".", 1, (E59/E58)^(('Summary, PPI''s'!$E59+'Summary, PPI''s'!$E58)/('Predicted PPIs'!X59+'Predicted PPIs'!X58)))*IF(F$123=".", 1, (F59/F58)^(('Summary, PPI''s'!$F59+'Summary, PPI''s'!$F58)/('Predicted PPIs'!X59+'Predicted PPIs'!X58)))*IF(G$123=".", 1, (G59/G58)^(('Summary, PPI''s'!$G59+'Summary, PPI''s'!$G58)/('Predicted PPIs'!X59+'Predicted PPIs'!X58)))*IF(H$123=".", 1, (H59/H58)^(('Summary, PPI''s'!$H59+'Summary, PPI''s'!$H58)/('Predicted PPIs'!X59+'Predicted PPIs'!X58)))*IF(I$123=".", 1, (I59/I58)^(('Summary, PPI''s'!$I59+'Summary, PPI''s'!$I58)/('Predicted PPIs'!X59+'Predicted PPIs'!X58)))*IF(J$123=".", 1, (J59/J58)^(('Summary, PPI''s'!$J59+'Summary, PPI''s'!$J58)/('Predicted PPIs'!X59+'Predicted PPIs'!X58)))*IF(K$123=".", 1, (K59/K58)^(('Summary, PPI''s'!$K59+'Summary, PPI''s'!$K58)/('Predicted PPIs'!X59+'Predicted PPIs'!X58)))*IF(L$123=".", 1, (L59/L58)^(('Summary, PPI''s'!$L59+'Summary, PPI''s'!$L58)/('Predicted PPIs'!X59+'Predicted PPIs'!X58)))*IF(M$123=".", 1, (M59/M58)^(('Summary, PPI''s'!$M59+'Summary, PPI''s'!$M58)/('Predicted PPIs'!X59+'Predicted PPIs'!X58)))*IF(B$123=".", 1, (B59/B58)^(('Summary, PPI''s'!$B59+'Summary, PPI''s'!$B58)/('Predicted PPIs'!X59+'Predicted PPIs'!X58)))*IF(C$123=".", 1, (C59/C58)^(('Summary, PPI''s'!$C59+'Summary, PPI''s'!$C58)/('Predicted PPIs'!X59+'Predicted PPIs'!X58)))*IF(D$123=".", 1, (D59/D58)^(('Summary, PPI''s'!$D59+'Summary, PPI''s'!$D58)/('Predicted PPIs'!X59+'Predicted PPIs'!X58)))*IF(N$123=".", 1, (N59/N58)^(('Summary, PPI''s'!$N59+'Summary, PPI''s'!$N58)/('Predicted PPIs'!X59+'Predicted PPIs'!X58)))*IF(O$123=".", 1, (O59/O58)^(('Summary, PPI''s'!$O59+'Summary, PPI''s'!$O58)/('Predicted PPIs'!X59+'Predicted PPIs'!X58)))*IF(P$123=".", 1, (P59/P58)^(('Summary, PPI''s'!$P59+'Summary, PPI''s'!$P58)/('Predicted PPIs'!X59+'Predicted PPIs'!X58)))</f>
        <v>9.9761668592256338</v>
      </c>
      <c r="AH59" s="13">
        <f t="shared" si="91"/>
        <v>13.093193145616294</v>
      </c>
      <c r="AJ59" s="4">
        <v>410.6</v>
      </c>
      <c r="AK59" s="4">
        <v>-0.83499999999999996</v>
      </c>
      <c r="AL59" s="4">
        <v>-39.909999999999997</v>
      </c>
      <c r="AM59" s="4">
        <v>-2.4430000000000001</v>
      </c>
      <c r="AN59" s="4">
        <v>527.29999999999995</v>
      </c>
      <c r="AO59" s="4">
        <v>107.1</v>
      </c>
      <c r="AP59" s="4">
        <f>('[3]1964'!$I$14+'[3]1964'!$I$69+'[3]1964'!$I$71-'[3]1964'!$I$73)*0.001</f>
        <v>-9.84</v>
      </c>
      <c r="AQ59" s="4">
        <f>('[3]1964'!$AY$56+'[3]1964'!$AY$69+'[3]1964'!$AY$71-'[3]1964'!$AY$73)*0.001</f>
        <v>-21.177</v>
      </c>
      <c r="AR59" s="4">
        <f>AR$38*541/23762</f>
        <v>-0.25472216143422272</v>
      </c>
      <c r="AS59" s="4">
        <v>-2.782</v>
      </c>
      <c r="AT59" s="4">
        <v>17.254000000000001</v>
      </c>
      <c r="AU59" s="4">
        <v>21.155999999999999</v>
      </c>
      <c r="AV59" s="4">
        <v>15.018000000000001</v>
      </c>
      <c r="AW59" s="4">
        <v>14.904</v>
      </c>
      <c r="AX59" s="4">
        <v>16.806999999999999</v>
      </c>
      <c r="AY59" s="4">
        <v>23.632999999999999</v>
      </c>
      <c r="AZ59" s="4">
        <v>9.032</v>
      </c>
      <c r="BA59" s="4">
        <v>19.48</v>
      </c>
      <c r="BB59" s="4">
        <f>BB$38*171.202/184.05</f>
        <v>95.791263026351515</v>
      </c>
      <c r="BC59" s="4">
        <v>19.260000000000002</v>
      </c>
      <c r="BG59" s="4">
        <f t="shared" si="50"/>
        <v>23.314569326830945</v>
      </c>
      <c r="BI59" s="4">
        <f>BI$13*'[2]Ordinary Experience'!$D$367/'[2]Ordinary Experience'!$D$413</f>
        <v>188717622.19179264</v>
      </c>
      <c r="BJ59" s="4">
        <f>'[2]Ordinary Experience'!$E$367</f>
        <v>30.032686136232421</v>
      </c>
      <c r="BL59" s="4">
        <f t="shared" si="90"/>
        <v>44.550796074646456</v>
      </c>
      <c r="BM59" s="4">
        <f t="shared" si="34"/>
        <v>4.4446424271571638E-2</v>
      </c>
      <c r="BO59" s="4">
        <f>IF(OR('Summary, hourly ad costs'!R59=-9999,'Summary, PPI''s'!R59="."),".",(('Summary, hourly ad costs'!B59/'Summary, hourly ad costs'!R59)*100/('Summary, hourly ad costs'!B$11/'Summary, hourly ad costs'!R$11))/('Summary, PPI''s'!R59))</f>
        <v>1.564322271753859</v>
      </c>
      <c r="BP59" s="4" t="str">
        <f>IF(OR('Summary, hourly ad costs'!S59=-9999,'Summary, PPI''s'!S59="."),".",(('Summary, hourly ad costs'!C59/'Summary, hourly ad costs'!S59)*100/('Summary, hourly ad costs'!C$11/'Summary, hourly ad costs'!S$11))/('Summary, PPI''s'!S59))</f>
        <v>.</v>
      </c>
      <c r="BQ59" s="4" t="str">
        <f>IF(OR('Summary, hourly ad costs'!T59=-9999,'Summary, PPI''s'!T59="."),".",(('Summary, hourly ad costs'!D59/'Summary, hourly ad costs'!T59)*100/('Summary, hourly ad costs'!D$11/'Summary, hourly ad costs'!T$11))/('Summary, PPI''s'!T59))</f>
        <v>.</v>
      </c>
      <c r="BR59" s="4">
        <f>IF(OR('Summary, hourly ad costs'!U59=-9999,'Summary, PPI''s'!U59="."),".",(('Summary, hourly ad costs'!E59/'Summary, hourly ad costs'!U59)*100/('Summary, hourly ad costs'!E$11/'Summary, hourly ad costs'!U$11))/('Summary, PPI''s'!U59))</f>
        <v>1.7380536602992707</v>
      </c>
      <c r="BS59" s="4">
        <f>IF(OR('Summary, hourly ad costs'!V59=-9999,'Summary, PPI''s'!V59="."),".",(('Summary, hourly ad costs'!F59/'Summary, hourly ad costs'!V59)*100/('Summary, hourly ad costs'!F$11/'Summary, hourly ad costs'!V$11))/('Summary, PPI''s'!V59))</f>
        <v>1.5652903909065374</v>
      </c>
      <c r="BT59" s="4" t="str">
        <f>IF(OR('Summary, hourly ad costs'!W59=-9999,'Summary, PPI''s'!W59="."),".",(('Summary, hourly ad costs'!G59/'Summary, hourly ad costs'!W59)*100/('Summary, hourly ad costs'!G$11/'Summary, hourly ad costs'!W$11))/('Summary, PPI''s'!W59))</f>
        <v>.</v>
      </c>
      <c r="BU59" s="4">
        <f>IF(OR('Summary, hourly ad costs'!X59=-9999,'Summary, PPI''s'!X59="."),".",(('Summary, hourly ad costs'!H59/'Summary, hourly ad costs'!X59)*100/('Summary, hourly ad costs'!H$11/'Summary, hourly ad costs'!X$11))/('Summary, PPI''s'!X59))</f>
        <v>1.1131339292472751</v>
      </c>
      <c r="BV59" s="4" t="str">
        <f>IF(OR('Summary, hourly ad costs'!Y59=-9999,'Summary, PPI''s'!Y59="."),".",(('Summary, hourly ad costs'!I59/'Summary, hourly ad costs'!Y59)*100/('Summary, hourly ad costs'!I$11/'Summary, hourly ad costs'!Y$11))/('Summary, PPI''s'!Y59))</f>
        <v>.</v>
      </c>
      <c r="BW59" s="4" t="str">
        <f>IF(OR('Summary, hourly ad costs'!Z59=-9999,'Summary, PPI''s'!Z59="."),".",(('Summary, hourly ad costs'!J59/'Summary, hourly ad costs'!Z59)*100/('Summary, hourly ad costs'!J$11/'Summary, hourly ad costs'!Z$11))/('Summary, PPI''s'!Z59))</f>
        <v>.</v>
      </c>
      <c r="BX59" s="4" t="str">
        <f>IF(OR('Summary, hourly ad costs'!AA59=-9999,'Summary, PPI''s'!AA59="."),".",(('Summary, hourly ad costs'!K59/'Summary, hourly ad costs'!AA59)*100/('Summary, hourly ad costs'!K$11/'Summary, hourly ad costs'!AA$11))/('Summary, PPI''s'!AA59))</f>
        <v>.</v>
      </c>
      <c r="BY59" s="4" t="str">
        <f>IF(OR('Summary, hourly ad costs'!AB59=-9999,'Summary, PPI''s'!AB59="."),".",(('Summary, hourly ad costs'!L59/'Summary, hourly ad costs'!AB59)*100/('Summary, hourly ad costs'!L$11/'Summary, hourly ad costs'!AB$11))/('Summary, PPI''s'!AB59))</f>
        <v>.</v>
      </c>
      <c r="BZ59" s="4" t="str">
        <f>IF(OR('Summary, hourly ad costs'!AC59=-9999,'Summary, PPI''s'!AC59="."),".",(('Summary, hourly ad costs'!M59/'Summary, hourly ad costs'!AC59)*100/('Summary, hourly ad costs'!M$11/'Summary, hourly ad costs'!AC$11))/('Summary, PPI''s'!AC59))</f>
        <v>.</v>
      </c>
      <c r="CA59" s="4" t="str">
        <f>IF(OR('Summary, hourly ad costs'!AD59=-9999,'Summary, PPI''s'!AD59="."),".",(('Summary, hourly ad costs'!N59/'Summary, hourly ad costs'!AD59)*100/('Summary, hourly ad costs'!N$11/'Summary, hourly ad costs'!AD$11))/('Summary, PPI''s'!AD59))</f>
        <v>.</v>
      </c>
      <c r="CB59" s="4" t="str">
        <f>IF(OR('Summary, hourly ad costs'!AE59=-9999,'Summary, PPI''s'!AE59="."),".",(('Summary, hourly ad costs'!O59/'Summary, hourly ad costs'!AE59)*100/('Summary, hourly ad costs'!O$11/'Summary, hourly ad costs'!AE$11))/('Summary, PPI''s'!AE59))</f>
        <v>.</v>
      </c>
      <c r="CC59" s="4" t="str">
        <f>IF(OR('Summary, hourly ad costs'!AF59=-9999,'Summary, PPI''s'!AF59="."),".",(('Summary, hourly ad costs'!P59/'Summary, hourly ad costs'!AF59)*100/('Summary, hourly ad costs'!P$11/'Summary, hourly ad costs'!AF$11))/('Summary, PPI''s'!AF59))</f>
        <v>.</v>
      </c>
      <c r="CE59" s="4">
        <f t="shared" si="113"/>
        <v>0.16280648058454505</v>
      </c>
      <c r="CF59" s="4" t="str">
        <f t="shared" si="114"/>
        <v>.</v>
      </c>
      <c r="CG59" s="4" t="str">
        <f t="shared" si="115"/>
        <v>.</v>
      </c>
      <c r="CH59" s="4">
        <f t="shared" si="116"/>
        <v>0.10877482505515523</v>
      </c>
      <c r="CI59" s="4">
        <f t="shared" si="117"/>
        <v>5.4043867424409475E-2</v>
      </c>
      <c r="CJ59" s="4" t="str">
        <f t="shared" si="118"/>
        <v>.</v>
      </c>
      <c r="CK59" s="4">
        <f t="shared" si="119"/>
        <v>-4.7174532058158469E-5</v>
      </c>
      <c r="CL59" s="4">
        <f t="shared" si="130"/>
        <v>2.9662661595432287E-2</v>
      </c>
      <c r="CM59" s="4">
        <f t="shared" si="130"/>
        <v>2.8268641883863948E-2</v>
      </c>
      <c r="CN59" s="4">
        <f t="shared" si="89"/>
        <v>1.5527478785368684E-2</v>
      </c>
      <c r="CO59" s="4">
        <f t="shared" si="120"/>
        <v>0.28616832846043821</v>
      </c>
      <c r="CP59" s="4">
        <f t="shared" si="120"/>
        <v>7.3197100060870351E-2</v>
      </c>
      <c r="CQ59" s="4" t="str">
        <f t="shared" si="110"/>
        <v>.</v>
      </c>
      <c r="CR59" s="4" t="str">
        <f t="shared" si="111"/>
        <v>.</v>
      </c>
      <c r="CS59" s="4" t="str">
        <f t="shared" si="112"/>
        <v>.</v>
      </c>
      <c r="CU59" s="5">
        <f>IF(CU58=".", ".", IF('Summary, PPI''s'!R59=".",IF(OR('Summary, hourly ad costs'!R59=-9999,'Summary, hourly ad costs'!R59=0), ".", 'Predicted PPIs'!CU58*('Summary, hourly ad costs'!B59/'Summary, hourly ad costs'!R59)/('Summary, hourly ad costs'!B58/'Summary, hourly ad costs'!R58)/(1-CE58)), 'Summary, PPI''s'!R59))</f>
        <v>20.833756817504895</v>
      </c>
      <c r="CV59" s="5">
        <f>IF(CV58=".", ".", IF('Summary, PPI''s'!S59=".",IF(OR('Summary, hourly ad costs'!S59=-9999,'Summary, hourly ad costs'!S59=0), ".", 'Predicted PPIs'!CV58*('Summary, hourly ad costs'!C59/'Summary, hourly ad costs'!S59)/('Summary, hourly ad costs'!C58/'Summary, hourly ad costs'!S58)/(1-CF58)), 'Summary, PPI''s'!S59))</f>
        <v>20.833756817504895</v>
      </c>
      <c r="CW59" s="5" t="str">
        <f>IF(CW58=".", ".", IF('Summary, PPI''s'!T59=".",IF(OR('Summary, hourly ad costs'!T59=-9999,'Summary, hourly ad costs'!T59=0), ".", 'Predicted PPIs'!CW58*('Summary, hourly ad costs'!D59/'Summary, hourly ad costs'!T59)/('Summary, hourly ad costs'!D58/'Summary, hourly ad costs'!T58)/(1-CG58)), 'Summary, PPI''s'!T59))</f>
        <v>.</v>
      </c>
      <c r="CX59" s="5">
        <f>IF(CX58=".", ".", IF('Summary, PPI''s'!U59=".",IF(OR('Summary, hourly ad costs'!U59=-9999,'Summary, hourly ad costs'!U59=0), ".", 'Predicted PPIs'!CX58*('Summary, hourly ad costs'!E59/'Summary, hourly ad costs'!U59)/('Summary, hourly ad costs'!E58/'Summary, hourly ad costs'!U58)/(1-CH58)), 'Summary, PPI''s'!U59))</f>
        <v>7.6880913537757296</v>
      </c>
      <c r="CY59" s="5">
        <f>IF(CY58=".", ".", IF('Summary, PPI''s'!V59=".",IF(OR('Summary, hourly ad costs'!V59=-9999,'Summary, hourly ad costs'!V59=0), ".", 'Predicted PPIs'!CY58*('Summary, hourly ad costs'!F59/'Summary, hourly ad costs'!V59)/('Summary, hourly ad costs'!F58/'Summary, hourly ad costs'!V58)/(1-CI58)), 'Summary, PPI''s'!V59))</f>
        <v>13.032729447553203</v>
      </c>
      <c r="CZ59" s="5">
        <f>IF(CZ58=".", ".", IF('Summary, PPI''s'!W59=".",IF(OR('Summary, hourly ad costs'!W59=-9999,'Summary, hourly ad costs'!W59=0), ".", 'Predicted PPIs'!CZ58*('Summary, hourly ad costs'!G59/'Summary, hourly ad costs'!W59)/('Summary, hourly ad costs'!G58/'Summary, hourly ad costs'!W58)/(1-CJ58)), 'Summary, PPI''s'!W59))</f>
        <v>8.9335231860225974</v>
      </c>
      <c r="DA59" s="5">
        <f>IF(DA58=".", ".", IF('Summary, PPI''s'!X59=".",IF(OR('Summary, hourly ad costs'!X59=-9999,'Summary, hourly ad costs'!X59=0), ".", 'Predicted PPIs'!DA58*('Summary, hourly ad costs'!H59/'Summary, hourly ad costs'!X59)/('Summary, hourly ad costs'!H58/'Summary, hourly ad costs'!X58)/(1-CK58)), 'Summary, PPI''s'!X59))</f>
        <v>10.763999999999999</v>
      </c>
      <c r="DB59" s="5">
        <f>IF(DB58=".", ".", IF('Summary, PPI''s'!Y59=".",IF(OR('Summary, hourly ad costs'!Y59=-9999,'Summary, hourly ad costs'!Y59=0), ".", 'Predicted PPIs'!DB58*('Summary, hourly ad costs'!I59/'Summary, hourly ad costs'!Y59)/('Summary, hourly ad costs'!I58/'Summary, hourly ad costs'!Y58)/(1-CL58)), 'Summary, PPI''s'!Y59))</f>
        <v>10.068567905254891</v>
      </c>
      <c r="DC59" s="5">
        <f>IF(DC58=".", ".", IF('Summary, PPI''s'!Z59=".",IF(OR('Summary, hourly ad costs'!Z59=-9999,'Summary, hourly ad costs'!Z59=0), ".", 'Predicted PPIs'!DC58*('Summary, hourly ad costs'!J59/'Summary, hourly ad costs'!Z59)/('Summary, hourly ad costs'!J58/'Summary, hourly ad costs'!Z58)/(1-CM58)), 'Summary, PPI''s'!Z59))</f>
        <v>15.912777006512455</v>
      </c>
      <c r="DD59" s="5" t="str">
        <f>IF(DD58=".", ".", IF('Summary, PPI''s'!AA59=".",IF(OR('Summary, hourly ad costs'!AA59=-9999,'Summary, hourly ad costs'!AA59=0), ".", 'Predicted PPIs'!DD58*('Summary, hourly ad costs'!K59/'Summary, hourly ad costs'!AA59)/('Summary, hourly ad costs'!K58/'Summary, hourly ad costs'!AA58)/(1-CN58)), 'Summary, PPI''s'!AA59))</f>
        <v>.</v>
      </c>
      <c r="DE59" s="5" t="str">
        <f>IF(DE58=".", ".", IF('Summary, PPI''s'!AB59=".",IF(OR('Summary, hourly ad costs'!AB59=-9999,'Summary, hourly ad costs'!AB59=0), ".", 'Predicted PPIs'!DE58*('Summary, hourly ad costs'!L59/'Summary, hourly ad costs'!AB59)/('Summary, hourly ad costs'!L58/'Summary, hourly ad costs'!AB58)/(1-CO58)), 'Summary, PPI''s'!AB59))</f>
        <v>.</v>
      </c>
      <c r="DF59" s="5" t="str">
        <f>IF(DF58=".", ".", IF('Summary, PPI''s'!AC59=".",IF(OR('Summary, hourly ad costs'!AC59=-9999,'Summary, hourly ad costs'!AC59=0), ".", 'Predicted PPIs'!DF58*('Summary, hourly ad costs'!M59/'Summary, hourly ad costs'!AC59)/('Summary, hourly ad costs'!M58/'Summary, hourly ad costs'!AC58)/(1-CP58)), 'Summary, PPI''s'!AC59))</f>
        <v>.</v>
      </c>
      <c r="DG59" s="5" t="str">
        <f>IF(DG58=".", ".", IF('Summary, PPI''s'!AD59=".",IF(OR('Summary, hourly ad costs'!AD59=-9999,'Summary, hourly ad costs'!AD59=0), ".", 'Predicted PPIs'!DG58*('Summary, hourly ad costs'!N59/'Summary, hourly ad costs'!AD59)/('Summary, hourly ad costs'!N58/'Summary, hourly ad costs'!AD58)/(1-CQ58)), 'Summary, PPI''s'!AD59))</f>
        <v>.</v>
      </c>
      <c r="DH59" s="5" t="str">
        <f>IF(DH58=".", ".", IF('Summary, PPI''s'!AE59=".",IF(OR('Summary, hourly ad costs'!AE59=-9999,'Summary, hourly ad costs'!AE59=0), ".", 'Predicted PPIs'!DH58*('Summary, hourly ad costs'!O59/'Summary, hourly ad costs'!AE59)/('Summary, hourly ad costs'!O58/'Summary, hourly ad costs'!AE58)/(1-CR58)), 'Summary, PPI''s'!AE59))</f>
        <v>.</v>
      </c>
      <c r="DI59" s="5" t="str">
        <f>IF(DI58=".", ".", IF('Summary, PPI''s'!AF59=".",IF(OR('Summary, hourly ad costs'!AF59=-9999,'Summary, hourly ad costs'!AF59=0), ".", 'Predicted PPIs'!DI58*('Summary, hourly ad costs'!P59/'Summary, hourly ad costs'!AF59)/('Summary, hourly ad costs'!P58/'Summary, hourly ad costs'!AF58)/(1-CS58)), 'Summary, PPI''s'!AF59))</f>
        <v>.</v>
      </c>
      <c r="DK59" s="4">
        <v>6.883</v>
      </c>
      <c r="DM59" s="5">
        <f t="shared" si="121"/>
        <v>-5.1679159334793168E-2</v>
      </c>
      <c r="DN59" s="5">
        <f t="shared" si="122"/>
        <v>-5.1679159334793168E-2</v>
      </c>
      <c r="DO59" s="4">
        <f t="shared" si="123"/>
        <v>-2.2537862362136292E-2</v>
      </c>
      <c r="DP59" s="5">
        <f t="shared" si="124"/>
        <v>-3.4723231149208278E-2</v>
      </c>
      <c r="DQ59" s="5">
        <f t="shared" si="125"/>
        <v>-4.5249695367864717E-2</v>
      </c>
      <c r="DR59" s="5">
        <f t="shared" si="126"/>
        <v>-1.8712755047349261E-2</v>
      </c>
      <c r="DS59" s="5">
        <f t="shared" si="127"/>
        <v>4.3615823614897797E-2</v>
      </c>
      <c r="DT59" s="5">
        <f t="shared" si="128"/>
        <v>-5.7288893424860543E-3</v>
      </c>
      <c r="DU59" s="5">
        <f t="shared" si="129"/>
        <v>2.2794624261269769E-2</v>
      </c>
      <c r="DV59" s="4">
        <f t="shared" si="131"/>
        <v>-8.0626341284754769E-4</v>
      </c>
      <c r="DW59" s="4">
        <f t="shared" ref="DW59:DX90" si="133">_xlfn.FORECAST.LINEAR($BM59,DW$4:DW$25,$BM$4:$BM$25)</f>
        <v>-0.14695806543794843</v>
      </c>
      <c r="DX59" s="4">
        <f t="shared" si="133"/>
        <v>9.6767332396124478E-2</v>
      </c>
      <c r="DY59" s="4">
        <f t="shared" si="108"/>
        <v>-1.4460712889009866E-2</v>
      </c>
      <c r="DZ59" s="4">
        <f t="shared" si="132"/>
        <v>-7.567955984497012E-3</v>
      </c>
      <c r="EA59" s="4">
        <f t="shared" si="109"/>
        <v>-8.4215414051663894E-3</v>
      </c>
      <c r="EC59" s="1">
        <f t="shared" si="93"/>
        <v>20.833756817504895</v>
      </c>
      <c r="ED59" s="1">
        <f t="shared" si="94"/>
        <v>20.833756817504895</v>
      </c>
      <c r="EE59" s="1">
        <f t="shared" si="95"/>
        <v>12.495585761101417</v>
      </c>
      <c r="EF59" s="1">
        <f t="shared" si="96"/>
        <v>7.6880913537757296</v>
      </c>
      <c r="EG59" s="1">
        <f t="shared" si="97"/>
        <v>13.032729447553203</v>
      </c>
      <c r="EH59" s="1">
        <f t="shared" si="98"/>
        <v>8.9335231860225974</v>
      </c>
      <c r="EI59" s="1">
        <f t="shared" si="99"/>
        <v>10.763999999999999</v>
      </c>
      <c r="EJ59" s="1">
        <f t="shared" si="100"/>
        <v>10.068567905254891</v>
      </c>
      <c r="EK59" s="1">
        <f t="shared" si="101"/>
        <v>15.912777006512455</v>
      </c>
      <c r="EL59" s="1">
        <f t="shared" si="102"/>
        <v>5.6203974019791554</v>
      </c>
      <c r="EM59" s="1">
        <f t="shared" si="103"/>
        <v>3.766921990359509</v>
      </c>
      <c r="EN59" s="1">
        <f t="shared" si="104"/>
        <v>5.4980161899628754</v>
      </c>
      <c r="EO59" s="1">
        <f t="shared" si="105"/>
        <v>7.4080759087458281</v>
      </c>
      <c r="EP59" s="1">
        <f t="shared" si="106"/>
        <v>9.7140988941099202</v>
      </c>
      <c r="EQ59" s="1">
        <f t="shared" si="107"/>
        <v>7.454351558778316</v>
      </c>
      <c r="ES59" s="1">
        <f>IF(EF$26=".", 0, 'Summary, PPI''s'!E59)+IF(EG$26=".", 0, 'Summary, PPI''s'!F59)+IF(EH$26=".", 0, 'Summary, PPI''s'!G59)+IF(EI$26=".", 0, 'Summary, PPI''s'!H59)+IF(EJ$26=".", 0, 'Summary, PPI''s'!I59)+IF(EK$26=".", 0, 'Summary, PPI''s'!J59)+IF(EL$26=".", 0, 'Summary, PPI''s'!K59)+IF(EM$26=".", 0, 'Summary, PPI''s'!L59)+IF(EN$26=".", 0, 'Summary, PPI''s'!M59)+IF(EC$26=".", 0, 'Summary, PPI''s'!B59)+IF(ED$26=".", 0, 'Summary, PPI''s'!C59)+IF(EE$26=".", 0, 'Summary, PPI''s'!D59)+IF(EO$26=".", 0, 'Summary, PPI''s'!N59)+IF(EP$26=".", 0, 'Summary, PPI''s'!O59)+IF(EQ$26=".", 0, 'Summary, PPI''s'!P59)</f>
        <v>14536943.648487916</v>
      </c>
      <c r="ET59" s="1">
        <f>'Summary, hourly ad costs'!E59+'Summary, hourly ad costs'!F59+'Summary, hourly ad costs'!H59+'Summary, hourly ad costs'!I59+'Summary, hourly ad costs'!J59+'Summary, hourly ad costs'!K59+'Summary, hourly ad costs'!L59+'Summary, hourly ad costs'!M59+'Summary, hourly ad costs'!B59</f>
        <v>8310049.4838090157</v>
      </c>
      <c r="EV59" s="13">
        <f>EV58*IF(EF$26=".", 1, (EF59/EF58)^(('Summary, PPI''s'!$E59+'Summary, PPI''s'!$E58)/('Predicted PPIs'!ES59+'Predicted PPIs'!ES58)))*IF(EG$26=".", 1, (EG59/EG58)^(('Summary, PPI''s'!$F59+'Summary, PPI''s'!$F58)/('Predicted PPIs'!ES59+'Predicted PPIs'!ES58)))*IF(EH$26=".", 1, (EH59/EH58)^(('Summary, PPI''s'!$G59+'Summary, PPI''s'!$G58)/('Predicted PPIs'!ES59+'Predicted PPIs'!ES58)))*IF(EI$26=".", 1, (EI59/EI58)^(('Summary, PPI''s'!$H59+'Summary, PPI''s'!$H58)/('Predicted PPIs'!ES59+'Predicted PPIs'!ES58)))*IF(EJ$26=".", 1, (EJ59/EJ58)^(('Summary, PPI''s'!$I59+'Summary, PPI''s'!$I58)/('Predicted PPIs'!ES59+'Predicted PPIs'!ES58)))*IF(EK$26=".", 1, (EK59/EK58)^(('Summary, PPI''s'!$J59+'Summary, PPI''s'!$J58)/('Predicted PPIs'!ES59+'Predicted PPIs'!ES58)))*IF(EL$26=".", 1, (EL59/EL58)^(('Summary, PPI''s'!$K59+'Summary, PPI''s'!$K58)/('Predicted PPIs'!ES59+'Predicted PPIs'!ES58)))*IF(EM$26=".", 1, (EM59/EM58)^(('Summary, PPI''s'!$L59+'Summary, PPI''s'!$L58)/('Predicted PPIs'!ES59+'Predicted PPIs'!ES58)))*IF(EN$26=".", 1, (EN59/EN58)^(('Summary, PPI''s'!$M59+'Summary, PPI''s'!$M58)/('Predicted PPIs'!ES59+'Predicted PPIs'!ES58)))*IF(EC$26=".", 1, (EC59/EC58)^(('Summary, PPI''s'!$B59+'Summary, PPI''s'!$B58)/('Predicted PPIs'!ES59+'Predicted PPIs'!ES58)))*IF(ED$26=".", 1, (ED59/ED58)^(('Summary, PPI''s'!$C59+'Summary, PPI''s'!$C58)/('Predicted PPIs'!ES59+'Predicted PPIs'!ES58)))*IF(EE$26=".", 1, (EE59/EE58)^(('Summary, PPI''s'!$D59+'Summary, PPI''s'!$D58)/('Predicted PPIs'!ES59+'Predicted PPIs'!ES58)))*IF(EO$26=".", 1, (EO59/EO58)^(('Summary, PPI''s'!$N59+'Summary, PPI''s'!$N58)/('Predicted PPIs'!ES59+'Predicted PPIs'!ES58)))*IF(EP$26=".", 1, (EP59/EP58)^(('Summary, PPI''s'!$O59+'Summary, PPI''s'!$O58)/('Predicted PPIs'!ES59+'Predicted PPIs'!ES58)))*IF(EQ$26=".", 1, (EQ59/EQ58)^(('Summary, PPI''s'!$P59+'Summary, PPI''s'!$P58)/('Predicted PPIs'!ES59+'Predicted PPIs'!ES58)))</f>
        <v>11.793014813401596</v>
      </c>
      <c r="EW59" s="13">
        <f>EW58*IF(EF$26=".", 1, (EF59/EF58)^(('Summary, PPI''s'!$E59+'Summary, PPI''s'!$E58)/('Predicted PPIs'!ET59+'Predicted PPIs'!ET58)))*IF(EG$26=".", 1, (EG59/EG58)^(('Summary, PPI''s'!$F59+'Summary, PPI''s'!$F58)/('Predicted PPIs'!ET59+'Predicted PPIs'!ET58)))*IF(EH$26=".", 1, (EH59/EH58)^(('Summary, PPI''s'!$G59+'Summary, PPI''s'!$G58)/('Predicted PPIs'!ET59+'Predicted PPIs'!ET58)))*IF(EK$26=".", 1, (EK59/EK58)^(('Summary, PPI''s'!$J59+'Summary, PPI''s'!$J58)/('Predicted PPIs'!ET59+'Predicted PPIs'!ET58)))*IF(EL$26=".", 1, (EL59/EL58)^(('Summary, PPI''s'!$K59+'Summary, PPI''s'!$K58)/('Predicted PPIs'!ET59+'Predicted PPIs'!ET58)))*IF(EM$26=".", 1, (EM59/EM58)^(('Summary, PPI''s'!$L59+'Summary, PPI''s'!$L58)/('Predicted PPIs'!ET59+'Predicted PPIs'!ET58)))*IF(EN$26=".", 1, (EN59/EN58)^(('Summary, PPI''s'!$M59+'Summary, PPI''s'!$M58)/('Predicted PPIs'!ET59+'Predicted PPIs'!ET58)))*IF(EC$26=".", 1, (EC59/EC58)^(('Summary, PPI''s'!$B59+'Summary, PPI''s'!$B58)/('Predicted PPIs'!ET59+'Predicted PPIs'!ET58)))</f>
        <v>14.849829896338996</v>
      </c>
      <c r="EY59" s="2"/>
    </row>
    <row r="60" spans="1:155" x14ac:dyDescent="0.3">
      <c r="A60" s="4">
        <v>1963</v>
      </c>
      <c r="B60" s="10">
        <f>IF(B59=".", ".", IF('Summary, PPI''s'!R60=".",IF(OR('Summary, hourly ad costs'!R60=-9999,'Summary, hourly ad costs'!R60=0), ".", 'Predicted PPIs'!B59*('Summary, hourly ad costs'!B60/'Summary, hourly ad costs'!R60)/('Summary, hourly ad costs'!B59/'Summary, hourly ad costs'!R59)), 'Summary, PPI''s'!R60))</f>
        <v>21.206263325097577</v>
      </c>
      <c r="C60" s="10">
        <f>IF(C59=".", ".", IF('Summary, PPI''s'!S60=".",IF(OR('Summary, hourly ad costs'!S60=-9999,'Summary, hourly ad costs'!S60=0), ".", 'Predicted PPIs'!C59*('Summary, hourly ad costs'!C60/'Summary, hourly ad costs'!S60)/('Summary, hourly ad costs'!C59/'Summary, hourly ad costs'!S59)), 'Summary, PPI''s'!S60))</f>
        <v>21.206263325097577</v>
      </c>
      <c r="D60" s="10" t="str">
        <f>IF(D59=".", ".", IF('Summary, PPI''s'!T60=".",IF(OR('Summary, hourly ad costs'!T60=-9999,'Summary, hourly ad costs'!T60=0), ".", 'Predicted PPIs'!D59*('Summary, hourly ad costs'!D60/'Summary, hourly ad costs'!T60)/('Summary, hourly ad costs'!D59/'Summary, hourly ad costs'!T59)), 'Summary, PPI''s'!T60))</f>
        <v>.</v>
      </c>
      <c r="E60" s="10">
        <f>IF(E59=".", ".", IF('Summary, PPI''s'!U60=".",IF(OR('Summary, hourly ad costs'!U60=-9999,'Summary, hourly ad costs'!U60=0), ".", 'Predicted PPIs'!E59*('Summary, hourly ad costs'!E60/'Summary, hourly ad costs'!U60)/('Summary, hourly ad costs'!E59/'Summary, hourly ad costs'!U59)), 'Summary, PPI''s'!U60))</f>
        <v>7.6880913537757296</v>
      </c>
      <c r="F60" s="10">
        <f>IF(F59=".", ".", IF('Summary, PPI''s'!V60=".",IF(OR('Summary, hourly ad costs'!V60=-9999,'Summary, hourly ad costs'!V60=0), ".", 'Predicted PPIs'!F59*('Summary, hourly ad costs'!F60/'Summary, hourly ad costs'!V60)/('Summary, hourly ad costs'!F59/'Summary, hourly ad costs'!V59)), 'Summary, PPI''s'!V60))</f>
        <v>13.176419959654122</v>
      </c>
      <c r="G60" s="10">
        <f>IF(G59=".", ".", IF('Summary, PPI''s'!W60=".",IF(OR('Summary, hourly ad costs'!W60=-9999,'Summary, hourly ad costs'!W60=0), ".", 'Predicted PPIs'!G59*('Summary, hourly ad costs'!G60/'Summary, hourly ad costs'!W60)/('Summary, hourly ad costs'!G59/'Summary, hourly ad costs'!W59)), 'Summary, PPI''s'!W60))</f>
        <v>8.7877657024611775</v>
      </c>
      <c r="H60" s="10">
        <f>IF(H59=".", ".", IF('Summary, PPI''s'!X60=".",IF(OR('Summary, hourly ad costs'!X60=-9999,'Summary, hourly ad costs'!X60=0), ".", 'Predicted PPIs'!H59*('Summary, hourly ad costs'!H60/'Summary, hourly ad costs'!X60)/('Summary, hourly ad costs'!H59/'Summary, hourly ad costs'!X59)), 'Summary, PPI''s'!X60))</f>
        <v>9.9559999999999995</v>
      </c>
      <c r="I60" s="10">
        <f>IF(I59=".", ".", IF('Summary, PPI''s'!Y60=".",IF(OR('Summary, hourly ad costs'!Y60=-9999,'Summary, hourly ad costs'!Y60=0), ".", 'Predicted PPIs'!I59*('Summary, hourly ad costs'!I60/'Summary, hourly ad costs'!Y60)/('Summary, hourly ad costs'!I59/'Summary, hourly ad costs'!Y59)), 'Summary, PPI''s'!Y60))</f>
        <v>8.668056632958967</v>
      </c>
      <c r="J60" s="10">
        <f>IF(J59=".", ".", IF('Summary, PPI''s'!Z60=".",IF(OR('Summary, hourly ad costs'!Z60=-9999,'Summary, hourly ad costs'!Z60=0), ".", 'Predicted PPIs'!J59*('Summary, hourly ad costs'!J60/'Summary, hourly ad costs'!Z60)/('Summary, hourly ad costs'!J59/'Summary, hourly ad costs'!Z59)), 'Summary, PPI''s'!Z60))</f>
        <v>11.375831988343707</v>
      </c>
      <c r="K60" s="10" t="str">
        <f>IF(K59=".", ".", IF('Summary, PPI''s'!AA60=".",IF(OR('Summary, hourly ad costs'!AA60=-9999,'Summary, hourly ad costs'!AA60=0), ".", 'Predicted PPIs'!K59*('Summary, hourly ad costs'!K60/'Summary, hourly ad costs'!AA60)/('Summary, hourly ad costs'!K59/'Summary, hourly ad costs'!AA59)), 'Summary, PPI''s'!AA60))</f>
        <v>.</v>
      </c>
      <c r="L60" s="10" t="str">
        <f>IF(L59=".", ".", IF('Summary, PPI''s'!AB60=".",IF(OR('Summary, hourly ad costs'!AB60=-9999,'Summary, hourly ad costs'!AB60=0), ".", 'Predicted PPIs'!L59*('Summary, hourly ad costs'!L60/'Summary, hourly ad costs'!AB60)/('Summary, hourly ad costs'!L59/'Summary, hourly ad costs'!AB59)), 'Summary, PPI''s'!AB60))</f>
        <v>.</v>
      </c>
      <c r="M60" s="10" t="str">
        <f>IF(M59=".", ".", IF('Summary, PPI''s'!AC60=".",IF(OR('Summary, hourly ad costs'!AC60=-9999,'Summary, hourly ad costs'!AC60=0), ".", 'Predicted PPIs'!M59*('Summary, hourly ad costs'!M60/'Summary, hourly ad costs'!AC60)/('Summary, hourly ad costs'!M59/'Summary, hourly ad costs'!AC59)), 'Summary, PPI''s'!AC60))</f>
        <v>.</v>
      </c>
      <c r="N60" s="10" t="str">
        <f>IF(N59=".", ".", IF('Summary, PPI''s'!AD60=".",IF(OR('Summary, hourly ad costs'!AD60=-9999,'Summary, hourly ad costs'!AD60=0), ".", 'Predicted PPIs'!N59*('Summary, hourly ad costs'!N60/'Summary, hourly ad costs'!AD60)/('Summary, hourly ad costs'!N59/'Summary, hourly ad costs'!AD59)), 'Summary, PPI''s'!AD60))</f>
        <v>.</v>
      </c>
      <c r="O60" s="10" t="str">
        <f>IF(O59=".", ".", IF('Summary, PPI''s'!AE60=".",IF(OR('Summary, hourly ad costs'!AE60=-9999,'Summary, hourly ad costs'!AE60=0), ".", 'Predicted PPIs'!O59*('Summary, hourly ad costs'!O60/'Summary, hourly ad costs'!AE60)/('Summary, hourly ad costs'!O59/'Summary, hourly ad costs'!AE59)), 'Summary, PPI''s'!AE60))</f>
        <v>.</v>
      </c>
      <c r="P60" s="10" t="str">
        <f>IF(P59=".", ".", IF('Summary, PPI''s'!AF60=".",IF(OR('Summary, hourly ad costs'!AF60=-9999,'Summary, hourly ad costs'!AF60=0), ".", 'Predicted PPIs'!P59*('Summary, hourly ad costs'!P60/'Summary, hourly ad costs'!AF60)/('Summary, hourly ad costs'!P59/'Summary, hourly ad costs'!AF59)), 'Summary, PPI''s'!AF60))</f>
        <v>.</v>
      </c>
      <c r="R60" s="1">
        <f>IF(E$26=".", 0, 'Summary, PPI''s'!E60)+IF(F$26=".", 0, 'Summary, PPI''s'!F60)+IF(G$26=".", 0, 'Summary, PPI''s'!G60)+IF(H$26=".", 0, 'Summary, PPI''s'!H60)+IF(I$26=".", 0, 'Summary, PPI''s'!I60)+IF(J$26=".", 0, 'Summary, PPI''s'!J60)+IF(K$26=".", 0, 'Summary, PPI''s'!K60)+IF(L$26=".", 0, 'Summary, PPI''s'!L60)+IF(M$26=".", 0, 'Summary, PPI''s'!M60)+IF(B$26=".", 0, 'Summary, PPI''s'!B60)+IF(C$26=".", 0, 'Summary, PPI''s'!C60)+IF(D$26=".", 0, 'Summary, PPI''s'!D60)+IF(N$26=".", 0, 'Summary, PPI''s'!N60)+IF(O$26=".", 0, 'Summary, PPI''s'!O60)+IF(P$26=".", 0, 'Summary, PPI''s'!P60)</f>
        <v>13454190.232633319</v>
      </c>
      <c r="S60" s="1">
        <f>IF(E$36=".", 0, 'Summary, PPI''s'!E60)+IF(F$36=".", 0, 'Summary, PPI''s'!F60)+IF(G$36=".", 0, 'Summary, PPI''s'!G60)+IF(H$36=".", 0, 'Summary, PPI''s'!H60)+IF(I$36=".", 0, 'Summary, PPI''s'!I60)+IF(J$36=".", 0, 'Summary, PPI''s'!J60)+IF(K$36=".", 0, 'Summary, PPI''s'!K60)+IF(L$36=".", 0, 'Summary, PPI''s'!L60)+IF(M$36=".", 0, 'Summary, PPI''s'!M60)+IF(B$36=".", 0, 'Summary, PPI''s'!B60)+IF(C$36=".", 0, 'Summary, PPI''s'!C60)+IF(D$36=".", 0, 'Summary, PPI''s'!D60)+IF(N$36=".", 0, 'Summary, PPI''s'!N60)+IF(O$36=".", 0, 'Summary, PPI''s'!O60)+IF(P$36=".", 0, 'Summary, PPI''s'!P60)</f>
        <v>13454190.232633319</v>
      </c>
      <c r="T60" s="1">
        <f>IF(E$46=".", 0, 'Summary, PPI''s'!E60)+IF(F$46=".", 0, 'Summary, PPI''s'!F60)+IF(G$46=".", 0, 'Summary, PPI''s'!G60)+IF(H$46=".", 0, 'Summary, PPI''s'!H60)+IF(I$46=".", 0, 'Summary, PPI''s'!I60)+IF(J$46=".", 0, 'Summary, PPI''s'!J60)+IF(K$46=".", 0, 'Summary, PPI''s'!K60)+IF(L$46=".", 0, 'Summary, PPI''s'!L60)+IF(M$46=".", 0, 'Summary, PPI''s'!M60)+IF(B$46=".", 0, 'Summary, PPI''s'!B60)+IF(C$46=".", 0, 'Summary, PPI''s'!C60)+IF(D$46=".", 0, 'Summary, PPI''s'!D60)+IF(N$46=".", 0, 'Summary, PPI''s'!N60)+IF(O$46=".", 0, 'Summary, PPI''s'!O60)+IF(P$46=".", 0, 'Summary, PPI''s'!P60)</f>
        <v>9809859.6472570486</v>
      </c>
      <c r="U60" s="1">
        <f>IF(E$60=".", 0, 'Summary, PPI''s'!E60)+IF(F$60=".", 0, 'Summary, PPI''s'!F60)+IF(G$60=".", 0, 'Summary, PPI''s'!G60)+IF(H$60=".", 0, 'Summary, PPI''s'!H60)+IF(I$60=".", 0, 'Summary, PPI''s'!I60)+IF(J$60=".", 0, 'Summary, PPI''s'!J60)+IF(K$60=".", 0, 'Summary, PPI''s'!K60)+IF(L$60=".", 0, 'Summary, PPI''s'!L60)+IF(M$60=".", 0, 'Summary, PPI''s'!M60)+IF(B$60=".", 0, 'Summary, PPI''s'!B60)+IF(C$60=".", 0, 'Summary, PPI''s'!C60)+IF(D$60=".", 0, 'Summary, PPI''s'!D60)+IF(N$60=".", 0, 'Summary, PPI''s'!N60)+IF(O$60=".", 0, 'Summary, PPI''s'!O60)+IF(P$60=".", 0, 'Summary, PPI''s'!P60)</f>
        <v>8866164.4954745024</v>
      </c>
      <c r="V60" s="1">
        <f>IF(E$73=".", 0, 'Summary, PPI''s'!E60)+IF(F$73=".", 0, 'Summary, PPI''s'!F60)+IF(G$73=".", 0, 'Summary, PPI''s'!G60)+IF(H$73=".", 0, 'Summary, PPI''s'!H60)+IF(I$73=".", 0, 'Summary, PPI''s'!I60)+IF(J$73=".", 0, 'Summary, PPI''s'!J60)+IF(K$73=".", 0, 'Summary, PPI''s'!K60)+IF(L$73=".", 0, 'Summary, PPI''s'!L60)+IF(M$73=".", 0, 'Summary, PPI''s'!M60)+IF(B$73=".", 0, 'Summary, PPI''s'!B60)+IF(C$73=".", 0, 'Summary, PPI''s'!C60)+IF(D$73=".", 0, 'Summary, PPI''s'!D60)+IF(N$73=".", 0, 'Summary, PPI''s'!N60)+IF(O$73=".", 0, 'Summary, PPI''s'!O60)+IF(P$73=".", 0, 'Summary, PPI''s'!P60)</f>
        <v>7623294.2140764697</v>
      </c>
      <c r="W60" s="1">
        <f>IF(E$94=".",0,'Summary, PPI''s'!E60)+IF(F$94=".",0,'Summary, PPI''s'!F60)+IF(G$94=".",0,'Summary, PPI''s'!G60)+IF(H$94=".",0,'Summary, PPI''s'!H60)+IF(I$94=".",0,'Summary, PPI''s'!I60)+IF(J$94=".",0,'Summary, PPI''s'!J60)+IF(K$94=".",0,'Summary, PPI''s'!K60)+IF(L$94=".",0,'Summary, PPI''s'!L60)+IF(M$94=".",0,'Summary, PPI''s'!M60)+IF(B$94=".",0,'Summary, PPI''s'!B60)+IF(C$94=".",0,'Summary, PPI''s'!C60)+IF(D$94=".",0,'Summary, PPI''s'!D60)+IF(N$94=".",0,'Summary, PPI''s'!N60)+IF(O$94=".",0,'Summary, PPI''s'!O60)+IF(P$94=".",0,'Summary, PPI''s'!P60)</f>
        <v>6101721.3258050736</v>
      </c>
      <c r="X60" s="1">
        <f>IF(E$123=".", 0, 'Summary, PPI''s'!E60)+IF(F$123=".", 0, 'Summary, PPI''s'!F60)+IF(G$123=".", 0, 'Summary, PPI''s'!G60)+IF(H$123=".", 0, 'Summary, PPI''s'!H60)+IF(I$123=".", 0, 'Summary, PPI''s'!I60)+IF(J$123=".", 0, 'Summary, PPI''s'!J60)+IF(K$123=".", 0, 'Summary, PPI''s'!K60)+IF(L$123=".", 0, 'Summary, PPI''s'!L60)+IF(M$123=".", 0, 'Summary, PPI''s'!M60)+IF(B$123=".", 0, 'Summary, PPI''s'!B60)+IF(C$123=".", 0, 'Summary, PPI''s'!C60)+IF(D$123=".", 0, 'Summary, PPI''s'!D60)+IF(N$123=".", 0, 'Summary, PPI''s'!N60)+IF(O$123=".", 0, 'Summary, PPI''s'!O60)+IF(P$123=".", 0, 'Summary, PPI''s'!P60)</f>
        <v>5475515.6530907415</v>
      </c>
      <c r="Z60" s="4" t="e">
        <f>Z59*IF(E$26=".", 1, (E60/E59)^(('Summary, PPI''s'!$E60+'Summary, PPI''s'!$E59)/('Predicted PPIs'!R60+'Predicted PPIs'!R59)))*IF(F$26=".", 1, (F60/F59)^(('Summary, PPI''s'!$F60+'Summary, PPI''s'!$F59)/('Predicted PPIs'!R60+'Predicted PPIs'!R59)))*IF(G$26=".", 1, (G60/G59)^(('Summary, PPI''s'!$G60+'Summary, PPI''s'!$G59)/('Predicted PPIs'!R60+'Predicted PPIs'!R59)))*IF(H$26=".", 1, (H60/H59)^(('Summary, PPI''s'!$H60+'Summary, PPI''s'!$H59)/('Predicted PPIs'!R60+'Predicted PPIs'!R59)))*IF(I$26=".", 1, (I60/I59)^(('Summary, PPI''s'!$I60+'Summary, PPI''s'!$I59)/('Predicted PPIs'!R60+'Predicted PPIs'!R59)))*IF(J$26=".", 1, (J60/J59)^(('Summary, PPI''s'!$J60+'Summary, PPI''s'!$J59)/('Predicted PPIs'!R60+'Predicted PPIs'!R59)))*IF(K$26=".", 1, (K60/K59)^(('Summary, PPI''s'!$K60+'Summary, PPI''s'!$K59)/('Predicted PPIs'!R60+'Predicted PPIs'!R59)))*IF(L$26=".", 1, (L60/L59)^(('Summary, PPI''s'!$L60+'Summary, PPI''s'!$L59)/('Predicted PPIs'!R60+'Predicted PPIs'!R59)))*IF(M$26=".", 1, (M60/M59)^(('Summary, PPI''s'!$M60+'Summary, PPI''s'!$M59)/('Predicted PPIs'!R60+'Predicted PPIs'!R59)))*IF(B$26=".", 1, (B60/B59)^(('Summary, PPI''s'!$B60+'Summary, PPI''s'!$B59)/('Predicted PPIs'!R60+'Predicted PPIs'!R59)))*IF(C$26=".", 1, (C60/C59)^(('Summary, PPI''s'!$C60+'Summary, PPI''s'!$C59)/('Predicted PPIs'!R60+'Predicted PPIs'!R59)))*IF(D$26=".", 1, (D60/D59)^(('Summary, PPI''s'!$D60+'Summary, PPI''s'!$D59)/('Predicted PPIs'!R60+'Predicted PPIs'!R59)))*IF(N$26=".", 1, (N60/N59)^(('Summary, PPI''s'!$N60+'Summary, PPI''s'!$N59)/('Predicted PPIs'!R60+'Predicted PPIs'!R59)))*IF(O$26=".", 1, (O60/O59)^(('Summary, PPI''s'!$O60+'Summary, PPI''s'!$O59)/('Predicted PPIs'!R60+'Predicted PPIs'!R59)))*IF(P$26=".", 1, (P60/P59)^(('Summary, PPI''s'!$P60+'Summary, PPI''s'!$P59)/('Predicted PPIs'!R60+'Predicted PPIs'!R59)))</f>
        <v>#VALUE!</v>
      </c>
      <c r="AA60" s="4" t="e">
        <f>AA59*IF(E$36=".", 1, (E60/E59)^(('Summary, PPI''s'!$E60+'Summary, PPI''s'!$E59)/('Predicted PPIs'!S60+'Predicted PPIs'!S59)))*IF(F$36=".", 1, (F60/F59)^(('Summary, PPI''s'!$F60+'Summary, PPI''s'!$F59)/('Predicted PPIs'!S60+'Predicted PPIs'!S59)))*IF(G$36=".", 1, (G60/G59)^(('Summary, PPI''s'!$G60+'Summary, PPI''s'!$G59)/('Predicted PPIs'!S60+'Predicted PPIs'!S59)))*IF(H$36=".", 1, (H60/H59)^(('Summary, PPI''s'!$H60+'Summary, PPI''s'!$H59)/('Predicted PPIs'!S60+'Predicted PPIs'!S59)))*IF(I$36=".", 1, (I60/I59)^(('Summary, PPI''s'!$I60+'Summary, PPI''s'!$I59)/('Predicted PPIs'!S60+'Predicted PPIs'!S59)))*IF(J$36=".", 1, (J60/J59)^(('Summary, PPI''s'!$J60+'Summary, PPI''s'!$J59)/('Predicted PPIs'!S60+'Predicted PPIs'!S59)))*IF(K$36=".", 1, (K60/K59)^(('Summary, PPI''s'!$K60+'Summary, PPI''s'!$K59)/('Predicted PPIs'!S60+'Predicted PPIs'!S59)))*IF(L$36=".", 1, (L60/L59)^(('Summary, PPI''s'!$L60+'Summary, PPI''s'!$L59)/('Predicted PPIs'!S60+'Predicted PPIs'!S59)))*IF(M$36=".", 1, (M60/M59)^(('Summary, PPI''s'!$M60+'Summary, PPI''s'!$M59)/('Predicted PPIs'!S60+'Predicted PPIs'!S59)))*IF(B$36=".", 1, (B60/B59)^(('Summary, PPI''s'!$B60+'Summary, PPI''s'!$B59)/('Predicted PPIs'!S60+'Predicted PPIs'!S59)))*IF(C$36=".", 1, (C60/C59)^(('Summary, PPI''s'!$C60+'Summary, PPI''s'!$C59)/('Predicted PPIs'!S60+'Predicted PPIs'!S59)))*IF(D$36=".", 1, (D60/D59)^(('Summary, PPI''s'!$D60+'Summary, PPI''s'!$D59)/('Predicted PPIs'!S60+'Predicted PPIs'!S59)))*IF(N$36=".", 1, (N60/N59)^(('Summary, PPI''s'!$N60+'Summary, PPI''s'!$N59)/('Predicted PPIs'!S60+'Predicted PPIs'!S59)))*IF(O$36=".", 1, (O60/O59)^(('Summary, PPI''s'!$O60+'Summary, PPI''s'!$O59)/('Predicted PPIs'!S60+'Predicted PPIs'!S59)))*IF(P$36=".", 1, (P60/P59)^(('Summary, PPI''s'!$P60+'Summary, PPI''s'!$P59)/('Predicted PPIs'!S60+'Predicted PPIs'!S59)))</f>
        <v>#VALUE!</v>
      </c>
      <c r="AB60" s="4" t="e">
        <f>AB59*IF(E$46=".", 1, (E60/E59)^(('Summary, PPI''s'!$E60+'Summary, PPI''s'!$E59)/('Predicted PPIs'!T60+'Predicted PPIs'!T59)))*IF(F$46=".", 1, (F60/F59)^(('Summary, PPI''s'!$F60+'Summary, PPI''s'!$F59)/('Predicted PPIs'!T60+'Predicted PPIs'!T59)))*IF(G$46=".", 1, (G60/G59)^(('Summary, PPI''s'!$G60+'Summary, PPI''s'!$G59)/('Predicted PPIs'!T60+'Predicted PPIs'!T59)))*IF(H$46=".", 1, (H60/H59)^(('Summary, PPI''s'!$H60+'Summary, PPI''s'!$H59)/('Predicted PPIs'!T60+'Predicted PPIs'!T59)))*IF(I$46=".", 1, (I60/I59)^(('Summary, PPI''s'!$I60+'Summary, PPI''s'!$I59)/('Predicted PPIs'!T60+'Predicted PPIs'!T59)))*IF(J$46=".", 1, (J60/J59)^(('Summary, PPI''s'!$J60+'Summary, PPI''s'!$J59)/('Predicted PPIs'!T60+'Predicted PPIs'!T59)))*IF(K$46=".", 1, (K60/K59)^(('Summary, PPI''s'!$K60+'Summary, PPI''s'!$K59)/('Predicted PPIs'!T60+'Predicted PPIs'!T59)))*IF(L$46=".", 1, (L60/L59)^(('Summary, PPI''s'!$L60+'Summary, PPI''s'!$L59)/('Predicted PPIs'!T60+'Predicted PPIs'!T59)))*IF(M$46=".", 1, (M60/M59)^(('Summary, PPI''s'!$M60+'Summary, PPI''s'!$M59)/('Predicted PPIs'!T60+'Predicted PPIs'!T59)))*IF(B$46=".", 1, (B60/B59)^(('Summary, PPI''s'!$B60+'Summary, PPI''s'!$B59)/('Predicted PPIs'!T60+'Predicted PPIs'!T59)))*IF(C$46=".", 1, (C60/C59)^(('Summary, PPI''s'!$C60+'Summary, PPI''s'!$C59)/('Predicted PPIs'!T60+'Predicted PPIs'!T59)))*IF(D$46=".", 1, (D60/D59)^(('Summary, PPI''s'!$D60+'Summary, PPI''s'!$D59)/('Predicted PPIs'!T60+'Predicted PPIs'!T59)))*IF(N$46=".", 1, (N60/N59)^(('Summary, PPI''s'!$N60+'Summary, PPI''s'!$N59)/('Predicted PPIs'!T60+'Predicted PPIs'!T59)))*IF(O$46=".", 1, (O60/O59)^(('Summary, PPI''s'!$O60+'Summary, PPI''s'!$O59)/('Predicted PPIs'!T60+'Predicted PPIs'!T59)))*IF(P$46=".", 1, (P60/P59)^(('Summary, PPI''s'!$P60+'Summary, PPI''s'!$P59)/('Predicted PPIs'!T60+'Predicted PPIs'!T59)))</f>
        <v>#VALUE!</v>
      </c>
      <c r="AC60" s="4">
        <f>AC59*IF(E$60=".",1,(E60/E59)^(('Summary, PPI''s'!$E60+'Summary, PPI''s'!$E59)/('Predicted PPIs'!U60+'Predicted PPIs'!U59)))*IF(F$60=".",1,(F60/F59)^(('Summary, PPI''s'!$F60+'Summary, PPI''s'!$F59)/('Predicted PPIs'!U60+'Predicted PPIs'!U59)))*IF(G$60=".",1,(G60/G59)^(('Summary, PPI''s'!$G60+'Summary, PPI''s'!$G59)/('Predicted PPIs'!U60+'Predicted PPIs'!U59)))*IF(H$60=".",1,(H60/H59)^(('Summary, PPI''s'!$H60+'Summary, PPI''s'!$H59)/('Predicted PPIs'!U60+'Predicted PPIs'!U59)))*IF(I$60=".",1,(I60/I59)^(('Summary, PPI''s'!$I60+'Summary, PPI''s'!$I59)/('Predicted PPIs'!U60+'Predicted PPIs'!U59)))*IF(J$60=".",1,(J60/J59)^(('Summary, PPI''s'!$J60+'Summary, PPI''s'!$J59)/('Predicted PPIs'!U60+'Predicted PPIs'!U59)))*IF(K$60=".",1,(K60/K59)^(('Summary, PPI''s'!$K60+'Summary, PPI''s'!$K59)/('Predicted PPIs'!U60+'Predicted PPIs'!U59)))*IF(L$60=".",1,(L60/L59)^(('Summary, PPI''s'!$L60+'Summary, PPI''s'!$L59)/('Predicted PPIs'!U60+'Predicted PPIs'!U59)))*IF(M$60=".",1,(M60/M59)^(('Summary, PPI''s'!$M60+'Summary, PPI''s'!$M59)/('Predicted PPIs'!U60+'Predicted PPIs'!U59)))*IF(B$60=".",1,(B60/B59)^(('Summary, PPI''s'!$B60+'Summary, PPI''s'!$B59)/('Predicted PPIs'!U60+'Predicted PPIs'!U59)))*IF(C$60=".",1,(C60/C59)^(('Summary, PPI''s'!$C60+'Summary, PPI''s'!$C59)/('Predicted PPIs'!U60+'Predicted PPIs'!U59)))*IF(D$60=".",1,(D60/D59)^(('Summary, PPI''s'!$D60+'Summary, PPI''s'!$D59)/('Predicted PPIs'!U60+'Predicted PPIs'!U59)))*IF(N$60=".",1,(N60/N59)^(('Summary, PPI''s'!$N60+'Summary, PPI''s'!$N59)/('Predicted PPIs'!U60+'Predicted PPIs'!U59)))*IF(O$60=".",1,(O60/O59)^(('Summary, PPI''s'!$O60+'Summary, PPI''s'!$O59)/('Predicted PPIs'!U60+'Predicted PPIs'!U59)))*IF(P$60=".",1,(P60/P59)^(('Summary, PPI''s'!$P60+'Summary, PPI''s'!$P59)/('Predicted PPIs'!U60+'Predicted PPIs'!U59)))</f>
        <v>11.657962625434401</v>
      </c>
      <c r="AD60" s="4">
        <f>AD59*IF(E$73=".", 1, (E60/E59)^(('Summary, PPI''s'!$E60+'Summary, PPI''s'!$E59)/('Predicted PPIs'!V60+'Predicted PPIs'!V59)))*IF(F$73=".", 1, (F60/F59)^(('Summary, PPI''s'!$F60+'Summary, PPI''s'!$F59)/('Predicted PPIs'!V60+'Predicted PPIs'!V59)))*IF(G$73=".", 1, (G60/G59)^(('Summary, PPI''s'!$G60+'Summary, PPI''s'!$G59)/('Predicted PPIs'!V60+'Predicted PPIs'!V59)))*IF(H$73=".", 1, (H60/H59)^(('Summary, PPI''s'!$H60+'Summary, PPI''s'!$H59)/('Predicted PPIs'!V60+'Predicted PPIs'!V59)))*IF(I$73=".", 1, (I60/I59)^(('Summary, PPI''s'!$I60+'Summary, PPI''s'!$I59)/('Predicted PPIs'!V60+'Predicted PPIs'!V59)))*IF(J$73=".", 1, (J60/J59)^(('Summary, PPI''s'!$J60+'Summary, PPI''s'!$J59)/('Predicted PPIs'!V60+'Predicted PPIs'!V59)))*IF(K$73=".", 1, (K60/K59)^(('Summary, PPI''s'!$K60+'Summary, PPI''s'!$K59)/('Predicted PPIs'!V60+'Predicted PPIs'!V59)))*IF(L$73=".", 1, (L60/L59)^(('Summary, PPI''s'!$L60+'Summary, PPI''s'!$L59)/('Predicted PPIs'!V60+'Predicted PPIs'!V59)))*IF(M$73=".", 1, (M60/M59)^(('Summary, PPI''s'!$M60+'Summary, PPI''s'!$M59)/('Predicted PPIs'!V60+'Predicted PPIs'!V59)))*IF(B$73=".", 1, (B60/B59)^(('Summary, PPI''s'!$B60+'Summary, PPI''s'!$B59)/('Predicted PPIs'!V60+'Predicted PPIs'!V59)))*IF(C$73=".", 1, (C60/C59)^(('Summary, PPI''s'!$C60+'Summary, PPI''s'!$C59)/('Predicted PPIs'!V60+'Predicted PPIs'!V59)))*IF(D$73=".", 1, (D60/D59)^(('Summary, PPI''s'!$D60+'Summary, PPI''s'!$D59)/('Predicted PPIs'!V60+'Predicted PPIs'!V59)))*IF(N$73=".", 1, (N60/N59)^(('Summary, PPI''s'!$N60+'Summary, PPI''s'!$N59)/('Predicted PPIs'!V60+'Predicted PPIs'!V59)))*IF(O$73=".", 1, (O60/O59)^(('Summary, PPI''s'!$O60+'Summary, PPI''s'!$O59)/('Predicted PPIs'!V60+'Predicted PPIs'!V59)))*IF(P$73=".", 1, (P60/P59)^(('Summary, PPI''s'!$P60+'Summary, PPI''s'!$P59)/('Predicted PPIs'!V60+'Predicted PPIs'!V59)))</f>
        <v>11.121141687665125</v>
      </c>
      <c r="AE60" s="4">
        <f>AE59*IF(E$94=".", 1, (E60/E59)^(('Summary, PPI''s'!$E60+'Summary, PPI''s'!$E59)/('Predicted PPIs'!W60+'Predicted PPIs'!W59)))*IF(F$94=".", 1, (F60/F59)^(('Summary, PPI''s'!$F60+'Summary, PPI''s'!$F59)/('Predicted PPIs'!W60+'Predicted PPIs'!W59)))*IF(G$94=".", 1, (G60/G59)^(('Summary, PPI''s'!$G60+'Summary, PPI''s'!$G59)/('Predicted PPIs'!W60+'Predicted PPIs'!W59)))*IF(H$94=".", 1, (H60/H59)^(('Summary, PPI''s'!$H60+'Summary, PPI''s'!$H59)/('Predicted PPIs'!W60+'Predicted PPIs'!W59)))*IF(I$94=".", 1, (I60/I59)^(('Summary, PPI''s'!$I60+'Summary, PPI''s'!$I59)/('Predicted PPIs'!W60+'Predicted PPIs'!W59)))*IF(J$94=".", 1, (J60/J59)^(('Summary, PPI''s'!$J60+'Summary, PPI''s'!$J59)/('Predicted PPIs'!W60+'Predicted PPIs'!W59)))*IF(K$94=".", 1, (K60/K59)^(('Summary, PPI''s'!$K60+'Summary, PPI''s'!$K59)/('Predicted PPIs'!W60+'Predicted PPIs'!W59)))*IF(L$94=".", 1, (L60/L59)^(('Summary, PPI''s'!$L60+'Summary, PPI''s'!$L59)/('Predicted PPIs'!W60+'Predicted PPIs'!W59)))*IF(M$94=".", 1, (M60/M59)^(('Summary, PPI''s'!$M60+'Summary, PPI''s'!$M59)/('Predicted PPIs'!W60+'Predicted PPIs'!W59)))*IF(B$94=".", 1, (B60/B59)^(('Summary, PPI''s'!$B60+'Summary, PPI''s'!$B59)/('Predicted PPIs'!W60+'Predicted PPIs'!W59)))*IF(C$94=".", 1, (C60/C59)^(('Summary, PPI''s'!$C60+'Summary, PPI''s'!$C59)/('Predicted PPIs'!W60+'Predicted PPIs'!W59)))*IF(D$94=".", 1, (D60/D59)^(('Summary, PPI''s'!$D60+'Summary, PPI''s'!$D59)/('Predicted PPIs'!W60+'Predicted PPIs'!W59)))*IF(N$94=".", 1, (N60/N59)^(('Summary, PPI''s'!$N60+'Summary, PPI''s'!$N59)/('Predicted PPIs'!W60+'Predicted PPIs'!W59)))*IF(O$94=".", 1, (O60/O59)^(('Summary, PPI''s'!$O60+'Summary, PPI''s'!$O59)/('Predicted PPIs'!W60+'Predicted PPIs'!W59)))*IF(P$94=".", 1, (P60/P59)^(('Summary, PPI''s'!$P60+'Summary, PPI''s'!$P59)/('Predicted PPIs'!W60+'Predicted PPIs'!W59)))</f>
        <v>10.347251903593827</v>
      </c>
      <c r="AF60" s="4">
        <f>AF59*IF(E$123=".", 1, (E60/E59)^(('Summary, PPI''s'!$E60+'Summary, PPI''s'!$E59)/('Predicted PPIs'!X60+'Predicted PPIs'!X59)))*IF(F$123=".", 1, (F60/F59)^(('Summary, PPI''s'!$F60+'Summary, PPI''s'!$F59)/('Predicted PPIs'!X60+'Predicted PPIs'!X59)))*IF(G$123=".", 1, (G60/G59)^(('Summary, PPI''s'!$G60+'Summary, PPI''s'!$G59)/('Predicted PPIs'!X60+'Predicted PPIs'!X59)))*IF(H$123=".", 1, (H60/H59)^(('Summary, PPI''s'!$H60+'Summary, PPI''s'!$H59)/('Predicted PPIs'!X60+'Predicted PPIs'!X59)))*IF(I$123=".", 1, (I60/I59)^(('Summary, PPI''s'!$I60+'Summary, PPI''s'!$I59)/('Predicted PPIs'!X60+'Predicted PPIs'!X59)))*IF(J$123=".", 1, (J60/J59)^(('Summary, PPI''s'!$J60+'Summary, PPI''s'!$J59)/('Predicted PPIs'!X60+'Predicted PPIs'!X59)))*IF(K$123=".", 1, (K60/K59)^(('Summary, PPI''s'!$K60+'Summary, PPI''s'!$K59)/('Predicted PPIs'!X60+'Predicted PPIs'!X59)))*IF(L$123=".", 1, (L60/L59)^(('Summary, PPI''s'!$L60+'Summary, PPI''s'!$L59)/('Predicted PPIs'!X60+'Predicted PPIs'!X59)))*IF(M$123=".", 1, (M60/M59)^(('Summary, PPI''s'!$M60+'Summary, PPI''s'!$M59)/('Predicted PPIs'!X60+'Predicted PPIs'!X59)))*IF(B$123=".", 1, (B60/B59)^(('Summary, PPI''s'!$B60+'Summary, PPI''s'!$B59)/('Predicted PPIs'!X60+'Predicted PPIs'!X59)))*IF(C$123=".", 1, (C60/C59)^(('Summary, PPI''s'!$C60+'Summary, PPI''s'!$C59)/('Predicted PPIs'!X60+'Predicted PPIs'!X59)))*IF(D$123=".", 1, (D60/D59)^(('Summary, PPI''s'!$D60+'Summary, PPI''s'!$D59)/('Predicted PPIs'!X60+'Predicted PPIs'!X59)))*IF(N$123=".", 1, (N60/N59)^(('Summary, PPI''s'!$N60+'Summary, PPI''s'!$N59)/('Predicted PPIs'!X60+'Predicted PPIs'!X59)))*IF(O$123=".", 1, (O60/O59)^(('Summary, PPI''s'!$O60+'Summary, PPI''s'!$O59)/('Predicted PPIs'!X60+'Predicted PPIs'!X59)))*IF(P$123=".", 1, (P60/P59)^(('Summary, PPI''s'!$P60+'Summary, PPI''s'!$P59)/('Predicted PPIs'!X60+'Predicted PPIs'!X59)))</f>
        <v>10.033106283747978</v>
      </c>
      <c r="AH60" s="13">
        <f t="shared" si="91"/>
        <v>12.890539905357357</v>
      </c>
      <c r="AJ60" s="4">
        <v>382</v>
      </c>
      <c r="AK60" s="4">
        <v>-0.92100000000000004</v>
      </c>
      <c r="AL60" s="4">
        <v>-37.786999999999999</v>
      </c>
      <c r="AM60" s="4">
        <v>-2.36</v>
      </c>
      <c r="AN60" s="4">
        <v>495.6</v>
      </c>
      <c r="AO60" s="4">
        <v>97.3</v>
      </c>
      <c r="AP60" s="4">
        <f>('[3]1963'!$I$14+'[3]1963'!$I$69+'[3]1963'!$I$71-'[3]1963'!$I$73)*0.001</f>
        <v>-9.3010000000000002</v>
      </c>
      <c r="AQ60" s="4">
        <f>('[3]1963'!$AY$56+'[3]1963'!$AY$69+'[3]1963'!$AY$71-'[3]1963'!$AY$73)*0.001</f>
        <v>-19.806000000000001</v>
      </c>
      <c r="AR60" s="4">
        <f>AR$38*433/23762</f>
        <v>-0.20387189630502484</v>
      </c>
      <c r="AS60" s="4">
        <v>-2.823</v>
      </c>
      <c r="AT60" s="4">
        <v>17.007000000000001</v>
      </c>
      <c r="AU60" s="4">
        <v>21.873000000000001</v>
      </c>
      <c r="AV60" s="4">
        <v>14.874000000000001</v>
      </c>
      <c r="AW60" s="4">
        <v>14.491</v>
      </c>
      <c r="AX60" s="4">
        <v>16.658999999999999</v>
      </c>
      <c r="AY60" s="4">
        <v>23.47</v>
      </c>
      <c r="AZ60" s="4">
        <v>8.9049999999999994</v>
      </c>
      <c r="BA60" s="4">
        <v>19.385999999999999</v>
      </c>
      <c r="BB60" s="4">
        <f>BB$38*169.812/184.05</f>
        <v>95.013527628361857</v>
      </c>
      <c r="BC60" s="4">
        <v>18.507000000000001</v>
      </c>
      <c r="BG60" s="4">
        <f t="shared" si="50"/>
        <v>21.961045399770949</v>
      </c>
      <c r="BI60" s="4">
        <f>BI$13*'[2]Ordinary Experience'!$D$366/'[2]Ordinary Experience'!$D$413</f>
        <v>186363958.29593366</v>
      </c>
      <c r="BJ60" s="4">
        <f>'[2]Ordinary Experience'!$E$366</f>
        <v>30.296030569058718</v>
      </c>
      <c r="BL60" s="4">
        <f t="shared" si="90"/>
        <v>42.654936662469332</v>
      </c>
      <c r="BM60" s="4">
        <f t="shared" si="34"/>
        <v>2.9706161408814102E-2</v>
      </c>
      <c r="BO60" s="4">
        <f>IF(OR('Summary, hourly ad costs'!R60=-9999,'Summary, PPI''s'!R60="."),".",(('Summary, hourly ad costs'!B60/'Summary, hourly ad costs'!R60)*100/('Summary, hourly ad costs'!B$11/'Summary, hourly ad costs'!R$11))/('Summary, PPI''s'!R60))</f>
        <v>1.3452988935592027</v>
      </c>
      <c r="BP60" s="4" t="str">
        <f>IF(OR('Summary, hourly ad costs'!S60=-9999,'Summary, PPI''s'!S60="."),".",(('Summary, hourly ad costs'!C60/'Summary, hourly ad costs'!S60)*100/('Summary, hourly ad costs'!C$11/'Summary, hourly ad costs'!S$11))/('Summary, PPI''s'!S60))</f>
        <v>.</v>
      </c>
      <c r="BQ60" s="4" t="str">
        <f>IF(OR('Summary, hourly ad costs'!T60=-9999,'Summary, PPI''s'!T60="."),".",(('Summary, hourly ad costs'!D60/'Summary, hourly ad costs'!T60)*100/('Summary, hourly ad costs'!D$11/'Summary, hourly ad costs'!T$11))/('Summary, PPI''s'!T60))</f>
        <v>.</v>
      </c>
      <c r="BR60" s="4">
        <f>IF(OR('Summary, hourly ad costs'!U60=-9999,'Summary, PPI''s'!U60="."),".",(('Summary, hourly ad costs'!E60/'Summary, hourly ad costs'!U60)*100/('Summary, hourly ad costs'!E$11/'Summary, hourly ad costs'!U$11))/('Summary, PPI''s'!U60))</f>
        <v>1.5675443029767675</v>
      </c>
      <c r="BS60" s="4">
        <f>IF(OR('Summary, hourly ad costs'!V60=-9999,'Summary, PPI''s'!V60="."),".",(('Summary, hourly ad costs'!F60/'Summary, hourly ad costs'!V60)*100/('Summary, hourly ad costs'!F$11/'Summary, hourly ad costs'!V$11))/('Summary, PPI''s'!V60))</f>
        <v>1.4850334405259389</v>
      </c>
      <c r="BT60" s="4" t="str">
        <f>IF(OR('Summary, hourly ad costs'!W60=-9999,'Summary, PPI''s'!W60="."),".",(('Summary, hourly ad costs'!G60/'Summary, hourly ad costs'!W60)*100/('Summary, hourly ad costs'!G$11/'Summary, hourly ad costs'!W$11))/('Summary, PPI''s'!W60))</f>
        <v>.</v>
      </c>
      <c r="BU60" s="4">
        <f>IF(OR('Summary, hourly ad costs'!X60=-9999,'Summary, PPI''s'!X60="."),".",(('Summary, hourly ad costs'!H60/'Summary, hourly ad costs'!X60)*100/('Summary, hourly ad costs'!H$11/'Summary, hourly ad costs'!X$11))/('Summary, PPI''s'!X60))</f>
        <v>1.113186443296831</v>
      </c>
      <c r="BV60" s="4" t="str">
        <f>IF(OR('Summary, hourly ad costs'!Y60=-9999,'Summary, PPI''s'!Y60="."),".",(('Summary, hourly ad costs'!I60/'Summary, hourly ad costs'!Y60)*100/('Summary, hourly ad costs'!I$11/'Summary, hourly ad costs'!Y$11))/('Summary, PPI''s'!Y60))</f>
        <v>.</v>
      </c>
      <c r="BW60" s="4" t="str">
        <f>IF(OR('Summary, hourly ad costs'!Z60=-9999,'Summary, PPI''s'!Z60="."),".",(('Summary, hourly ad costs'!J60/'Summary, hourly ad costs'!Z60)*100/('Summary, hourly ad costs'!J$11/'Summary, hourly ad costs'!Z$11))/('Summary, PPI''s'!Z60))</f>
        <v>.</v>
      </c>
      <c r="BX60" s="4" t="str">
        <f>IF(OR('Summary, hourly ad costs'!AA60=-9999,'Summary, PPI''s'!AA60="."),".",(('Summary, hourly ad costs'!K60/'Summary, hourly ad costs'!AA60)*100/('Summary, hourly ad costs'!K$11/'Summary, hourly ad costs'!AA$11))/('Summary, PPI''s'!AA60))</f>
        <v>.</v>
      </c>
      <c r="BY60" s="4" t="str">
        <f>IF(OR('Summary, hourly ad costs'!AB60=-9999,'Summary, PPI''s'!AB60="."),".",(('Summary, hourly ad costs'!L60/'Summary, hourly ad costs'!AB60)*100/('Summary, hourly ad costs'!L$11/'Summary, hourly ad costs'!AB$11))/('Summary, PPI''s'!AB60))</f>
        <v>.</v>
      </c>
      <c r="BZ60" s="4" t="str">
        <f>IF(OR('Summary, hourly ad costs'!AC60=-9999,'Summary, PPI''s'!AC60="."),".",(('Summary, hourly ad costs'!M60/'Summary, hourly ad costs'!AC60)*100/('Summary, hourly ad costs'!M$11/'Summary, hourly ad costs'!AC$11))/('Summary, PPI''s'!AC60))</f>
        <v>.</v>
      </c>
      <c r="CA60" s="4" t="str">
        <f>IF(OR('Summary, hourly ad costs'!AD60=-9999,'Summary, PPI''s'!AD60="."),".",(('Summary, hourly ad costs'!N60/'Summary, hourly ad costs'!AD60)*100/('Summary, hourly ad costs'!N$11/'Summary, hourly ad costs'!AD$11))/('Summary, PPI''s'!AD60))</f>
        <v>.</v>
      </c>
      <c r="CB60" s="4" t="str">
        <f>IF(OR('Summary, hourly ad costs'!AE60=-9999,'Summary, PPI''s'!AE60="."),".",(('Summary, hourly ad costs'!O60/'Summary, hourly ad costs'!AE60)*100/('Summary, hourly ad costs'!O$11/'Summary, hourly ad costs'!AE$11))/('Summary, PPI''s'!AE60))</f>
        <v>.</v>
      </c>
      <c r="CC60" s="4" t="str">
        <f>IF(OR('Summary, hourly ad costs'!AF60=-9999,'Summary, PPI''s'!AF60="."),".",(('Summary, hourly ad costs'!P60/'Summary, hourly ad costs'!AF60)*100/('Summary, hourly ad costs'!P$11/'Summary, hourly ad costs'!AF$11))/('Summary, PPI''s'!AF60))</f>
        <v>.</v>
      </c>
      <c r="CE60" s="4">
        <f t="shared" ref="CE60:CE91" si="134">_xlfn.FORECAST.LINEAR($BM60,CE$24:CE$59,$BM$24:$BM$59)</f>
        <v>-3.8157116176965947E-3</v>
      </c>
      <c r="CF60" s="4" t="str">
        <f t="shared" ref="CF60:CF91" si="135">IF(OR(BP60=".",BP61="."), ".", BP60/BP61-1)</f>
        <v>.</v>
      </c>
      <c r="CG60" s="4" t="str">
        <f t="shared" ref="CG60:CG91" si="136">IF(OR(BQ60=".",BQ61="."), ".", BQ60/BQ61-1)</f>
        <v>.</v>
      </c>
      <c r="CH60" s="4">
        <f>_xlfn.FORECAST.LINEAR($BM60,CH$24:CH$59,$BM$24:$BM$59)</f>
        <v>1.7167006723795328E-2</v>
      </c>
      <c r="CI60" s="4">
        <f>_xlfn.FORECAST.LINEAR($BM60,CI$24:CI$59,$BM$24:$BM$59)</f>
        <v>2.1201113720455366E-2</v>
      </c>
      <c r="CJ60" s="4" t="str">
        <f t="shared" ref="CJ60:CK63" si="137">IF(OR(BT60=".",BT61="."), ".", BT60/BT61-1)</f>
        <v>.</v>
      </c>
      <c r="CK60" s="4">
        <f t="shared" si="137"/>
        <v>5.9983223785753381E-5</v>
      </c>
      <c r="CL60" s="4">
        <f t="shared" si="130"/>
        <v>1.4540592892480882E-2</v>
      </c>
      <c r="CM60" s="4">
        <f t="shared" si="130"/>
        <v>2.2196815482762373E-2</v>
      </c>
      <c r="CN60" s="4">
        <f t="shared" si="89"/>
        <v>2.7318020182990135E-4</v>
      </c>
      <c r="CO60" s="4">
        <f t="shared" si="120"/>
        <v>0.18932244459263503</v>
      </c>
      <c r="CP60" s="4">
        <f t="shared" si="120"/>
        <v>0.11222907924774628</v>
      </c>
      <c r="CQ60" s="4" t="str">
        <f t="shared" si="110"/>
        <v>.</v>
      </c>
      <c r="CR60" s="4" t="str">
        <f t="shared" si="111"/>
        <v>.</v>
      </c>
      <c r="CS60" s="4" t="str">
        <f t="shared" si="112"/>
        <v>.</v>
      </c>
      <c r="CU60" s="5">
        <f>IF(CU59=".", ".", IF('Summary, PPI''s'!R60=".",IF(OR('Summary, hourly ad costs'!R60=-9999,'Summary, hourly ad costs'!R60=0), ".", 'Predicted PPIs'!CU59*('Summary, hourly ad costs'!B60/'Summary, hourly ad costs'!R60)/('Summary, hourly ad costs'!B59/'Summary, hourly ad costs'!R59)/(1-CE59)), 'Summary, PPI''s'!R60))</f>
        <v>21.206263325097577</v>
      </c>
      <c r="CV60" s="5">
        <f>IF(CV59=".", ".", IF('Summary, PPI''s'!S60=".",IF(OR('Summary, hourly ad costs'!S60=-9999,'Summary, hourly ad costs'!S60=0), ".", 'Predicted PPIs'!CV59*('Summary, hourly ad costs'!C60/'Summary, hourly ad costs'!S60)/('Summary, hourly ad costs'!C59/'Summary, hourly ad costs'!S59)/(1-CF59)), 'Summary, PPI''s'!S60))</f>
        <v>21.206263325097577</v>
      </c>
      <c r="CW60" s="5" t="str">
        <f>IF(CW59=".", ".", IF('Summary, PPI''s'!T60=".",IF(OR('Summary, hourly ad costs'!T60=-9999,'Summary, hourly ad costs'!T60=0), ".", 'Predicted PPIs'!CW59*('Summary, hourly ad costs'!D60/'Summary, hourly ad costs'!T60)/('Summary, hourly ad costs'!D59/'Summary, hourly ad costs'!T59)/(1-CG59)), 'Summary, PPI''s'!T60))</f>
        <v>.</v>
      </c>
      <c r="CX60" s="5">
        <f>IF(CX59=".", ".", IF('Summary, PPI''s'!U60=".",IF(OR('Summary, hourly ad costs'!U60=-9999,'Summary, hourly ad costs'!U60=0), ".", 'Predicted PPIs'!CX59*('Summary, hourly ad costs'!E60/'Summary, hourly ad costs'!U60)/('Summary, hourly ad costs'!E59/'Summary, hourly ad costs'!U59)/(1-CH59)), 'Summary, PPI''s'!U60))</f>
        <v>7.6880913537757296</v>
      </c>
      <c r="CY60" s="5">
        <f>IF(CY59=".", ".", IF('Summary, PPI''s'!V60=".",IF(OR('Summary, hourly ad costs'!V60=-9999,'Summary, hourly ad costs'!V60=0), ".", 'Predicted PPIs'!CY59*('Summary, hourly ad costs'!F60/'Summary, hourly ad costs'!V60)/('Summary, hourly ad costs'!F59/'Summary, hourly ad costs'!V59)/(1-CI59)), 'Summary, PPI''s'!V60))</f>
        <v>13.176419959654122</v>
      </c>
      <c r="CZ60" s="5">
        <f>IF(CZ59=".", ".", IF('Summary, PPI''s'!W60=".",IF(OR('Summary, hourly ad costs'!W60=-9999,'Summary, hourly ad costs'!W60=0), ".", 'Predicted PPIs'!CZ59*('Summary, hourly ad costs'!G60/'Summary, hourly ad costs'!W60)/('Summary, hourly ad costs'!G59/'Summary, hourly ad costs'!W59)/(1-CJ59)), 'Summary, PPI''s'!W60))</f>
        <v>8.7877657024611775</v>
      </c>
      <c r="DA60" s="5">
        <f>IF(DA59=".", ".", IF('Summary, PPI''s'!X60=".",IF(OR('Summary, hourly ad costs'!X60=-9999,'Summary, hourly ad costs'!X60=0), ".", 'Predicted PPIs'!DA59*('Summary, hourly ad costs'!H60/'Summary, hourly ad costs'!X60)/('Summary, hourly ad costs'!H59/'Summary, hourly ad costs'!X59)/(1-CK59)), 'Summary, PPI''s'!X60))</f>
        <v>9.9559999999999995</v>
      </c>
      <c r="DB60" s="5">
        <f>IF(DB59=".", ".", IF('Summary, PPI''s'!Y60=".",IF(OR('Summary, hourly ad costs'!Y60=-9999,'Summary, hourly ad costs'!Y60=0), ".", 'Predicted PPIs'!DB59*('Summary, hourly ad costs'!I60/'Summary, hourly ad costs'!Y60)/('Summary, hourly ad costs'!I59/'Summary, hourly ad costs'!Y59)/(1-CL59)), 'Summary, PPI''s'!Y60))</f>
        <v>9.7749543262018932</v>
      </c>
      <c r="DC60" s="5">
        <f>IF(DC59=".", ".", IF('Summary, PPI''s'!Z60=".",IF(OR('Summary, hourly ad costs'!Z60=-9999,'Summary, hourly ad costs'!Z60=0), ".", 'Predicted PPIs'!DC59*('Summary, hourly ad costs'!J60/'Summary, hourly ad costs'!Z60)/('Summary, hourly ad costs'!J59/'Summary, hourly ad costs'!Z59)/(1-CM59)), 'Summary, PPI''s'!Z60))</f>
        <v>15.017906437847872</v>
      </c>
      <c r="DD60" s="5" t="str">
        <f>IF(DD59=".", ".", IF('Summary, PPI''s'!AA60=".",IF(OR('Summary, hourly ad costs'!AA60=-9999,'Summary, hourly ad costs'!AA60=0), ".", 'Predicted PPIs'!DD59*('Summary, hourly ad costs'!K60/'Summary, hourly ad costs'!AA60)/('Summary, hourly ad costs'!K59/'Summary, hourly ad costs'!AA59)/(1-CN59)), 'Summary, PPI''s'!AA60))</f>
        <v>.</v>
      </c>
      <c r="DE60" s="5" t="str">
        <f>IF(DE59=".", ".", IF('Summary, PPI''s'!AB60=".",IF(OR('Summary, hourly ad costs'!AB60=-9999,'Summary, hourly ad costs'!AB60=0), ".", 'Predicted PPIs'!DE59*('Summary, hourly ad costs'!L60/'Summary, hourly ad costs'!AB60)/('Summary, hourly ad costs'!L59/'Summary, hourly ad costs'!AB59)/(1-CO59)), 'Summary, PPI''s'!AB60))</f>
        <v>.</v>
      </c>
      <c r="DF60" s="5" t="str">
        <f>IF(DF59=".", ".", IF('Summary, PPI''s'!AC60=".",IF(OR('Summary, hourly ad costs'!AC60=-9999,'Summary, hourly ad costs'!AC60=0), ".", 'Predicted PPIs'!DF59*('Summary, hourly ad costs'!M60/'Summary, hourly ad costs'!AC60)/('Summary, hourly ad costs'!M59/'Summary, hourly ad costs'!AC59)/(1-CP59)), 'Summary, PPI''s'!AC60))</f>
        <v>.</v>
      </c>
      <c r="DG60" s="5" t="str">
        <f>IF(DG59=".", ".", IF('Summary, PPI''s'!AD60=".",IF(OR('Summary, hourly ad costs'!AD60=-9999,'Summary, hourly ad costs'!AD60=0), ".", 'Predicted PPIs'!DG59*('Summary, hourly ad costs'!N60/'Summary, hourly ad costs'!AD60)/('Summary, hourly ad costs'!N59/'Summary, hourly ad costs'!AD59)/(1-CQ59)), 'Summary, PPI''s'!AD60))</f>
        <v>.</v>
      </c>
      <c r="DH60" s="5" t="str">
        <f>IF(DH59=".", ".", IF('Summary, PPI''s'!AE60=".",IF(OR('Summary, hourly ad costs'!AE60=-9999,'Summary, hourly ad costs'!AE60=0), ".", 'Predicted PPIs'!DH59*('Summary, hourly ad costs'!O60/'Summary, hourly ad costs'!AE60)/('Summary, hourly ad costs'!O59/'Summary, hourly ad costs'!AE59)/(1-CR59)), 'Summary, PPI''s'!AE60))</f>
        <v>.</v>
      </c>
      <c r="DI60" s="5" t="str">
        <f>IF(DI59=".", ".", IF('Summary, PPI''s'!AF60=".",IF(OR('Summary, hourly ad costs'!AF60=-9999,'Summary, hourly ad costs'!AF60=0), ".", 'Predicted PPIs'!DI59*('Summary, hourly ad costs'!P60/'Summary, hourly ad costs'!AF60)/('Summary, hourly ad costs'!P59/'Summary, hourly ad costs'!AF59)/(1-CS59)), 'Summary, PPI''s'!AF60))</f>
        <v>.</v>
      </c>
      <c r="DK60" s="4">
        <v>6.6440000000000001</v>
      </c>
      <c r="DM60" s="5">
        <f t="shared" ref="DM60:DM91" si="138">IF(OR(CU60=".", CU61="."), ".",(CU60/$DK60)/(CU61/$DK61)-1)</f>
        <v>-1.6564816828301132E-2</v>
      </c>
      <c r="DN60" s="4">
        <f t="shared" ref="DN60:DN91" si="139">_xlfn.FORECAST.LINEAR($BM60,DN$4:DN$59,$BM$4:$BM$59)</f>
        <v>-2.5401113004224773E-2</v>
      </c>
      <c r="DO60" s="4">
        <f t="shared" si="123"/>
        <v>-2.2639503905160945E-2</v>
      </c>
      <c r="DP60" s="5">
        <f t="shared" ref="DP60:DP91" si="140">IF(OR(CX60=".", CX61="."), ".",(CX60/$DK60)/(CX61/$DK61)-1)</f>
        <v>-3.0329277893610396E-3</v>
      </c>
      <c r="DQ60" s="5">
        <f t="shared" ref="DQ60:DQ91" si="141">IF(OR(CY60=".", CY61="."), ".",(CY60/$DK60)/(CY61/$DK61)-1)</f>
        <v>-1.0162737437866443E-2</v>
      </c>
      <c r="DR60" s="4">
        <f>_xlfn.FORECAST.LINEAR($BM60,DR$4:DR$59,$BM$4:$BM$59)</f>
        <v>-7.1767651303985746E-3</v>
      </c>
      <c r="DS60" s="5">
        <f t="shared" ref="DS60:DS72" si="142">IF(OR(DA60=".", DA61="."), ".",(DA60/$DK60)/(DA61/$DK61)-1)</f>
        <v>1.5381255970392971E-2</v>
      </c>
      <c r="DT60" s="5">
        <f t="shared" ref="DT60:DT72" si="143">IF(OR(DB60=".", DB61="."), ".",(DB60/$DK60)/(DB61/$DK61)-1)</f>
        <v>1.9660644439272623E-2</v>
      </c>
      <c r="DU60" s="5">
        <f t="shared" ref="DU60:DU72" si="144">IF(OR(DC60=".", DC61="."), ".",(DC60/$DK60)/(DC61/$DK61)-1)</f>
        <v>1.0194520203125945E-2</v>
      </c>
      <c r="DV60" s="4">
        <f t="shared" si="131"/>
        <v>-2.5630829919419493E-4</v>
      </c>
      <c r="DW60" s="4">
        <f t="shared" si="133"/>
        <v>-0.10419590227558953</v>
      </c>
      <c r="DX60" s="4">
        <f t="shared" si="133"/>
        <v>1.7431648710928282E-2</v>
      </c>
      <c r="DY60" s="4">
        <f t="shared" si="108"/>
        <v>-1.6356301594377273E-2</v>
      </c>
      <c r="DZ60" s="4">
        <f t="shared" si="132"/>
        <v>-9.6350626462555489E-3</v>
      </c>
      <c r="EA60" s="4">
        <f t="shared" si="109"/>
        <v>-9.6058722752019113E-3</v>
      </c>
      <c r="EC60" s="1">
        <f t="shared" si="93"/>
        <v>21.206263325097577</v>
      </c>
      <c r="ED60" s="1">
        <f t="shared" si="94"/>
        <v>21.206263325097577</v>
      </c>
      <c r="EE60" s="1">
        <f t="shared" si="95"/>
        <v>11.795845505916565</v>
      </c>
      <c r="EF60" s="1">
        <f t="shared" si="96"/>
        <v>7.6880913537757296</v>
      </c>
      <c r="EG60" s="1">
        <f t="shared" si="97"/>
        <v>13.176419959654122</v>
      </c>
      <c r="EH60" s="1">
        <f t="shared" si="98"/>
        <v>8.7877657024611775</v>
      </c>
      <c r="EI60" s="1">
        <f t="shared" si="99"/>
        <v>9.9559999999999995</v>
      </c>
      <c r="EJ60" s="1">
        <f t="shared" si="100"/>
        <v>9.7749543262018932</v>
      </c>
      <c r="EK60" s="1">
        <f t="shared" si="101"/>
        <v>15.017906437847872</v>
      </c>
      <c r="EL60" s="1">
        <f t="shared" si="102"/>
        <v>5.4208683959862789</v>
      </c>
      <c r="EM60" s="1">
        <f t="shared" si="103"/>
        <v>3.170231237685941</v>
      </c>
      <c r="EN60" s="1">
        <f t="shared" si="104"/>
        <v>5.8756813092418039</v>
      </c>
      <c r="EO60" s="1">
        <f t="shared" si="105"/>
        <v>7.0489112941901828</v>
      </c>
      <c r="EP60" s="1">
        <f t="shared" si="106"/>
        <v>9.30636384087998</v>
      </c>
      <c r="EQ60" s="1">
        <f t="shared" si="107"/>
        <v>7.1354211419452049</v>
      </c>
      <c r="ES60" s="1">
        <f>IF(EF$26=".", 0, 'Summary, PPI''s'!E60)+IF(EG$26=".", 0, 'Summary, PPI''s'!F60)+IF(EH$26=".", 0, 'Summary, PPI''s'!G60)+IF(EI$26=".", 0, 'Summary, PPI''s'!H60)+IF(EJ$26=".", 0, 'Summary, PPI''s'!I60)+IF(EK$26=".", 0, 'Summary, PPI''s'!J60)+IF(EL$26=".", 0, 'Summary, PPI''s'!K60)+IF(EM$26=".", 0, 'Summary, PPI''s'!L60)+IF(EN$26=".", 0, 'Summary, PPI''s'!M60)+IF(EC$26=".", 0, 'Summary, PPI''s'!B60)+IF(ED$26=".", 0, 'Summary, PPI''s'!C60)+IF(EE$26=".", 0, 'Summary, PPI''s'!D60)+IF(EO$26=".", 0, 'Summary, PPI''s'!N60)+IF(EP$26=".", 0, 'Summary, PPI''s'!O60)+IF(EQ$26=".", 0, 'Summary, PPI''s'!P60)</f>
        <v>13454190.232633319</v>
      </c>
      <c r="ET60" s="1">
        <f>'Summary, hourly ad costs'!E60+'Summary, hourly ad costs'!F60+'Summary, hourly ad costs'!H60+'Summary, hourly ad costs'!I60+'Summary, hourly ad costs'!J60+'Summary, hourly ad costs'!K60+'Summary, hourly ad costs'!L60+'Summary, hourly ad costs'!M60+'Summary, hourly ad costs'!B60</f>
        <v>7623294.2140764697</v>
      </c>
      <c r="EV60" s="13">
        <f>EV59*IF(EF$26=".", 1, (EF60/EF59)^(('Summary, PPI''s'!$E60+'Summary, PPI''s'!$E59)/('Predicted PPIs'!ES60+'Predicted PPIs'!ES59)))*IF(EG$26=".", 1, (EG60/EG59)^(('Summary, PPI''s'!$F60+'Summary, PPI''s'!$F59)/('Predicted PPIs'!ES60+'Predicted PPIs'!ES59)))*IF(EH$26=".", 1, (EH60/EH59)^(('Summary, PPI''s'!$G60+'Summary, PPI''s'!$G59)/('Predicted PPIs'!ES60+'Predicted PPIs'!ES59)))*IF(EI$26=".", 1, (EI60/EI59)^(('Summary, PPI''s'!$H60+'Summary, PPI''s'!$H59)/('Predicted PPIs'!ES60+'Predicted PPIs'!ES59)))*IF(EJ$26=".", 1, (EJ60/EJ59)^(('Summary, PPI''s'!$I60+'Summary, PPI''s'!$I59)/('Predicted PPIs'!ES60+'Predicted PPIs'!ES59)))*IF(EK$26=".", 1, (EK60/EK59)^(('Summary, PPI''s'!$J60+'Summary, PPI''s'!$J59)/('Predicted PPIs'!ES60+'Predicted PPIs'!ES59)))*IF(EL$26=".", 1, (EL60/EL59)^(('Summary, PPI''s'!$K60+'Summary, PPI''s'!$K59)/('Predicted PPIs'!ES60+'Predicted PPIs'!ES59)))*IF(EM$26=".", 1, (EM60/EM59)^(('Summary, PPI''s'!$L60+'Summary, PPI''s'!$L59)/('Predicted PPIs'!ES60+'Predicted PPIs'!ES59)))*IF(EN$26=".", 1, (EN60/EN59)^(('Summary, PPI''s'!$M60+'Summary, PPI''s'!$M59)/('Predicted PPIs'!ES60+'Predicted PPIs'!ES59)))*IF(EC$26=".", 1, (EC60/EC59)^(('Summary, PPI''s'!$B60+'Summary, PPI''s'!$B59)/('Predicted PPIs'!ES60+'Predicted PPIs'!ES59)))*IF(ED$26=".", 1, (ED60/ED59)^(('Summary, PPI''s'!$C60+'Summary, PPI''s'!$C59)/('Predicted PPIs'!ES60+'Predicted PPIs'!ES59)))*IF(EE$26=".", 1, (EE60/EE59)^(('Summary, PPI''s'!$D60+'Summary, PPI''s'!$D59)/('Predicted PPIs'!ES60+'Predicted PPIs'!ES59)))*IF(EO$26=".", 1, (EO60/EO59)^(('Summary, PPI''s'!$N60+'Summary, PPI''s'!$N59)/('Predicted PPIs'!ES60+'Predicted PPIs'!ES59)))*IF(EP$26=".", 1, (EP60/EP59)^(('Summary, PPI''s'!$O60+'Summary, PPI''s'!$O59)/('Predicted PPIs'!ES60+'Predicted PPIs'!ES59)))*IF(EQ$26=".", 1, (EQ60/EQ59)^(('Summary, PPI''s'!$P60+'Summary, PPI''s'!$P59)/('Predicted PPIs'!ES60+'Predicted PPIs'!ES59)))</f>
        <v>11.528839973775357</v>
      </c>
      <c r="EW60" s="13">
        <f>EW59*IF(EF$26=".", 1, (EF60/EF59)^(('Summary, PPI''s'!$E60+'Summary, PPI''s'!$E59)/('Predicted PPIs'!ET60+'Predicted PPIs'!ET59)))*IF(EG$26=".", 1, (EG60/EG59)^(('Summary, PPI''s'!$F60+'Summary, PPI''s'!$F59)/('Predicted PPIs'!ET60+'Predicted PPIs'!ET59)))*IF(EH$26=".", 1, (EH60/EH59)^(('Summary, PPI''s'!$G60+'Summary, PPI''s'!$G59)/('Predicted PPIs'!ET60+'Predicted PPIs'!ET59)))*IF(EK$26=".", 1, (EK60/EK59)^(('Summary, PPI''s'!$J60+'Summary, PPI''s'!$J59)/('Predicted PPIs'!ET60+'Predicted PPIs'!ET59)))*IF(EL$26=".", 1, (EL60/EL59)^(('Summary, PPI''s'!$K60+'Summary, PPI''s'!$K59)/('Predicted PPIs'!ET60+'Predicted PPIs'!ET59)))*IF(EM$26=".", 1, (EM60/EM59)^(('Summary, PPI''s'!$L60+'Summary, PPI''s'!$L59)/('Predicted PPIs'!ET60+'Predicted PPIs'!ET59)))*IF(EN$26=".", 1, (EN60/EN59)^(('Summary, PPI''s'!$M60+'Summary, PPI''s'!$M59)/('Predicted PPIs'!ET60+'Predicted PPIs'!ET59)))*IF(EC$26=".", 1, (EC60/EC59)^(('Summary, PPI''s'!$B60+'Summary, PPI''s'!$B59)/('Predicted PPIs'!ET60+'Predicted PPIs'!ET59)))</f>
        <v>14.720654678938745</v>
      </c>
      <c r="EY60" s="2"/>
    </row>
    <row r="61" spans="1:155" x14ac:dyDescent="0.3">
      <c r="A61" s="4">
        <v>1962</v>
      </c>
      <c r="B61" s="10">
        <f>IF(B60=".", ".", IF('Summary, PPI''s'!R61=".",IF(OR('Summary, hourly ad costs'!R61=-9999,'Summary, hourly ad costs'!R61=0), ".", 'Predicted PPIs'!B60*('Summary, hourly ad costs'!B61/'Summary, hourly ad costs'!R61)/('Summary, hourly ad costs'!B60/'Summary, hourly ad costs'!R60)), 'Summary, PPI''s'!R61))</f>
        <v>21.19940053226183</v>
      </c>
      <c r="C61" s="10" t="str">
        <f>IF(C60=".", ".", IF('Summary, PPI''s'!S61=".",IF(OR('Summary, hourly ad costs'!S61=-9999,'Summary, hourly ad costs'!S61=0), ".", 'Predicted PPIs'!C60*('Summary, hourly ad costs'!C61/'Summary, hourly ad costs'!S61)/('Summary, hourly ad costs'!C60/'Summary, hourly ad costs'!S60)), 'Summary, PPI''s'!S61))</f>
        <v>.</v>
      </c>
      <c r="D61" s="10" t="str">
        <f>IF(D60=".", ".", IF('Summary, PPI''s'!T61=".",IF(OR('Summary, hourly ad costs'!T61=-9999,'Summary, hourly ad costs'!T61=0), ".", 'Predicted PPIs'!D60*('Summary, hourly ad costs'!D61/'Summary, hourly ad costs'!T61)/('Summary, hourly ad costs'!D60/'Summary, hourly ad costs'!T60)), 'Summary, PPI''s'!T61))</f>
        <v>.</v>
      </c>
      <c r="E61" s="10">
        <f>IF(E60=".", ".", IF('Summary, PPI''s'!U61=".",IF(OR('Summary, hourly ad costs'!U61=-9999,'Summary, hourly ad costs'!U61=0), ".", 'Predicted PPIs'!E60*('Summary, hourly ad costs'!E61/'Summary, hourly ad costs'!U61)/('Summary, hourly ad costs'!E60/'Summary, hourly ad costs'!U60)), 'Summary, PPI''s'!U61))</f>
        <v>7.422814895685093</v>
      </c>
      <c r="F61" s="10">
        <f>IF(F60=".", ".", IF('Summary, PPI''s'!V61=".",IF(OR('Summary, hourly ad costs'!V61=-9999,'Summary, hourly ad costs'!V61=0), ".", 'Predicted PPIs'!F60*('Summary, hourly ad costs'!F61/'Summary, hourly ad costs'!V61)/('Summary, hourly ad costs'!F60/'Summary, hourly ad costs'!V60)), 'Summary, PPI''s'!V61))</f>
        <v>12.76081107240322</v>
      </c>
      <c r="G61" s="10" t="str">
        <f>IF(G60=".", ".", IF('Summary, PPI''s'!W61=".",IF(OR('Summary, hourly ad costs'!W61=-9999,'Summary, hourly ad costs'!W61=0), ".", 'Predicted PPIs'!G60*('Summary, hourly ad costs'!G61/'Summary, hourly ad costs'!W61)/('Summary, hourly ad costs'!G60/'Summary, hourly ad costs'!W60)), 'Summary, PPI''s'!W61))</f>
        <v>.</v>
      </c>
      <c r="H61" s="10">
        <f>IF(H60=".", ".", IF('Summary, PPI''s'!X61=".",IF(OR('Summary, hourly ad costs'!X61=-9999,'Summary, hourly ad costs'!X61=0), ".", 'Predicted PPIs'!H60*('Summary, hourly ad costs'!H61/'Summary, hourly ad costs'!X61)/('Summary, hourly ad costs'!H60/'Summary, hourly ad costs'!X60)), 'Summary, PPI''s'!X61))</f>
        <v>9.6029999999999998</v>
      </c>
      <c r="I61" s="10">
        <f>IF(I60=".", ".", IF('Summary, PPI''s'!Y61=".",IF(OR('Summary, hourly ad costs'!Y61=-9999,'Summary, hourly ad costs'!Y61=0), ".", 'Predicted PPIs'!I60*('Summary, hourly ad costs'!I61/'Summary, hourly ad costs'!Y61)/('Summary, hourly ad costs'!I60/'Summary, hourly ad costs'!Y60)), 'Summary, PPI''s'!Y61))</f>
        <v>8.2045734138051589</v>
      </c>
      <c r="J61" s="10">
        <f>IF(J60=".", ".", IF('Summary, PPI''s'!Z61=".",IF(OR('Summary, hourly ad costs'!Z61=-9999,'Summary, hourly ad costs'!Z61=0), ".", 'Predicted PPIs'!J60*('Summary, hourly ad costs'!J61/'Summary, hourly ad costs'!Z61)/('Summary, hourly ad costs'!J60/'Summary, hourly ad costs'!Z60)), 'Summary, PPI''s'!Z61))</f>
        <v>10.784022646342491</v>
      </c>
      <c r="K61" s="10" t="str">
        <f>IF(K60=".", ".", IF('Summary, PPI''s'!AA61=".",IF(OR('Summary, hourly ad costs'!AA61=-9999,'Summary, hourly ad costs'!AA61=0), ".", 'Predicted PPIs'!K60*('Summary, hourly ad costs'!K61/'Summary, hourly ad costs'!AA61)/('Summary, hourly ad costs'!K60/'Summary, hourly ad costs'!AA60)), 'Summary, PPI''s'!AA61))</f>
        <v>.</v>
      </c>
      <c r="L61" s="10" t="str">
        <f>IF(L60=".", ".", IF('Summary, PPI''s'!AB61=".",IF(OR('Summary, hourly ad costs'!AB61=-9999,'Summary, hourly ad costs'!AB61=0), ".", 'Predicted PPIs'!L60*('Summary, hourly ad costs'!L61/'Summary, hourly ad costs'!AB61)/('Summary, hourly ad costs'!L60/'Summary, hourly ad costs'!AB60)), 'Summary, PPI''s'!AB61))</f>
        <v>.</v>
      </c>
      <c r="M61" s="10" t="str">
        <f>IF(M60=".", ".", IF('Summary, PPI''s'!AC61=".",IF(OR('Summary, hourly ad costs'!AC61=-9999,'Summary, hourly ad costs'!AC61=0), ".", 'Predicted PPIs'!M60*('Summary, hourly ad costs'!M61/'Summary, hourly ad costs'!AC61)/('Summary, hourly ad costs'!M60/'Summary, hourly ad costs'!AC60)), 'Summary, PPI''s'!AC61))</f>
        <v>.</v>
      </c>
      <c r="N61" s="10" t="str">
        <f>IF(N60=".", ".", IF('Summary, PPI''s'!AD61=".",IF(OR('Summary, hourly ad costs'!AD61=-9999,'Summary, hourly ad costs'!AD61=0), ".", 'Predicted PPIs'!N60*('Summary, hourly ad costs'!N61/'Summary, hourly ad costs'!AD61)/('Summary, hourly ad costs'!N60/'Summary, hourly ad costs'!AD60)), 'Summary, PPI''s'!AD61))</f>
        <v>.</v>
      </c>
      <c r="O61" s="10" t="str">
        <f>IF(O60=".", ".", IF('Summary, PPI''s'!AE61=".",IF(OR('Summary, hourly ad costs'!AE61=-9999,'Summary, hourly ad costs'!AE61=0), ".", 'Predicted PPIs'!O60*('Summary, hourly ad costs'!O61/'Summary, hourly ad costs'!AE61)/('Summary, hourly ad costs'!O60/'Summary, hourly ad costs'!AE60)), 'Summary, PPI''s'!AE61))</f>
        <v>.</v>
      </c>
      <c r="P61" s="10" t="str">
        <f>IF(P60=".", ".", IF('Summary, PPI''s'!AF61=".",IF(OR('Summary, hourly ad costs'!AF61=-9999,'Summary, hourly ad costs'!AF61=0), ".", 'Predicted PPIs'!P60*('Summary, hourly ad costs'!P61/'Summary, hourly ad costs'!AF61)/('Summary, hourly ad costs'!P60/'Summary, hourly ad costs'!AF60)), 'Summary, PPI''s'!AF61))</f>
        <v>.</v>
      </c>
      <c r="R61" s="1">
        <f>IF(E$26=".", 0, 'Summary, PPI''s'!E61)+IF(F$26=".", 0, 'Summary, PPI''s'!F61)+IF(G$26=".", 0, 'Summary, PPI''s'!G61)+IF(H$26=".", 0, 'Summary, PPI''s'!H61)+IF(I$26=".", 0, 'Summary, PPI''s'!I61)+IF(J$26=".", 0, 'Summary, PPI''s'!J61)+IF(K$26=".", 0, 'Summary, PPI''s'!K61)+IF(L$26=".", 0, 'Summary, PPI''s'!L61)+IF(M$26=".", 0, 'Summary, PPI''s'!M61)+IF(B$26=".", 0, 'Summary, PPI''s'!B61)+IF(C$26=".", 0, 'Summary, PPI''s'!C61)+IF(D$26=".", 0, 'Summary, PPI''s'!D61)+IF(N$26=".", 0, 'Summary, PPI''s'!N61)+IF(O$26=".", 0, 'Summary, PPI''s'!O61)+IF(P$26=".", 0, 'Summary, PPI''s'!P61)</f>
        <v>12892570.126976384</v>
      </c>
      <c r="S61" s="1">
        <f>IF(E$36=".", 0, 'Summary, PPI''s'!E61)+IF(F$36=".", 0, 'Summary, PPI''s'!F61)+IF(G$36=".", 0, 'Summary, PPI''s'!G61)+IF(H$36=".", 0, 'Summary, PPI''s'!H61)+IF(I$36=".", 0, 'Summary, PPI''s'!I61)+IF(J$36=".", 0, 'Summary, PPI''s'!J61)+IF(K$36=".", 0, 'Summary, PPI''s'!K61)+IF(L$36=".", 0, 'Summary, PPI''s'!L61)+IF(M$36=".", 0, 'Summary, PPI''s'!M61)+IF(B$36=".", 0, 'Summary, PPI''s'!B61)+IF(C$36=".", 0, 'Summary, PPI''s'!C61)+IF(D$36=".", 0, 'Summary, PPI''s'!D61)+IF(N$36=".", 0, 'Summary, PPI''s'!N61)+IF(O$36=".", 0, 'Summary, PPI''s'!O61)+IF(P$36=".", 0, 'Summary, PPI''s'!P61)</f>
        <v>12892570.126976384</v>
      </c>
      <c r="T61" s="1">
        <f>IF(E$46=".", 0, 'Summary, PPI''s'!E61)+IF(F$46=".", 0, 'Summary, PPI''s'!F61)+IF(G$46=".", 0, 'Summary, PPI''s'!G61)+IF(H$46=".", 0, 'Summary, PPI''s'!H61)+IF(I$46=".", 0, 'Summary, PPI''s'!I61)+IF(J$46=".", 0, 'Summary, PPI''s'!J61)+IF(K$46=".", 0, 'Summary, PPI''s'!K61)+IF(L$46=".", 0, 'Summary, PPI''s'!L61)+IF(M$46=".", 0, 'Summary, PPI''s'!M61)+IF(B$46=".", 0, 'Summary, PPI''s'!B61)+IF(C$46=".", 0, 'Summary, PPI''s'!C61)+IF(D$46=".", 0, 'Summary, PPI''s'!D61)+IF(N$46=".", 0, 'Summary, PPI''s'!N61)+IF(O$46=".", 0, 'Summary, PPI''s'!O61)+IF(P$46=".", 0, 'Summary, PPI''s'!P61)</f>
        <v>9356052.3617348615</v>
      </c>
      <c r="U61" s="1">
        <f>IF(E$60=".", 0, 'Summary, PPI''s'!E61)+IF(F$60=".", 0, 'Summary, PPI''s'!F61)+IF(G$60=".", 0, 'Summary, PPI''s'!G61)+IF(H$60=".", 0, 'Summary, PPI''s'!H61)+IF(I$60=".", 0, 'Summary, PPI''s'!I61)+IF(J$60=".", 0, 'Summary, PPI''s'!J61)+IF(K$60=".", 0, 'Summary, PPI''s'!K61)+IF(L$60=".", 0, 'Summary, PPI''s'!L61)+IF(M$60=".", 0, 'Summary, PPI''s'!M61)+IF(B$60=".", 0, 'Summary, PPI''s'!B61)+IF(C$60=".", 0, 'Summary, PPI''s'!C61)+IF(D$60=".", 0, 'Summary, PPI''s'!D61)+IF(N$60=".", 0, 'Summary, PPI''s'!N61)+IF(O$60=".", 0, 'Summary, PPI''s'!O61)+IF(P$60=".", 0, 'Summary, PPI''s'!P61)</f>
        <v>8469290.2939863987</v>
      </c>
      <c r="V61" s="1">
        <f>IF(E$73=".", 0, 'Summary, PPI''s'!E61)+IF(F$73=".", 0, 'Summary, PPI''s'!F61)+IF(G$73=".", 0, 'Summary, PPI''s'!G61)+IF(H$73=".", 0, 'Summary, PPI''s'!H61)+IF(I$73=".", 0, 'Summary, PPI''s'!I61)+IF(J$73=".", 0, 'Summary, PPI''s'!J61)+IF(K$73=".", 0, 'Summary, PPI''s'!K61)+IF(L$73=".", 0, 'Summary, PPI''s'!L61)+IF(M$73=".", 0, 'Summary, PPI''s'!M61)+IF(B$73=".", 0, 'Summary, PPI''s'!B61)+IF(C$73=".", 0, 'Summary, PPI''s'!C61)+IF(D$73=".", 0, 'Summary, PPI''s'!D61)+IF(N$73=".", 0, 'Summary, PPI''s'!N61)+IF(O$73=".", 0, 'Summary, PPI''s'!O61)+IF(P$73=".", 0, 'Summary, PPI''s'!P61)</f>
        <v>7290854.8210132234</v>
      </c>
      <c r="W61" s="1">
        <f>IF(E$94=".",0,'Summary, PPI''s'!E61)+IF(F$94=".",0,'Summary, PPI''s'!F61)+IF(G$94=".",0,'Summary, PPI''s'!G61)+IF(H$94=".",0,'Summary, PPI''s'!H61)+IF(I$94=".",0,'Summary, PPI''s'!I61)+IF(J$94=".",0,'Summary, PPI''s'!J61)+IF(K$94=".",0,'Summary, PPI''s'!K61)+IF(L$94=".",0,'Summary, PPI''s'!L61)+IF(M$94=".",0,'Summary, PPI''s'!M61)+IF(B$94=".",0,'Summary, PPI''s'!B61)+IF(C$94=".",0,'Summary, PPI''s'!C61)+IF(D$94=".",0,'Summary, PPI''s'!D61)+IF(N$94=".",0,'Summary, PPI''s'!N61)+IF(O$94=".",0,'Summary, PPI''s'!O61)+IF(P$94=".",0,'Summary, PPI''s'!P61)</f>
        <v>5870370.6827008026</v>
      </c>
      <c r="X61" s="1">
        <f>IF(E$123=".", 0, 'Summary, PPI''s'!E61)+IF(F$123=".", 0, 'Summary, PPI''s'!F61)+IF(G$123=".", 0, 'Summary, PPI''s'!G61)+IF(H$123=".", 0, 'Summary, PPI''s'!H61)+IF(I$123=".", 0, 'Summary, PPI''s'!I61)+IF(J$123=".", 0, 'Summary, PPI''s'!J61)+IF(K$123=".", 0, 'Summary, PPI''s'!K61)+IF(L$123=".", 0, 'Summary, PPI''s'!L61)+IF(M$123=".", 0, 'Summary, PPI''s'!M61)+IF(B$123=".", 0, 'Summary, PPI''s'!B61)+IF(C$123=".", 0, 'Summary, PPI''s'!C61)+IF(D$123=".", 0, 'Summary, PPI''s'!D61)+IF(N$123=".", 0, 'Summary, PPI''s'!N61)+IF(O$123=".", 0, 'Summary, PPI''s'!O61)+IF(P$123=".", 0, 'Summary, PPI''s'!P61)</f>
        <v>5284354.3292800775</v>
      </c>
      <c r="Z61" s="4" t="e">
        <f>Z60*IF(E$26=".", 1, (E61/E60)^(('Summary, PPI''s'!$E61+'Summary, PPI''s'!$E60)/('Predicted PPIs'!R61+'Predicted PPIs'!R60)))*IF(F$26=".", 1, (F61/F60)^(('Summary, PPI''s'!$F61+'Summary, PPI''s'!$F60)/('Predicted PPIs'!R61+'Predicted PPIs'!R60)))*IF(G$26=".", 1, (G61/G60)^(('Summary, PPI''s'!$G61+'Summary, PPI''s'!$G60)/('Predicted PPIs'!R61+'Predicted PPIs'!R60)))*IF(H$26=".", 1, (H61/H60)^(('Summary, PPI''s'!$H61+'Summary, PPI''s'!$H60)/('Predicted PPIs'!R61+'Predicted PPIs'!R60)))*IF(I$26=".", 1, (I61/I60)^(('Summary, PPI''s'!$I61+'Summary, PPI''s'!$I60)/('Predicted PPIs'!R61+'Predicted PPIs'!R60)))*IF(J$26=".", 1, (J61/J60)^(('Summary, PPI''s'!$J61+'Summary, PPI''s'!$J60)/('Predicted PPIs'!R61+'Predicted PPIs'!R60)))*IF(K$26=".", 1, (K61/K60)^(('Summary, PPI''s'!$K61+'Summary, PPI''s'!$K60)/('Predicted PPIs'!R61+'Predicted PPIs'!R60)))*IF(L$26=".", 1, (L61/L60)^(('Summary, PPI''s'!$L61+'Summary, PPI''s'!$L60)/('Predicted PPIs'!R61+'Predicted PPIs'!R60)))*IF(M$26=".", 1, (M61/M60)^(('Summary, PPI''s'!$M61+'Summary, PPI''s'!$M60)/('Predicted PPIs'!R61+'Predicted PPIs'!R60)))*IF(B$26=".", 1, (B61/B60)^(('Summary, PPI''s'!$B61+'Summary, PPI''s'!$B60)/('Predicted PPIs'!R61+'Predicted PPIs'!R60)))*IF(C$26=".", 1, (C61/C60)^(('Summary, PPI''s'!$C61+'Summary, PPI''s'!$C60)/('Predicted PPIs'!R61+'Predicted PPIs'!R60)))*IF(D$26=".", 1, (D61/D60)^(('Summary, PPI''s'!$D61+'Summary, PPI''s'!$D60)/('Predicted PPIs'!R61+'Predicted PPIs'!R60)))*IF(N$26=".", 1, (N61/N60)^(('Summary, PPI''s'!$N61+'Summary, PPI''s'!$N60)/('Predicted PPIs'!R61+'Predicted PPIs'!R60)))*IF(O$26=".", 1, (O61/O60)^(('Summary, PPI''s'!$O61+'Summary, PPI''s'!$O60)/('Predicted PPIs'!R61+'Predicted PPIs'!R60)))*IF(P$26=".", 1, (P61/P60)^(('Summary, PPI''s'!$P61+'Summary, PPI''s'!$P60)/('Predicted PPIs'!R61+'Predicted PPIs'!R60)))</f>
        <v>#VALUE!</v>
      </c>
      <c r="AA61" s="4" t="e">
        <f>AA60*IF(E$36=".", 1, (E61/E60)^(('Summary, PPI''s'!$E61+'Summary, PPI''s'!$E60)/('Predicted PPIs'!S61+'Predicted PPIs'!S60)))*IF(F$36=".", 1, (F61/F60)^(('Summary, PPI''s'!$F61+'Summary, PPI''s'!$F60)/('Predicted PPIs'!S61+'Predicted PPIs'!S60)))*IF(G$36=".", 1, (G61/G60)^(('Summary, PPI''s'!$G61+'Summary, PPI''s'!$G60)/('Predicted PPIs'!S61+'Predicted PPIs'!S60)))*IF(H$36=".", 1, (H61/H60)^(('Summary, PPI''s'!$H61+'Summary, PPI''s'!$H60)/('Predicted PPIs'!S61+'Predicted PPIs'!S60)))*IF(I$36=".", 1, (I61/I60)^(('Summary, PPI''s'!$I61+'Summary, PPI''s'!$I60)/('Predicted PPIs'!S61+'Predicted PPIs'!S60)))*IF(J$36=".", 1, (J61/J60)^(('Summary, PPI''s'!$J61+'Summary, PPI''s'!$J60)/('Predicted PPIs'!S61+'Predicted PPIs'!S60)))*IF(K$36=".", 1, (K61/K60)^(('Summary, PPI''s'!$K61+'Summary, PPI''s'!$K60)/('Predicted PPIs'!S61+'Predicted PPIs'!S60)))*IF(L$36=".", 1, (L61/L60)^(('Summary, PPI''s'!$L61+'Summary, PPI''s'!$L60)/('Predicted PPIs'!S61+'Predicted PPIs'!S60)))*IF(M$36=".", 1, (M61/M60)^(('Summary, PPI''s'!$M61+'Summary, PPI''s'!$M60)/('Predicted PPIs'!S61+'Predicted PPIs'!S60)))*IF(B$36=".", 1, (B61/B60)^(('Summary, PPI''s'!$B61+'Summary, PPI''s'!$B60)/('Predicted PPIs'!S61+'Predicted PPIs'!S60)))*IF(C$36=".", 1, (C61/C60)^(('Summary, PPI''s'!$C61+'Summary, PPI''s'!$C60)/('Predicted PPIs'!S61+'Predicted PPIs'!S60)))*IF(D$36=".", 1, (D61/D60)^(('Summary, PPI''s'!$D61+'Summary, PPI''s'!$D60)/('Predicted PPIs'!S61+'Predicted PPIs'!S60)))*IF(N$36=".", 1, (N61/N60)^(('Summary, PPI''s'!$N61+'Summary, PPI''s'!$N60)/('Predicted PPIs'!S61+'Predicted PPIs'!S60)))*IF(O$36=".", 1, (O61/O60)^(('Summary, PPI''s'!$O61+'Summary, PPI''s'!$O60)/('Predicted PPIs'!S61+'Predicted PPIs'!S60)))*IF(P$36=".", 1, (P61/P60)^(('Summary, PPI''s'!$P61+'Summary, PPI''s'!$P60)/('Predicted PPIs'!S61+'Predicted PPIs'!S60)))</f>
        <v>#VALUE!</v>
      </c>
      <c r="AB61" s="4" t="e">
        <f>AB60*IF(E$46=".", 1, (E61/E60)^(('Summary, PPI''s'!$E61+'Summary, PPI''s'!$E60)/('Predicted PPIs'!T61+'Predicted PPIs'!T60)))*IF(F$46=".", 1, (F61/F60)^(('Summary, PPI''s'!$F61+'Summary, PPI''s'!$F60)/('Predicted PPIs'!T61+'Predicted PPIs'!T60)))*IF(G$46=".", 1, (G61/G60)^(('Summary, PPI''s'!$G61+'Summary, PPI''s'!$G60)/('Predicted PPIs'!T61+'Predicted PPIs'!T60)))*IF(H$46=".", 1, (H61/H60)^(('Summary, PPI''s'!$H61+'Summary, PPI''s'!$H60)/('Predicted PPIs'!T61+'Predicted PPIs'!T60)))*IF(I$46=".", 1, (I61/I60)^(('Summary, PPI''s'!$I61+'Summary, PPI''s'!$I60)/('Predicted PPIs'!T61+'Predicted PPIs'!T60)))*IF(J$46=".", 1, (J61/J60)^(('Summary, PPI''s'!$J61+'Summary, PPI''s'!$J60)/('Predicted PPIs'!T61+'Predicted PPIs'!T60)))*IF(K$46=".", 1, (K61/K60)^(('Summary, PPI''s'!$K61+'Summary, PPI''s'!$K60)/('Predicted PPIs'!T61+'Predicted PPIs'!T60)))*IF(L$46=".", 1, (L61/L60)^(('Summary, PPI''s'!$L61+'Summary, PPI''s'!$L60)/('Predicted PPIs'!T61+'Predicted PPIs'!T60)))*IF(M$46=".", 1, (M61/M60)^(('Summary, PPI''s'!$M61+'Summary, PPI''s'!$M60)/('Predicted PPIs'!T61+'Predicted PPIs'!T60)))*IF(B$46=".", 1, (B61/B60)^(('Summary, PPI''s'!$B61+'Summary, PPI''s'!$B60)/('Predicted PPIs'!T61+'Predicted PPIs'!T60)))*IF(C$46=".", 1, (C61/C60)^(('Summary, PPI''s'!$C61+'Summary, PPI''s'!$C60)/('Predicted PPIs'!T61+'Predicted PPIs'!T60)))*IF(D$46=".", 1, (D61/D60)^(('Summary, PPI''s'!$D61+'Summary, PPI''s'!$D60)/('Predicted PPIs'!T61+'Predicted PPIs'!T60)))*IF(N$46=".", 1, (N61/N60)^(('Summary, PPI''s'!$N61+'Summary, PPI''s'!$N60)/('Predicted PPIs'!T61+'Predicted PPIs'!T60)))*IF(O$46=".", 1, (O61/O60)^(('Summary, PPI''s'!$O61+'Summary, PPI''s'!$O60)/('Predicted PPIs'!T61+'Predicted PPIs'!T60)))*IF(P$46=".", 1, (P61/P60)^(('Summary, PPI''s'!$P61+'Summary, PPI''s'!$P60)/('Predicted PPIs'!T61+'Predicted PPIs'!T60)))</f>
        <v>#VALUE!</v>
      </c>
      <c r="AC61" s="4" t="e">
        <f>AC60*IF(E$60=".",1,(E61/E60)^(('Summary, PPI''s'!$E61+'Summary, PPI''s'!$E60)/('Predicted PPIs'!U61+'Predicted PPIs'!U60)))*IF(F$60=".",1,(F61/F60)^(('Summary, PPI''s'!$F61+'Summary, PPI''s'!$F60)/('Predicted PPIs'!U61+'Predicted PPIs'!U60)))*IF(G$60=".",1,(G61/G60)^(('Summary, PPI''s'!$G61+'Summary, PPI''s'!$G60)/('Predicted PPIs'!U61+'Predicted PPIs'!U60)))*IF(H$60=".",1,(H61/H60)^(('Summary, PPI''s'!$H61+'Summary, PPI''s'!$H60)/('Predicted PPIs'!U61+'Predicted PPIs'!U60)))*IF(I$60=".",1,(I61/I60)^(('Summary, PPI''s'!$I61+'Summary, PPI''s'!$I60)/('Predicted PPIs'!U61+'Predicted PPIs'!U60)))*IF(J$60=".",1,(J61/J60)^(('Summary, PPI''s'!$J61+'Summary, PPI''s'!$J60)/('Predicted PPIs'!U61+'Predicted PPIs'!U60)))*IF(K$60=".",1,(K61/K60)^(('Summary, PPI''s'!$K61+'Summary, PPI''s'!$K60)/('Predicted PPIs'!U61+'Predicted PPIs'!U60)))*IF(L$60=".",1,(L61/L60)^(('Summary, PPI''s'!$L61+'Summary, PPI''s'!$L60)/('Predicted PPIs'!U61+'Predicted PPIs'!U60)))*IF(M$60=".",1,(M61/M60)^(('Summary, PPI''s'!$M61+'Summary, PPI''s'!$M60)/('Predicted PPIs'!U61+'Predicted PPIs'!U60)))*IF(B$60=".",1,(B61/B60)^(('Summary, PPI''s'!$B61+'Summary, PPI''s'!$B60)/('Predicted PPIs'!U61+'Predicted PPIs'!U60)))*IF(C$60=".",1,(C61/C60)^(('Summary, PPI''s'!$C61+'Summary, PPI''s'!$C60)/('Predicted PPIs'!U61+'Predicted PPIs'!U60)))*IF(D$60=".",1,(D61/D60)^(('Summary, PPI''s'!$D61+'Summary, PPI''s'!$D60)/('Predicted PPIs'!U61+'Predicted PPIs'!U60)))*IF(N$60=".",1,(N61/N60)^(('Summary, PPI''s'!$N61+'Summary, PPI''s'!$N60)/('Predicted PPIs'!U61+'Predicted PPIs'!U60)))*IF(O$60=".",1,(O61/O60)^(('Summary, PPI''s'!$O61+'Summary, PPI''s'!$O60)/('Predicted PPIs'!U61+'Predicted PPIs'!U60)))*IF(P$60=".",1,(P61/P60)^(('Summary, PPI''s'!$P61+'Summary, PPI''s'!$P60)/('Predicted PPIs'!U61+'Predicted PPIs'!U60)))</f>
        <v>#VALUE!</v>
      </c>
      <c r="AD61" s="4">
        <f>AD60*IF(E$73=".", 1, (E61/E60)^(('Summary, PPI''s'!$E61+'Summary, PPI''s'!$E60)/('Predicted PPIs'!V61+'Predicted PPIs'!V60)))*IF(F$73=".", 1, (F61/F60)^(('Summary, PPI''s'!$F61+'Summary, PPI''s'!$F60)/('Predicted PPIs'!V61+'Predicted PPIs'!V60)))*IF(G$73=".", 1, (G61/G60)^(('Summary, PPI''s'!$G61+'Summary, PPI''s'!$G60)/('Predicted PPIs'!V61+'Predicted PPIs'!V60)))*IF(H$73=".", 1, (H61/H60)^(('Summary, PPI''s'!$H61+'Summary, PPI''s'!$H60)/('Predicted PPIs'!V61+'Predicted PPIs'!V60)))*IF(I$73=".", 1, (I61/I60)^(('Summary, PPI''s'!$I61+'Summary, PPI''s'!$I60)/('Predicted PPIs'!V61+'Predicted PPIs'!V60)))*IF(J$73=".", 1, (J61/J60)^(('Summary, PPI''s'!$J61+'Summary, PPI''s'!$J60)/('Predicted PPIs'!V61+'Predicted PPIs'!V60)))*IF(K$73=".", 1, (K61/K60)^(('Summary, PPI''s'!$K61+'Summary, PPI''s'!$K60)/('Predicted PPIs'!V61+'Predicted PPIs'!V60)))*IF(L$73=".", 1, (L61/L60)^(('Summary, PPI''s'!$L61+'Summary, PPI''s'!$L60)/('Predicted PPIs'!V61+'Predicted PPIs'!V60)))*IF(M$73=".", 1, (M61/M60)^(('Summary, PPI''s'!$M61+'Summary, PPI''s'!$M60)/('Predicted PPIs'!V61+'Predicted PPIs'!V60)))*IF(B$73=".", 1, (B61/B60)^(('Summary, PPI''s'!$B61+'Summary, PPI''s'!$B60)/('Predicted PPIs'!V61+'Predicted PPIs'!V60)))*IF(C$73=".", 1, (C61/C60)^(('Summary, PPI''s'!$C61+'Summary, PPI''s'!$C60)/('Predicted PPIs'!V61+'Predicted PPIs'!V60)))*IF(D$73=".", 1, (D61/D60)^(('Summary, PPI''s'!$D61+'Summary, PPI''s'!$D60)/('Predicted PPIs'!V61+'Predicted PPIs'!V60)))*IF(N$73=".", 1, (N61/N60)^(('Summary, PPI''s'!$N61+'Summary, PPI''s'!$N60)/('Predicted PPIs'!V61+'Predicted PPIs'!V60)))*IF(O$73=".", 1, (O61/O60)^(('Summary, PPI''s'!$O61+'Summary, PPI''s'!$O60)/('Predicted PPIs'!V61+'Predicted PPIs'!V60)))*IF(P$73=".", 1, (P61/P60)^(('Summary, PPI''s'!$P61+'Summary, PPI''s'!$P60)/('Predicted PPIs'!V61+'Predicted PPIs'!V60)))</f>
        <v>10.717500061461745</v>
      </c>
      <c r="AE61" s="4">
        <f>AE60*IF(E$94=".", 1, (E61/E60)^(('Summary, PPI''s'!$E61+'Summary, PPI''s'!$E60)/('Predicted PPIs'!W61+'Predicted PPIs'!W60)))*IF(F$94=".", 1, (F61/F60)^(('Summary, PPI''s'!$F61+'Summary, PPI''s'!$F60)/('Predicted PPIs'!W61+'Predicted PPIs'!W60)))*IF(G$94=".", 1, (G61/G60)^(('Summary, PPI''s'!$G61+'Summary, PPI''s'!$G60)/('Predicted PPIs'!W61+'Predicted PPIs'!W60)))*IF(H$94=".", 1, (H61/H60)^(('Summary, PPI''s'!$H61+'Summary, PPI''s'!$H60)/('Predicted PPIs'!W61+'Predicted PPIs'!W60)))*IF(I$94=".", 1, (I61/I60)^(('Summary, PPI''s'!$I61+'Summary, PPI''s'!$I60)/('Predicted PPIs'!W61+'Predicted PPIs'!W60)))*IF(J$94=".", 1, (J61/J60)^(('Summary, PPI''s'!$J61+'Summary, PPI''s'!$J60)/('Predicted PPIs'!W61+'Predicted PPIs'!W60)))*IF(K$94=".", 1, (K61/K60)^(('Summary, PPI''s'!$K61+'Summary, PPI''s'!$K60)/('Predicted PPIs'!W61+'Predicted PPIs'!W60)))*IF(L$94=".", 1, (L61/L60)^(('Summary, PPI''s'!$L61+'Summary, PPI''s'!$L60)/('Predicted PPIs'!W61+'Predicted PPIs'!W60)))*IF(M$94=".", 1, (M61/M60)^(('Summary, PPI''s'!$M61+'Summary, PPI''s'!$M60)/('Predicted PPIs'!W61+'Predicted PPIs'!W60)))*IF(B$94=".", 1, (B61/B60)^(('Summary, PPI''s'!$B61+'Summary, PPI''s'!$B60)/('Predicted PPIs'!W61+'Predicted PPIs'!W60)))*IF(C$94=".", 1, (C61/C60)^(('Summary, PPI''s'!$C61+'Summary, PPI''s'!$C60)/('Predicted PPIs'!W61+'Predicted PPIs'!W60)))*IF(D$94=".", 1, (D61/D60)^(('Summary, PPI''s'!$D61+'Summary, PPI''s'!$D60)/('Predicted PPIs'!W61+'Predicted PPIs'!W60)))*IF(N$94=".", 1, (N61/N60)^(('Summary, PPI''s'!$N61+'Summary, PPI''s'!$N60)/('Predicted PPIs'!W61+'Predicted PPIs'!W60)))*IF(O$94=".", 1, (O61/O60)^(('Summary, PPI''s'!$O61+'Summary, PPI''s'!$O60)/('Predicted PPIs'!W61+'Predicted PPIs'!W60)))*IF(P$94=".", 1, (P61/P60)^(('Summary, PPI''s'!$P61+'Summary, PPI''s'!$P60)/('Predicted PPIs'!W61+'Predicted PPIs'!W60)))</f>
        <v>10.012103823765479</v>
      </c>
      <c r="AF61" s="4">
        <f>AF60*IF(E$123=".", 1, (E61/E60)^(('Summary, PPI''s'!$E61+'Summary, PPI''s'!$E60)/('Predicted PPIs'!X61+'Predicted PPIs'!X60)))*IF(F$123=".", 1, (F61/F60)^(('Summary, PPI''s'!$F61+'Summary, PPI''s'!$F60)/('Predicted PPIs'!X61+'Predicted PPIs'!X60)))*IF(G$123=".", 1, (G61/G60)^(('Summary, PPI''s'!$G61+'Summary, PPI''s'!$G60)/('Predicted PPIs'!X61+'Predicted PPIs'!X60)))*IF(H$123=".", 1, (H61/H60)^(('Summary, PPI''s'!$H61+'Summary, PPI''s'!$H60)/('Predicted PPIs'!X61+'Predicted PPIs'!X60)))*IF(I$123=".", 1, (I61/I60)^(('Summary, PPI''s'!$I61+'Summary, PPI''s'!$I60)/('Predicted PPIs'!X61+'Predicted PPIs'!X60)))*IF(J$123=".", 1, (J61/J60)^(('Summary, PPI''s'!$J61+'Summary, PPI''s'!$J60)/('Predicted PPIs'!X61+'Predicted PPIs'!X60)))*IF(K$123=".", 1, (K61/K60)^(('Summary, PPI''s'!$K61+'Summary, PPI''s'!$K60)/('Predicted PPIs'!X61+'Predicted PPIs'!X60)))*IF(L$123=".", 1, (L61/L60)^(('Summary, PPI''s'!$L61+'Summary, PPI''s'!$L60)/('Predicted PPIs'!X61+'Predicted PPIs'!X60)))*IF(M$123=".", 1, (M61/M60)^(('Summary, PPI''s'!$M61+'Summary, PPI''s'!$M60)/('Predicted PPIs'!X61+'Predicted PPIs'!X60)))*IF(B$123=".", 1, (B61/B60)^(('Summary, PPI''s'!$B61+'Summary, PPI''s'!$B60)/('Predicted PPIs'!X61+'Predicted PPIs'!X60)))*IF(C$123=".", 1, (C61/C60)^(('Summary, PPI''s'!$C61+'Summary, PPI''s'!$C60)/('Predicted PPIs'!X61+'Predicted PPIs'!X60)))*IF(D$123=".", 1, (D61/D60)^(('Summary, PPI''s'!$D61+'Summary, PPI''s'!$D60)/('Predicted PPIs'!X61+'Predicted PPIs'!X60)))*IF(N$123=".", 1, (N61/N60)^(('Summary, PPI''s'!$N61+'Summary, PPI''s'!$N60)/('Predicted PPIs'!X61+'Predicted PPIs'!X60)))*IF(O$123=".", 1, (O61/O60)^(('Summary, PPI''s'!$O61+'Summary, PPI''s'!$O60)/('Predicted PPIs'!X61+'Predicted PPIs'!X60)))*IF(P$123=".", 1, (P61/P60)^(('Summary, PPI''s'!$P61+'Summary, PPI''s'!$P60)/('Predicted PPIs'!X61+'Predicted PPIs'!X60)))</f>
        <v>9.7322545766469464</v>
      </c>
      <c r="AH61" s="13">
        <f t="shared" si="91"/>
        <v>12.422678004469159</v>
      </c>
      <c r="AJ61" s="4">
        <v>362.6</v>
      </c>
      <c r="AK61" s="4">
        <v>-0.99299999999999999</v>
      </c>
      <c r="AL61" s="4">
        <v>-35.713999999999999</v>
      </c>
      <c r="AM61" s="4">
        <v>-2.258</v>
      </c>
      <c r="AN61" s="4">
        <v>473.1</v>
      </c>
      <c r="AO61" s="4">
        <v>90.7</v>
      </c>
      <c r="AP61" s="4">
        <f>('[4]1962'!$I$14+'[4]1962'!$I$51+'[4]1962'!$I$53-'[4]1962'!$I$55)*0.001</f>
        <v>-8.9860000000000007</v>
      </c>
      <c r="AQ61" s="4">
        <f>('[4]1962'!$AK$42+'[4]1962'!$AK$51+'[4]1962'!$AK$53-'[4]1962'!$AK$55)*0.001</f>
        <v>-19.276</v>
      </c>
      <c r="AR61" s="4">
        <f>AR$38*221/23762</f>
        <v>-0.10405470919956233</v>
      </c>
      <c r="AS61" s="4">
        <v>-2.5870000000000002</v>
      </c>
      <c r="AT61" s="4">
        <v>16.806000000000001</v>
      </c>
      <c r="AU61" s="4">
        <v>22.526</v>
      </c>
      <c r="AV61" s="4">
        <v>14.711</v>
      </c>
      <c r="AW61" s="4">
        <v>13.933999999999999</v>
      </c>
      <c r="AX61" s="4">
        <v>16.61</v>
      </c>
      <c r="AY61" s="4">
        <v>23.527000000000001</v>
      </c>
      <c r="AZ61" s="4">
        <v>8.83</v>
      </c>
      <c r="BA61" s="4">
        <v>19.437999999999999</v>
      </c>
      <c r="BB61" s="4">
        <f>BB$38*176.503/184.05</f>
        <v>98.757288454224394</v>
      </c>
      <c r="BC61" s="4">
        <v>18.239000000000001</v>
      </c>
      <c r="BG61" s="4">
        <f t="shared" si="50"/>
        <v>20.981224796135763</v>
      </c>
      <c r="BI61" s="4">
        <f>BI$13*'[2]Ordinary Experience'!$D$365/'[2]Ordinary Experience'!$D$413</f>
        <v>184039649.01820907</v>
      </c>
      <c r="BJ61" s="4">
        <f>'[2]Ordinary Experience'!$E$365</f>
        <v>30.561684162310627</v>
      </c>
      <c r="BL61" s="4">
        <f t="shared" si="90"/>
        <v>41.424377420554698</v>
      </c>
      <c r="BM61" s="4">
        <f t="shared" si="34"/>
        <v>3.9877907285703618E-2</v>
      </c>
      <c r="BO61" s="4" t="str">
        <f>IF(OR('Summary, hourly ad costs'!R61=-9999,'Summary, PPI''s'!R61="."),".",(('Summary, hourly ad costs'!B61/'Summary, hourly ad costs'!R61)*100/('Summary, hourly ad costs'!B$11/'Summary, hourly ad costs'!R$11))/('Summary, PPI''s'!R61))</f>
        <v>.</v>
      </c>
      <c r="BP61" s="4" t="str">
        <f>IF(OR('Summary, hourly ad costs'!S61=-9999,'Summary, PPI''s'!S61="."),".",(('Summary, hourly ad costs'!C61/'Summary, hourly ad costs'!S61)*100/('Summary, hourly ad costs'!C$11/'Summary, hourly ad costs'!S$11))/('Summary, PPI''s'!S61))</f>
        <v>.</v>
      </c>
      <c r="BQ61" s="4" t="str">
        <f>IF(OR('Summary, hourly ad costs'!T61=-9999,'Summary, PPI''s'!T61="."),".",(('Summary, hourly ad costs'!D61/'Summary, hourly ad costs'!T61)*100/('Summary, hourly ad costs'!D$11/'Summary, hourly ad costs'!T$11))/('Summary, PPI''s'!T61))</f>
        <v>.</v>
      </c>
      <c r="BR61" s="4" t="str">
        <f>IF(OR('Summary, hourly ad costs'!U61=-9999,'Summary, PPI''s'!U61="."),".",(('Summary, hourly ad costs'!E61/'Summary, hourly ad costs'!U61)*100/('Summary, hourly ad costs'!E$11/'Summary, hourly ad costs'!U$11))/('Summary, PPI''s'!U61))</f>
        <v>.</v>
      </c>
      <c r="BS61" s="4" t="str">
        <f>IF(OR('Summary, hourly ad costs'!V61=-9999,'Summary, PPI''s'!V61="."),".",(('Summary, hourly ad costs'!F61/'Summary, hourly ad costs'!V61)*100/('Summary, hourly ad costs'!F$11/'Summary, hourly ad costs'!V$11))/('Summary, PPI''s'!V61))</f>
        <v>.</v>
      </c>
      <c r="BT61" s="4" t="str">
        <f>IF(OR('Summary, hourly ad costs'!W61=-9999,'Summary, PPI''s'!W61="."),".",(('Summary, hourly ad costs'!G61/'Summary, hourly ad costs'!W61)*100/('Summary, hourly ad costs'!G$11/'Summary, hourly ad costs'!W$11))/('Summary, PPI''s'!W61))</f>
        <v>.</v>
      </c>
      <c r="BU61" s="4">
        <f>IF(OR('Summary, hourly ad costs'!X61=-9999,'Summary, PPI''s'!X61="."),".",(('Summary, hourly ad costs'!H61/'Summary, hourly ad costs'!X61)*100/('Summary, hourly ad costs'!H$11/'Summary, hourly ad costs'!X$11))/('Summary, PPI''s'!X61))</f>
        <v>1.1131196747902778</v>
      </c>
      <c r="BV61" s="4" t="str">
        <f>IF(OR('Summary, hourly ad costs'!Y61=-9999,'Summary, PPI''s'!Y61="."),".",(('Summary, hourly ad costs'!I61/'Summary, hourly ad costs'!Y61)*100/('Summary, hourly ad costs'!I$11/'Summary, hourly ad costs'!Y$11))/('Summary, PPI''s'!Y61))</f>
        <v>.</v>
      </c>
      <c r="BW61" s="4" t="str">
        <f>IF(OR('Summary, hourly ad costs'!Z61=-9999,'Summary, PPI''s'!Z61="."),".",(('Summary, hourly ad costs'!J61/'Summary, hourly ad costs'!Z61)*100/('Summary, hourly ad costs'!J$11/'Summary, hourly ad costs'!Z$11))/('Summary, PPI''s'!Z61))</f>
        <v>.</v>
      </c>
      <c r="BX61" s="4" t="str">
        <f>IF(OR('Summary, hourly ad costs'!AA61=-9999,'Summary, PPI''s'!AA61="."),".",(('Summary, hourly ad costs'!K61/'Summary, hourly ad costs'!AA61)*100/('Summary, hourly ad costs'!K$11/'Summary, hourly ad costs'!AA$11))/('Summary, PPI''s'!AA61))</f>
        <v>.</v>
      </c>
      <c r="BY61" s="4" t="str">
        <f>IF(OR('Summary, hourly ad costs'!AB61=-9999,'Summary, PPI''s'!AB61="."),".",(('Summary, hourly ad costs'!L61/'Summary, hourly ad costs'!AB61)*100/('Summary, hourly ad costs'!L$11/'Summary, hourly ad costs'!AB$11))/('Summary, PPI''s'!AB61))</f>
        <v>.</v>
      </c>
      <c r="BZ61" s="4" t="str">
        <f>IF(OR('Summary, hourly ad costs'!AC61=-9999,'Summary, PPI''s'!AC61="."),".",(('Summary, hourly ad costs'!M61/'Summary, hourly ad costs'!AC61)*100/('Summary, hourly ad costs'!M$11/'Summary, hourly ad costs'!AC$11))/('Summary, PPI''s'!AC61))</f>
        <v>.</v>
      </c>
      <c r="CA61" s="4" t="str">
        <f>IF(OR('Summary, hourly ad costs'!AD61=-9999,'Summary, PPI''s'!AD61="."),".",(('Summary, hourly ad costs'!N61/'Summary, hourly ad costs'!AD61)*100/('Summary, hourly ad costs'!N$11/'Summary, hourly ad costs'!AD$11))/('Summary, PPI''s'!AD61))</f>
        <v>.</v>
      </c>
      <c r="CB61" s="4" t="str">
        <f>IF(OR('Summary, hourly ad costs'!AE61=-9999,'Summary, PPI''s'!AE61="."),".",(('Summary, hourly ad costs'!O61/'Summary, hourly ad costs'!AE61)*100/('Summary, hourly ad costs'!O$11/'Summary, hourly ad costs'!AE$11))/('Summary, PPI''s'!AE61))</f>
        <v>.</v>
      </c>
      <c r="CC61" s="4" t="str">
        <f>IF(OR('Summary, hourly ad costs'!AF61=-9999,'Summary, PPI''s'!AF61="."),".",(('Summary, hourly ad costs'!P61/'Summary, hourly ad costs'!AF61)*100/('Summary, hourly ad costs'!P$11/'Summary, hourly ad costs'!AF$11))/('Summary, PPI''s'!AF61))</f>
        <v>.</v>
      </c>
      <c r="CE61" s="4">
        <f t="shared" si="134"/>
        <v>5.8034748062877894E-3</v>
      </c>
      <c r="CF61" s="4" t="str">
        <f t="shared" si="135"/>
        <v>.</v>
      </c>
      <c r="CG61" s="4" t="str">
        <f t="shared" si="136"/>
        <v>.</v>
      </c>
      <c r="CH61" s="4">
        <f t="shared" ref="CH61:CI123" si="145">_xlfn.FORECAST.LINEAR($BM61,CH$24:CH$59,$BM$24:$BM$59)</f>
        <v>3.0311103538048306E-2</v>
      </c>
      <c r="CI61" s="4">
        <f t="shared" si="145"/>
        <v>3.6129207707362956E-2</v>
      </c>
      <c r="CJ61" s="4" t="str">
        <f t="shared" si="137"/>
        <v>.</v>
      </c>
      <c r="CK61" s="4">
        <f t="shared" si="137"/>
        <v>-8.0965728523896274E-6</v>
      </c>
      <c r="CL61" s="4">
        <f t="shared" si="130"/>
        <v>2.4975809781856657E-2</v>
      </c>
      <c r="CM61" s="4">
        <f t="shared" si="130"/>
        <v>2.6386772998149576E-2</v>
      </c>
      <c r="CN61" s="4">
        <f t="shared" si="89"/>
        <v>1.0799644361026386E-2</v>
      </c>
      <c r="CO61" s="4">
        <f t="shared" si="120"/>
        <v>0.2561524413910613</v>
      </c>
      <c r="CP61" s="4">
        <f t="shared" si="120"/>
        <v>8.5294459624099386E-2</v>
      </c>
      <c r="CQ61" s="4" t="str">
        <f t="shared" si="110"/>
        <v>.</v>
      </c>
      <c r="CR61" s="4" t="str">
        <f t="shared" si="111"/>
        <v>.</v>
      </c>
      <c r="CS61" s="4" t="str">
        <f t="shared" si="112"/>
        <v>.</v>
      </c>
      <c r="CU61" s="5">
        <f>IF(CU60=".", ".", IF('Summary, PPI''s'!R61=".",IF(OR('Summary, hourly ad costs'!R61=-9999,'Summary, hourly ad costs'!R61=0), ".", 'Predicted PPIs'!CU60*('Summary, hourly ad costs'!B61/'Summary, hourly ad costs'!R61)/('Summary, hourly ad costs'!B60/'Summary, hourly ad costs'!R60)/(1-CE60)), 'Summary, PPI''s'!R61))</f>
        <v>21.118817216058503</v>
      </c>
      <c r="CV61" s="5" t="str">
        <f>IF(CV60=".", ".", IF('Summary, PPI''s'!S61=".",IF(OR('Summary, hourly ad costs'!S61=-9999,'Summary, hourly ad costs'!S61=0), ".", 'Predicted PPIs'!CV60*('Summary, hourly ad costs'!C61/'Summary, hourly ad costs'!S61)/('Summary, hourly ad costs'!C60/'Summary, hourly ad costs'!S60)/(1-CF60)), 'Summary, PPI''s'!S61))</f>
        <v>.</v>
      </c>
      <c r="CW61" s="5" t="str">
        <f>IF(CW60=".", ".", IF('Summary, PPI''s'!T61=".",IF(OR('Summary, hourly ad costs'!T61=-9999,'Summary, hourly ad costs'!T61=0), ".", 'Predicted PPIs'!CW60*('Summary, hourly ad costs'!D61/'Summary, hourly ad costs'!T61)/('Summary, hourly ad costs'!D60/'Summary, hourly ad costs'!T60)/(1-CG60)), 'Summary, PPI''s'!T61))</f>
        <v>.</v>
      </c>
      <c r="CX61" s="5">
        <f>IF(CX60=".", ".", IF('Summary, PPI''s'!U61=".",IF(OR('Summary, hourly ad costs'!U61=-9999,'Summary, hourly ad costs'!U61=0), ".", 'Predicted PPIs'!CX60*('Summary, hourly ad costs'!E61/'Summary, hourly ad costs'!U61)/('Summary, hourly ad costs'!E60/'Summary, hourly ad costs'!U60)/(1-CH60)), 'Summary, PPI''s'!U61))</f>
        <v>7.5524681674977776</v>
      </c>
      <c r="CY61" s="5">
        <f>IF(CY60=".", ".", IF('Summary, PPI''s'!V61=".",IF(OR('Summary, hourly ad costs'!V61=-9999,'Summary, hourly ad costs'!V61=0), ".", 'Predicted PPIs'!CY60*('Summary, hourly ad costs'!F61/'Summary, hourly ad costs'!V61)/('Summary, hourly ad costs'!F60/'Summary, hourly ad costs'!V60)/(1-CI60)), 'Summary, PPI''s'!V61))</f>
        <v>13.03721454047378</v>
      </c>
      <c r="CZ61" s="5" t="str">
        <f>IF(CZ60=".", ".", IF('Summary, PPI''s'!W61=".",IF(OR('Summary, hourly ad costs'!W61=-9999,'Summary, hourly ad costs'!W61=0), ".", 'Predicted PPIs'!CZ60*('Summary, hourly ad costs'!G61/'Summary, hourly ad costs'!W61)/('Summary, hourly ad costs'!G60/'Summary, hourly ad costs'!W60)/(1-CJ60)), 'Summary, PPI''s'!W61))</f>
        <v>.</v>
      </c>
      <c r="DA61" s="5">
        <f>IF(DA60=".", ".", IF('Summary, PPI''s'!X61=".",IF(OR('Summary, hourly ad costs'!X61=-9999,'Summary, hourly ad costs'!X61=0), ".", 'Predicted PPIs'!DA60*('Summary, hourly ad costs'!H61/'Summary, hourly ad costs'!X61)/('Summary, hourly ad costs'!H60/'Summary, hourly ad costs'!X60)/(1-CK60)), 'Summary, PPI''s'!X61))</f>
        <v>9.6029999999999998</v>
      </c>
      <c r="DB61" s="5">
        <f>IF(DB60=".", ".", IF('Summary, PPI''s'!Y61=".",IF(OR('Summary, hourly ad costs'!Y61=-9999,'Summary, hourly ad costs'!Y61=0), ".", 'Predicted PPIs'!DB60*('Summary, hourly ad costs'!I61/'Summary, hourly ad costs'!Y61)/('Summary, hourly ad costs'!I60/'Summary, hourly ad costs'!Y60)/(1-CL60)), 'Summary, PPI''s'!Y61))</f>
        <v>9.3888037759498815</v>
      </c>
      <c r="DC61" s="5">
        <f>IF(DC60=".", ".", IF('Summary, PPI''s'!Z61=".",IF(OR('Summary, hourly ad costs'!Z61=-9999,'Summary, hourly ad costs'!Z61=0), ".", 'Predicted PPIs'!DC60*('Summary, hourly ad costs'!J61/'Summary, hourly ad costs'!Z61)/('Summary, hourly ad costs'!J60/'Summary, hourly ad costs'!Z60)/(1-CM60)), 'Summary, PPI''s'!Z61))</f>
        <v>14.559805349839642</v>
      </c>
      <c r="DD61" s="5" t="str">
        <f>IF(DD60=".", ".", IF('Summary, PPI''s'!AA61=".",IF(OR('Summary, hourly ad costs'!AA61=-9999,'Summary, hourly ad costs'!AA61=0), ".", 'Predicted PPIs'!DD60*('Summary, hourly ad costs'!K61/'Summary, hourly ad costs'!AA61)/('Summary, hourly ad costs'!K60/'Summary, hourly ad costs'!AA60)/(1-CN60)), 'Summary, PPI''s'!AA61))</f>
        <v>.</v>
      </c>
      <c r="DE61" s="5" t="str">
        <f>IF(DE60=".", ".", IF('Summary, PPI''s'!AB61=".",IF(OR('Summary, hourly ad costs'!AB61=-9999,'Summary, hourly ad costs'!AB61=0), ".", 'Predicted PPIs'!DE60*('Summary, hourly ad costs'!L61/'Summary, hourly ad costs'!AB61)/('Summary, hourly ad costs'!L60/'Summary, hourly ad costs'!AB60)/(1-CO60)), 'Summary, PPI''s'!AB61))</f>
        <v>.</v>
      </c>
      <c r="DF61" s="5" t="str">
        <f>IF(DF60=".", ".", IF('Summary, PPI''s'!AC61=".",IF(OR('Summary, hourly ad costs'!AC61=-9999,'Summary, hourly ad costs'!AC61=0), ".", 'Predicted PPIs'!DF60*('Summary, hourly ad costs'!M61/'Summary, hourly ad costs'!AC61)/('Summary, hourly ad costs'!M60/'Summary, hourly ad costs'!AC60)/(1-CP60)), 'Summary, PPI''s'!AC61))</f>
        <v>.</v>
      </c>
      <c r="DG61" s="5" t="str">
        <f>IF(DG60=".", ".", IF('Summary, PPI''s'!AD61=".",IF(OR('Summary, hourly ad costs'!AD61=-9999,'Summary, hourly ad costs'!AD61=0), ".", 'Predicted PPIs'!DG60*('Summary, hourly ad costs'!N61/'Summary, hourly ad costs'!AD61)/('Summary, hourly ad costs'!N60/'Summary, hourly ad costs'!AD60)/(1-CQ60)), 'Summary, PPI''s'!AD61))</f>
        <v>.</v>
      </c>
      <c r="DH61" s="5" t="str">
        <f>IF(DH60=".", ".", IF('Summary, PPI''s'!AE61=".",IF(OR('Summary, hourly ad costs'!AE61=-9999,'Summary, hourly ad costs'!AE61=0), ".", 'Predicted PPIs'!DH60*('Summary, hourly ad costs'!O61/'Summary, hourly ad costs'!AE61)/('Summary, hourly ad costs'!O60/'Summary, hourly ad costs'!AE60)/(1-CR60)), 'Summary, PPI''s'!AE61))</f>
        <v>.</v>
      </c>
      <c r="DI61" s="5" t="str">
        <f>IF(DI60=".", ".", IF('Summary, PPI''s'!AF61=".",IF(OR('Summary, hourly ad costs'!AF61=-9999,'Summary, hourly ad costs'!AF61=0), ".", 'Predicted PPIs'!DI60*('Summary, hourly ad costs'!P61/'Summary, hourly ad costs'!AF61)/('Summary, hourly ad costs'!P60/'Summary, hourly ad costs'!AF60)/(1-CS60)), 'Summary, PPI''s'!AF61))</f>
        <v>.</v>
      </c>
      <c r="DK61" s="4">
        <v>6.5069999999999997</v>
      </c>
      <c r="DM61" s="5">
        <f t="shared" si="138"/>
        <v>-9.1291731169816481E-2</v>
      </c>
      <c r="DN61" s="4">
        <f t="shared" si="139"/>
        <v>-2.737201994447799E-2</v>
      </c>
      <c r="DO61" s="4">
        <f t="shared" si="123"/>
        <v>-2.2569364589749286E-2</v>
      </c>
      <c r="DP61" s="5">
        <f t="shared" si="140"/>
        <v>-2.9225944761311351E-2</v>
      </c>
      <c r="DQ61" s="5">
        <f t="shared" si="141"/>
        <v>-3.2410062923731942E-2</v>
      </c>
      <c r="DR61" s="4">
        <f t="shared" ref="DR61:DR122" si="146">_xlfn.FORECAST.LINEAR($BM61,DR$4:DR$59,$BM$4:$BM$59)</f>
        <v>-5.7688954664107421E-3</v>
      </c>
      <c r="DS61" s="5">
        <f t="shared" si="142"/>
        <v>2.5454806715600631E-2</v>
      </c>
      <c r="DT61" s="5">
        <f t="shared" si="143"/>
        <v>1.599403434786173E-2</v>
      </c>
      <c r="DU61" s="5">
        <f t="shared" si="144"/>
        <v>1.9729274006655695E-2</v>
      </c>
      <c r="DV61" s="4">
        <f t="shared" si="131"/>
        <v>-6.3581331290134518E-4</v>
      </c>
      <c r="DW61" s="4">
        <f t="shared" si="133"/>
        <v>-0.13370459291994549</v>
      </c>
      <c r="DX61" s="4">
        <f t="shared" si="133"/>
        <v>7.2178461636090652E-2</v>
      </c>
      <c r="DY61" s="4">
        <f t="shared" si="108"/>
        <v>-1.504822135336506E-2</v>
      </c>
      <c r="DZ61" s="4">
        <f t="shared" si="132"/>
        <v>-8.2086237923761282E-3</v>
      </c>
      <c r="EA61" s="4">
        <f t="shared" si="109"/>
        <v>-8.7886064803975473E-3</v>
      </c>
      <c r="EC61" s="1">
        <f t="shared" si="93"/>
        <v>21.118817216058503</v>
      </c>
      <c r="ED61" s="1">
        <f t="shared" si="94"/>
        <v>20.254501008288397</v>
      </c>
      <c r="EE61" s="1">
        <f t="shared" si="95"/>
        <v>11.296858618477957</v>
      </c>
      <c r="EF61" s="1">
        <f t="shared" si="96"/>
        <v>7.5524681674977776</v>
      </c>
      <c r="EG61" s="1">
        <f t="shared" si="97"/>
        <v>13.03721454047378</v>
      </c>
      <c r="EH61" s="1">
        <f t="shared" si="98"/>
        <v>8.5452338847844338</v>
      </c>
      <c r="EI61" s="1">
        <f t="shared" si="99"/>
        <v>9.6029999999999998</v>
      </c>
      <c r="EJ61" s="1">
        <f t="shared" si="100"/>
        <v>9.3888037759498815</v>
      </c>
      <c r="EK61" s="1">
        <f t="shared" si="101"/>
        <v>14.559805349839642</v>
      </c>
      <c r="EL61" s="1">
        <f t="shared" si="102"/>
        <v>5.307729087194998</v>
      </c>
      <c r="EM61" s="1">
        <f t="shared" si="103"/>
        <v>2.8118748852564375</v>
      </c>
      <c r="EN61" s="1">
        <f t="shared" si="104"/>
        <v>5.8566145717569151</v>
      </c>
      <c r="EO61" s="1">
        <f t="shared" si="105"/>
        <v>6.7924624155865638</v>
      </c>
      <c r="EP61" s="1">
        <f t="shared" si="106"/>
        <v>9.0274852242905972</v>
      </c>
      <c r="EQ61" s="1">
        <f t="shared" si="107"/>
        <v>6.9217980765060902</v>
      </c>
      <c r="ES61" s="1">
        <f>IF(EF$26=".", 0, 'Summary, PPI''s'!E61)+IF(EG$26=".", 0, 'Summary, PPI''s'!F61)+IF(EH$26=".", 0, 'Summary, PPI''s'!G61)+IF(EI$26=".", 0, 'Summary, PPI''s'!H61)+IF(EJ$26=".", 0, 'Summary, PPI''s'!I61)+IF(EK$26=".", 0, 'Summary, PPI''s'!J61)+IF(EL$26=".", 0, 'Summary, PPI''s'!K61)+IF(EM$26=".", 0, 'Summary, PPI''s'!L61)+IF(EN$26=".", 0, 'Summary, PPI''s'!M61)+IF(EC$26=".", 0, 'Summary, PPI''s'!B61)+IF(ED$26=".", 0, 'Summary, PPI''s'!C61)+IF(EE$26=".", 0, 'Summary, PPI''s'!D61)+IF(EO$26=".", 0, 'Summary, PPI''s'!N61)+IF(EP$26=".", 0, 'Summary, PPI''s'!O61)+IF(EQ$26=".", 0, 'Summary, PPI''s'!P61)</f>
        <v>12892570.126976384</v>
      </c>
      <c r="ET61" s="1">
        <f>'Summary, hourly ad costs'!E61+'Summary, hourly ad costs'!F61+'Summary, hourly ad costs'!H61+'Summary, hourly ad costs'!I61+'Summary, hourly ad costs'!J61+'Summary, hourly ad costs'!K61+'Summary, hourly ad costs'!L61+'Summary, hourly ad costs'!M61+'Summary, hourly ad costs'!B61</f>
        <v>7290854.8210132234</v>
      </c>
      <c r="EV61" s="13">
        <f>EV60*IF(EF$26=".", 1, (EF61/EF60)^(('Summary, PPI''s'!$E61+'Summary, PPI''s'!$E60)/('Predicted PPIs'!ES61+'Predicted PPIs'!ES60)))*IF(EG$26=".", 1, (EG61/EG60)^(('Summary, PPI''s'!$F61+'Summary, PPI''s'!$F60)/('Predicted PPIs'!ES61+'Predicted PPIs'!ES60)))*IF(EH$26=".", 1, (EH61/EH60)^(('Summary, PPI''s'!$G61+'Summary, PPI''s'!$G60)/('Predicted PPIs'!ES61+'Predicted PPIs'!ES60)))*IF(EI$26=".", 1, (EI61/EI60)^(('Summary, PPI''s'!$H61+'Summary, PPI''s'!$H60)/('Predicted PPIs'!ES61+'Predicted PPIs'!ES60)))*IF(EJ$26=".", 1, (EJ61/EJ60)^(('Summary, PPI''s'!$I61+'Summary, PPI''s'!$I60)/('Predicted PPIs'!ES61+'Predicted PPIs'!ES60)))*IF(EK$26=".", 1, (EK61/EK60)^(('Summary, PPI''s'!$J61+'Summary, PPI''s'!$J60)/('Predicted PPIs'!ES61+'Predicted PPIs'!ES60)))*IF(EL$26=".", 1, (EL61/EL60)^(('Summary, PPI''s'!$K61+'Summary, PPI''s'!$K60)/('Predicted PPIs'!ES61+'Predicted PPIs'!ES60)))*IF(EM$26=".", 1, (EM61/EM60)^(('Summary, PPI''s'!$L61+'Summary, PPI''s'!$L60)/('Predicted PPIs'!ES61+'Predicted PPIs'!ES60)))*IF(EN$26=".", 1, (EN61/EN60)^(('Summary, PPI''s'!$M61+'Summary, PPI''s'!$M60)/('Predicted PPIs'!ES61+'Predicted PPIs'!ES60)))*IF(EC$26=".", 1, (EC61/EC60)^(('Summary, PPI''s'!$B61+'Summary, PPI''s'!$B60)/('Predicted PPIs'!ES61+'Predicted PPIs'!ES60)))*IF(ED$26=".", 1, (ED61/ED60)^(('Summary, PPI''s'!$C61+'Summary, PPI''s'!$C60)/('Predicted PPIs'!ES61+'Predicted PPIs'!ES60)))*IF(EE$26=".", 1, (EE61/EE60)^(('Summary, PPI''s'!$D61+'Summary, PPI''s'!$D60)/('Predicted PPIs'!ES61+'Predicted PPIs'!ES60)))*IF(EO$26=".", 1, (EO61/EO60)^(('Summary, PPI''s'!$N61+'Summary, PPI''s'!$N60)/('Predicted PPIs'!ES61+'Predicted PPIs'!ES60)))*IF(EP$26=".", 1, (EP61/EP60)^(('Summary, PPI''s'!$O61+'Summary, PPI''s'!$O60)/('Predicted PPIs'!ES61+'Predicted PPIs'!ES60)))*IF(EQ$26=".", 1, (EQ61/EQ60)^(('Summary, PPI''s'!$P61+'Summary, PPI''s'!$P60)/('Predicted PPIs'!ES61+'Predicted PPIs'!ES60)))</f>
        <v>11.219961105474363</v>
      </c>
      <c r="EW61" s="13">
        <f>EW60*IF(EF$26=".", 1, (EF61/EF60)^(('Summary, PPI''s'!$E61+'Summary, PPI''s'!$E60)/('Predicted PPIs'!ET61+'Predicted PPIs'!ET60)))*IF(EG$26=".", 1, (EG61/EG60)^(('Summary, PPI''s'!$F61+'Summary, PPI''s'!$F60)/('Predicted PPIs'!ET61+'Predicted PPIs'!ET60)))*IF(EH$26=".", 1, (EH61/EH60)^(('Summary, PPI''s'!$G61+'Summary, PPI''s'!$G60)/('Predicted PPIs'!ET61+'Predicted PPIs'!ET60)))*IF(EK$26=".", 1, (EK61/EK60)^(('Summary, PPI''s'!$J61+'Summary, PPI''s'!$J60)/('Predicted PPIs'!ET61+'Predicted PPIs'!ET60)))*IF(EL$26=".", 1, (EL61/EL60)^(('Summary, PPI''s'!$K61+'Summary, PPI''s'!$K60)/('Predicted PPIs'!ET61+'Predicted PPIs'!ET60)))*IF(EM$26=".", 1, (EM61/EM60)^(('Summary, PPI''s'!$L61+'Summary, PPI''s'!$L60)/('Predicted PPIs'!ET61+'Predicted PPIs'!ET60)))*IF(EN$26=".", 1, (EN61/EN60)^(('Summary, PPI''s'!$M61+'Summary, PPI''s'!$M60)/('Predicted PPIs'!ET61+'Predicted PPIs'!ET60)))*IF(EC$26=".", 1, (EC61/EC60)^(('Summary, PPI''s'!$B61+'Summary, PPI''s'!$B60)/('Predicted PPIs'!ET61+'Predicted PPIs'!ET60)))</f>
        <v>14.457369842585504</v>
      </c>
      <c r="EY61" s="2"/>
    </row>
    <row r="62" spans="1:155" x14ac:dyDescent="0.3">
      <c r="A62" s="4">
        <v>1961</v>
      </c>
      <c r="B62" s="10">
        <f>IF(B61=".", ".", IF('Summary, PPI''s'!R62=".",IF(OR('Summary, hourly ad costs'!R62=-9999,'Summary, hourly ad costs'!R62=0), ".", 'Predicted PPIs'!B61*('Summary, hourly ad costs'!B62/'Summary, hourly ad costs'!R62)/('Summary, hourly ad costs'!B61/'Summary, hourly ad costs'!R61)), 'Summary, PPI''s'!R62))</f>
        <v>22.790988734968995</v>
      </c>
      <c r="C62" s="10" t="str">
        <f>IF(C61=".", ".", IF('Summary, PPI''s'!S62=".",IF(OR('Summary, hourly ad costs'!S62=-9999,'Summary, hourly ad costs'!S62=0), ".", 'Predicted PPIs'!C61*('Summary, hourly ad costs'!C62/'Summary, hourly ad costs'!S62)/('Summary, hourly ad costs'!C61/'Summary, hourly ad costs'!S61)), 'Summary, PPI''s'!S62))</f>
        <v>.</v>
      </c>
      <c r="D62" s="10" t="str">
        <f>IF(D61=".", ".", IF('Summary, PPI''s'!T62=".",IF(OR('Summary, hourly ad costs'!T62=-9999,'Summary, hourly ad costs'!T62=0), ".", 'Predicted PPIs'!D61*('Summary, hourly ad costs'!D62/'Summary, hourly ad costs'!T62)/('Summary, hourly ad costs'!D61/'Summary, hourly ad costs'!T61)), 'Summary, PPI''s'!T62))</f>
        <v>.</v>
      </c>
      <c r="E62" s="10">
        <f>IF(E61=".", ".", IF('Summary, PPI''s'!U62=".",IF(OR('Summary, hourly ad costs'!U62=-9999,'Summary, hourly ad costs'!U62=0), ".", 'Predicted PPIs'!E61*('Summary, hourly ad costs'!E62/'Summary, hourly ad costs'!U62)/('Summary, hourly ad costs'!E61/'Summary, hourly ad costs'!U61)), 'Summary, PPI''s'!U62))</f>
        <v>7.2857575927577667</v>
      </c>
      <c r="F62" s="10">
        <f>IF(F61=".", ".", IF('Summary, PPI''s'!V62=".",IF(OR('Summary, hourly ad costs'!V62=-9999,'Summary, hourly ad costs'!V62=0), ".", 'Predicted PPIs'!F61*('Summary, hourly ad costs'!F62/'Summary, hourly ad costs'!V62)/('Summary, hourly ad costs'!F61/'Summary, hourly ad costs'!V61)), 'Summary, PPI''s'!V62))</f>
        <v>12.491010725270341</v>
      </c>
      <c r="G62" s="10" t="str">
        <f>IF(G61=".", ".", IF('Summary, PPI''s'!W62=".",IF(OR('Summary, hourly ad costs'!W62=-9999,'Summary, hourly ad costs'!W62=0), ".", 'Predicted PPIs'!G61*('Summary, hourly ad costs'!G62/'Summary, hourly ad costs'!W62)/('Summary, hourly ad costs'!G61/'Summary, hourly ad costs'!W61)), 'Summary, PPI''s'!W62))</f>
        <v>.</v>
      </c>
      <c r="H62" s="10">
        <f>IF(H61=".", ".", IF('Summary, PPI''s'!X62=".",IF(OR('Summary, hourly ad costs'!X62=-9999,'Summary, hourly ad costs'!X62=0), ".", 'Predicted PPIs'!H61*('Summary, hourly ad costs'!H62/'Summary, hourly ad costs'!X62)/('Summary, hourly ad costs'!H61/'Summary, hourly ad costs'!X61)), 'Summary, PPI''s'!X62))</f>
        <v>9.202</v>
      </c>
      <c r="I62" s="10">
        <f>IF(I61=".", ".", IF('Summary, PPI''s'!Y62=".",IF(OR('Summary, hourly ad costs'!Y62=-9999,'Summary, hourly ad costs'!Y62=0), ".", 'Predicted PPIs'!I61*('Summary, hourly ad costs'!I62/'Summary, hourly ad costs'!Y62)/('Summary, hourly ad costs'!I61/'Summary, hourly ad costs'!Y61)), 'Summary, PPI''s'!Y62))</f>
        <v>7.7369904950780954</v>
      </c>
      <c r="J62" s="10">
        <f>IF(J61=".", ".", IF('Summary, PPI''s'!Z62=".",IF(OR('Summary, hourly ad costs'!Z62=-9999,'Summary, hourly ad costs'!Z62=0), ".", 'Predicted PPIs'!J61*('Summary, hourly ad costs'!J62/'Summary, hourly ad costs'!Z62)/('Summary, hourly ad costs'!J61/'Summary, hourly ad costs'!Z61)), 'Summary, PPI''s'!Z62))</f>
        <v>10.117522869172026</v>
      </c>
      <c r="K62" s="10" t="str">
        <f>IF(K61=".", ".", IF('Summary, PPI''s'!AA62=".",IF(OR('Summary, hourly ad costs'!AA62=-9999,'Summary, hourly ad costs'!AA62=0), ".", 'Predicted PPIs'!K61*('Summary, hourly ad costs'!K62/'Summary, hourly ad costs'!AA62)/('Summary, hourly ad costs'!K61/'Summary, hourly ad costs'!AA61)), 'Summary, PPI''s'!AA62))</f>
        <v>.</v>
      </c>
      <c r="L62" s="10" t="str">
        <f>IF(L61=".", ".", IF('Summary, PPI''s'!AB62=".",IF(OR('Summary, hourly ad costs'!AB62=-9999,'Summary, hourly ad costs'!AB62=0), ".", 'Predicted PPIs'!L61*('Summary, hourly ad costs'!L62/'Summary, hourly ad costs'!AB62)/('Summary, hourly ad costs'!L61/'Summary, hourly ad costs'!AB61)), 'Summary, PPI''s'!AB62))</f>
        <v>.</v>
      </c>
      <c r="M62" s="10" t="str">
        <f>IF(M61=".", ".", IF('Summary, PPI''s'!AC62=".",IF(OR('Summary, hourly ad costs'!AC62=-9999,'Summary, hourly ad costs'!AC62=0), ".", 'Predicted PPIs'!M61*('Summary, hourly ad costs'!M62/'Summary, hourly ad costs'!AC62)/('Summary, hourly ad costs'!M61/'Summary, hourly ad costs'!AC61)), 'Summary, PPI''s'!AC62))</f>
        <v>.</v>
      </c>
      <c r="N62" s="10" t="str">
        <f>IF(N61=".", ".", IF('Summary, PPI''s'!AD62=".",IF(OR('Summary, hourly ad costs'!AD62=-9999,'Summary, hourly ad costs'!AD62=0), ".", 'Predicted PPIs'!N61*('Summary, hourly ad costs'!N62/'Summary, hourly ad costs'!AD62)/('Summary, hourly ad costs'!N61/'Summary, hourly ad costs'!AD61)), 'Summary, PPI''s'!AD62))</f>
        <v>.</v>
      </c>
      <c r="O62" s="10" t="str">
        <f>IF(O61=".", ".", IF('Summary, PPI''s'!AE62=".",IF(OR('Summary, hourly ad costs'!AE62=-9999,'Summary, hourly ad costs'!AE62=0), ".", 'Predicted PPIs'!O61*('Summary, hourly ad costs'!O62/'Summary, hourly ad costs'!AE62)/('Summary, hourly ad costs'!O61/'Summary, hourly ad costs'!AE61)), 'Summary, PPI''s'!AE62))</f>
        <v>.</v>
      </c>
      <c r="P62" s="10" t="str">
        <f>IF(P61=".", ".", IF('Summary, PPI''s'!AF62=".",IF(OR('Summary, hourly ad costs'!AF62=-9999,'Summary, hourly ad costs'!AF62=0), ".", 'Predicted PPIs'!P61*('Summary, hourly ad costs'!P62/'Summary, hourly ad costs'!AF62)/('Summary, hourly ad costs'!P61/'Summary, hourly ad costs'!AF61)), 'Summary, PPI''s'!AF62))</f>
        <v>.</v>
      </c>
      <c r="R62" s="1">
        <f>IF(E$26=".", 0, 'Summary, PPI''s'!E62)+IF(F$26=".", 0, 'Summary, PPI''s'!F62)+IF(G$26=".", 0, 'Summary, PPI''s'!G62)+IF(H$26=".", 0, 'Summary, PPI''s'!H62)+IF(I$26=".", 0, 'Summary, PPI''s'!I62)+IF(J$26=".", 0, 'Summary, PPI''s'!J62)+IF(K$26=".", 0, 'Summary, PPI''s'!K62)+IF(L$26=".", 0, 'Summary, PPI''s'!L62)+IF(M$26=".", 0, 'Summary, PPI''s'!M62)+IF(B$26=".", 0, 'Summary, PPI''s'!B62)+IF(C$26=".", 0, 'Summary, PPI''s'!C62)+IF(D$26=".", 0, 'Summary, PPI''s'!D62)+IF(N$26=".", 0, 'Summary, PPI''s'!N62)+IF(O$26=".", 0, 'Summary, PPI''s'!O62)+IF(P$26=".", 0, 'Summary, PPI''s'!P62)</f>
        <v>12406296.722243261</v>
      </c>
      <c r="S62" s="1">
        <f>IF(E$36=".", 0, 'Summary, PPI''s'!E62)+IF(F$36=".", 0, 'Summary, PPI''s'!F62)+IF(G$36=".", 0, 'Summary, PPI''s'!G62)+IF(H$36=".", 0, 'Summary, PPI''s'!H62)+IF(I$36=".", 0, 'Summary, PPI''s'!I62)+IF(J$36=".", 0, 'Summary, PPI''s'!J62)+IF(K$36=".", 0, 'Summary, PPI''s'!K62)+IF(L$36=".", 0, 'Summary, PPI''s'!L62)+IF(M$36=".", 0, 'Summary, PPI''s'!M62)+IF(B$36=".", 0, 'Summary, PPI''s'!B62)+IF(C$36=".", 0, 'Summary, PPI''s'!C62)+IF(D$36=".", 0, 'Summary, PPI''s'!D62)+IF(N$36=".", 0, 'Summary, PPI''s'!N62)+IF(O$36=".", 0, 'Summary, PPI''s'!O62)+IF(P$36=".", 0, 'Summary, PPI''s'!P62)</f>
        <v>12406296.722243261</v>
      </c>
      <c r="T62" s="1">
        <f>IF(E$46=".", 0, 'Summary, PPI''s'!E62)+IF(F$46=".", 0, 'Summary, PPI''s'!F62)+IF(G$46=".", 0, 'Summary, PPI''s'!G62)+IF(H$46=".", 0, 'Summary, PPI''s'!H62)+IF(I$46=".", 0, 'Summary, PPI''s'!I62)+IF(J$46=".", 0, 'Summary, PPI''s'!J62)+IF(K$46=".", 0, 'Summary, PPI''s'!K62)+IF(L$46=".", 0, 'Summary, PPI''s'!L62)+IF(M$46=".", 0, 'Summary, PPI''s'!M62)+IF(B$46=".", 0, 'Summary, PPI''s'!B62)+IF(C$46=".", 0, 'Summary, PPI''s'!C62)+IF(D$46=".", 0, 'Summary, PPI''s'!D62)+IF(N$46=".", 0, 'Summary, PPI''s'!N62)+IF(O$46=".", 0, 'Summary, PPI''s'!O62)+IF(P$46=".", 0, 'Summary, PPI''s'!P62)</f>
        <v>8966775.7385460362</v>
      </c>
      <c r="U62" s="1">
        <f>IF(E$60=".", 0, 'Summary, PPI''s'!E62)+IF(F$60=".", 0, 'Summary, PPI''s'!F62)+IF(G$60=".", 0, 'Summary, PPI''s'!G62)+IF(H$60=".", 0, 'Summary, PPI''s'!H62)+IF(I$60=".", 0, 'Summary, PPI''s'!I62)+IF(J$60=".", 0, 'Summary, PPI''s'!J62)+IF(K$60=".", 0, 'Summary, PPI''s'!K62)+IF(L$60=".", 0, 'Summary, PPI''s'!L62)+IF(M$60=".", 0, 'Summary, PPI''s'!M62)+IF(B$60=".", 0, 'Summary, PPI''s'!B62)+IF(C$60=".", 0, 'Summary, PPI''s'!C62)+IF(D$60=".", 0, 'Summary, PPI''s'!D62)+IF(N$60=".", 0, 'Summary, PPI''s'!N62)+IF(O$60=".", 0, 'Summary, PPI''s'!O62)+IF(P$60=".", 0, 'Summary, PPI''s'!P62)</f>
        <v>8132366.9982048338</v>
      </c>
      <c r="V62" s="1">
        <f>IF(E$73=".", 0, 'Summary, PPI''s'!E62)+IF(F$73=".", 0, 'Summary, PPI''s'!F62)+IF(G$73=".", 0, 'Summary, PPI''s'!G62)+IF(H$73=".", 0, 'Summary, PPI''s'!H62)+IF(I$73=".", 0, 'Summary, PPI''s'!I62)+IF(J$73=".", 0, 'Summary, PPI''s'!J62)+IF(K$73=".", 0, 'Summary, PPI''s'!K62)+IF(L$73=".", 0, 'Summary, PPI''s'!L62)+IF(M$73=".", 0, 'Summary, PPI''s'!M62)+IF(B$73=".", 0, 'Summary, PPI''s'!B62)+IF(C$73=".", 0, 'Summary, PPI''s'!C62)+IF(D$73=".", 0, 'Summary, PPI''s'!D62)+IF(N$73=".", 0, 'Summary, PPI''s'!N62)+IF(O$73=".", 0, 'Summary, PPI''s'!O62)+IF(P$73=".", 0, 'Summary, PPI''s'!P62)</f>
        <v>6993170.6028382163</v>
      </c>
      <c r="W62" s="1">
        <f>IF(E$94=".",0,'Summary, PPI''s'!E62)+IF(F$94=".",0,'Summary, PPI''s'!F62)+IF(G$94=".",0,'Summary, PPI''s'!G62)+IF(H$94=".",0,'Summary, PPI''s'!H62)+IF(I$94=".",0,'Summary, PPI''s'!I62)+IF(J$94=".",0,'Summary, PPI''s'!J62)+IF(K$94=".",0,'Summary, PPI''s'!K62)+IF(L$94=".",0,'Summary, PPI''s'!L62)+IF(M$94=".",0,'Summary, PPI''s'!M62)+IF(B$94=".",0,'Summary, PPI''s'!B62)+IF(C$94=".",0,'Summary, PPI''s'!C62)+IF(D$94=".",0,'Summary, PPI''s'!D62)+IF(N$94=".",0,'Summary, PPI''s'!N62)+IF(O$94=".",0,'Summary, PPI''s'!O62)+IF(P$94=".",0,'Summary, PPI''s'!P62)</f>
        <v>5726940.4089076398</v>
      </c>
      <c r="X62" s="1">
        <f>IF(E$123=".", 0, 'Summary, PPI''s'!E62)+IF(F$123=".", 0, 'Summary, PPI''s'!F62)+IF(G$123=".", 0, 'Summary, PPI''s'!G62)+IF(H$123=".", 0, 'Summary, PPI''s'!H62)+IF(I$123=".", 0, 'Summary, PPI''s'!I62)+IF(J$123=".", 0, 'Summary, PPI''s'!J62)+IF(K$123=".", 0, 'Summary, PPI''s'!K62)+IF(L$123=".", 0, 'Summary, PPI''s'!L62)+IF(M$123=".", 0, 'Summary, PPI''s'!M62)+IF(B$123=".", 0, 'Summary, PPI''s'!B62)+IF(C$123=".", 0, 'Summary, PPI''s'!C62)+IF(D$123=".", 0, 'Summary, PPI''s'!D62)+IF(N$123=".", 0, 'Summary, PPI''s'!N62)+IF(O$123=".", 0, 'Summary, PPI''s'!O62)+IF(P$123=".", 0, 'Summary, PPI''s'!P62)</f>
        <v>5181113.3747805208</v>
      </c>
      <c r="Z62" s="4" t="e">
        <f>Z61*IF(E$26=".", 1, (E62/E61)^(('Summary, PPI''s'!$E62+'Summary, PPI''s'!$E61)/('Predicted PPIs'!R62+'Predicted PPIs'!R61)))*IF(F$26=".", 1, (F62/F61)^(('Summary, PPI''s'!$F62+'Summary, PPI''s'!$F61)/('Predicted PPIs'!R62+'Predicted PPIs'!R61)))*IF(G$26=".", 1, (G62/G61)^(('Summary, PPI''s'!$G62+'Summary, PPI''s'!$G61)/('Predicted PPIs'!R62+'Predicted PPIs'!R61)))*IF(H$26=".", 1, (H62/H61)^(('Summary, PPI''s'!$H62+'Summary, PPI''s'!$H61)/('Predicted PPIs'!R62+'Predicted PPIs'!R61)))*IF(I$26=".", 1, (I62/I61)^(('Summary, PPI''s'!$I62+'Summary, PPI''s'!$I61)/('Predicted PPIs'!R62+'Predicted PPIs'!R61)))*IF(J$26=".", 1, (J62/J61)^(('Summary, PPI''s'!$J62+'Summary, PPI''s'!$J61)/('Predicted PPIs'!R62+'Predicted PPIs'!R61)))*IF(K$26=".", 1, (K62/K61)^(('Summary, PPI''s'!$K62+'Summary, PPI''s'!$K61)/('Predicted PPIs'!R62+'Predicted PPIs'!R61)))*IF(L$26=".", 1, (L62/L61)^(('Summary, PPI''s'!$L62+'Summary, PPI''s'!$L61)/('Predicted PPIs'!R62+'Predicted PPIs'!R61)))*IF(M$26=".", 1, (M62/M61)^(('Summary, PPI''s'!$M62+'Summary, PPI''s'!$M61)/('Predicted PPIs'!R62+'Predicted PPIs'!R61)))*IF(B$26=".", 1, (B62/B61)^(('Summary, PPI''s'!$B62+'Summary, PPI''s'!$B61)/('Predicted PPIs'!R62+'Predicted PPIs'!R61)))*IF(C$26=".", 1, (C62/C61)^(('Summary, PPI''s'!$C62+'Summary, PPI''s'!$C61)/('Predicted PPIs'!R62+'Predicted PPIs'!R61)))*IF(D$26=".", 1, (D62/D61)^(('Summary, PPI''s'!$D62+'Summary, PPI''s'!$D61)/('Predicted PPIs'!R62+'Predicted PPIs'!R61)))*IF(N$26=".", 1, (N62/N61)^(('Summary, PPI''s'!$N62+'Summary, PPI''s'!$N61)/('Predicted PPIs'!R62+'Predicted PPIs'!R61)))*IF(O$26=".", 1, (O62/O61)^(('Summary, PPI''s'!$O62+'Summary, PPI''s'!$O61)/('Predicted PPIs'!R62+'Predicted PPIs'!R61)))*IF(P$26=".", 1, (P62/P61)^(('Summary, PPI''s'!$P62+'Summary, PPI''s'!$P61)/('Predicted PPIs'!R62+'Predicted PPIs'!R61)))</f>
        <v>#VALUE!</v>
      </c>
      <c r="AA62" s="4" t="e">
        <f>AA61*IF(E$36=".", 1, (E62/E61)^(('Summary, PPI''s'!$E62+'Summary, PPI''s'!$E61)/('Predicted PPIs'!S62+'Predicted PPIs'!S61)))*IF(F$36=".", 1, (F62/F61)^(('Summary, PPI''s'!$F62+'Summary, PPI''s'!$F61)/('Predicted PPIs'!S62+'Predicted PPIs'!S61)))*IF(G$36=".", 1, (G62/G61)^(('Summary, PPI''s'!$G62+'Summary, PPI''s'!$G61)/('Predicted PPIs'!S62+'Predicted PPIs'!S61)))*IF(H$36=".", 1, (H62/H61)^(('Summary, PPI''s'!$H62+'Summary, PPI''s'!$H61)/('Predicted PPIs'!S62+'Predicted PPIs'!S61)))*IF(I$36=".", 1, (I62/I61)^(('Summary, PPI''s'!$I62+'Summary, PPI''s'!$I61)/('Predicted PPIs'!S62+'Predicted PPIs'!S61)))*IF(J$36=".", 1, (J62/J61)^(('Summary, PPI''s'!$J62+'Summary, PPI''s'!$J61)/('Predicted PPIs'!S62+'Predicted PPIs'!S61)))*IF(K$36=".", 1, (K62/K61)^(('Summary, PPI''s'!$K62+'Summary, PPI''s'!$K61)/('Predicted PPIs'!S62+'Predicted PPIs'!S61)))*IF(L$36=".", 1, (L62/L61)^(('Summary, PPI''s'!$L62+'Summary, PPI''s'!$L61)/('Predicted PPIs'!S62+'Predicted PPIs'!S61)))*IF(M$36=".", 1, (M62/M61)^(('Summary, PPI''s'!$M62+'Summary, PPI''s'!$M61)/('Predicted PPIs'!S62+'Predicted PPIs'!S61)))*IF(B$36=".", 1, (B62/B61)^(('Summary, PPI''s'!$B62+'Summary, PPI''s'!$B61)/('Predicted PPIs'!S62+'Predicted PPIs'!S61)))*IF(C$36=".", 1, (C62/C61)^(('Summary, PPI''s'!$C62+'Summary, PPI''s'!$C61)/('Predicted PPIs'!S62+'Predicted PPIs'!S61)))*IF(D$36=".", 1, (D62/D61)^(('Summary, PPI''s'!$D62+'Summary, PPI''s'!$D61)/('Predicted PPIs'!S62+'Predicted PPIs'!S61)))*IF(N$36=".", 1, (N62/N61)^(('Summary, PPI''s'!$N62+'Summary, PPI''s'!$N61)/('Predicted PPIs'!S62+'Predicted PPIs'!S61)))*IF(O$36=".", 1, (O62/O61)^(('Summary, PPI''s'!$O62+'Summary, PPI''s'!$O61)/('Predicted PPIs'!S62+'Predicted PPIs'!S61)))*IF(P$36=".", 1, (P62/P61)^(('Summary, PPI''s'!$P62+'Summary, PPI''s'!$P61)/('Predicted PPIs'!S62+'Predicted PPIs'!S61)))</f>
        <v>#VALUE!</v>
      </c>
      <c r="AB62" s="4" t="e">
        <f>AB61*IF(E$46=".", 1, (E62/E61)^(('Summary, PPI''s'!$E62+'Summary, PPI''s'!$E61)/('Predicted PPIs'!T62+'Predicted PPIs'!T61)))*IF(F$46=".", 1, (F62/F61)^(('Summary, PPI''s'!$F62+'Summary, PPI''s'!$F61)/('Predicted PPIs'!T62+'Predicted PPIs'!T61)))*IF(G$46=".", 1, (G62/G61)^(('Summary, PPI''s'!$G62+'Summary, PPI''s'!$G61)/('Predicted PPIs'!T62+'Predicted PPIs'!T61)))*IF(H$46=".", 1, (H62/H61)^(('Summary, PPI''s'!$H62+'Summary, PPI''s'!$H61)/('Predicted PPIs'!T62+'Predicted PPIs'!T61)))*IF(I$46=".", 1, (I62/I61)^(('Summary, PPI''s'!$I62+'Summary, PPI''s'!$I61)/('Predicted PPIs'!T62+'Predicted PPIs'!T61)))*IF(J$46=".", 1, (J62/J61)^(('Summary, PPI''s'!$J62+'Summary, PPI''s'!$J61)/('Predicted PPIs'!T62+'Predicted PPIs'!T61)))*IF(K$46=".", 1, (K62/K61)^(('Summary, PPI''s'!$K62+'Summary, PPI''s'!$K61)/('Predicted PPIs'!T62+'Predicted PPIs'!T61)))*IF(L$46=".", 1, (L62/L61)^(('Summary, PPI''s'!$L62+'Summary, PPI''s'!$L61)/('Predicted PPIs'!T62+'Predicted PPIs'!T61)))*IF(M$46=".", 1, (M62/M61)^(('Summary, PPI''s'!$M62+'Summary, PPI''s'!$M61)/('Predicted PPIs'!T62+'Predicted PPIs'!T61)))*IF(B$46=".", 1, (B62/B61)^(('Summary, PPI''s'!$B62+'Summary, PPI''s'!$B61)/('Predicted PPIs'!T62+'Predicted PPIs'!T61)))*IF(C$46=".", 1, (C62/C61)^(('Summary, PPI''s'!$C62+'Summary, PPI''s'!$C61)/('Predicted PPIs'!T62+'Predicted PPIs'!T61)))*IF(D$46=".", 1, (D62/D61)^(('Summary, PPI''s'!$D62+'Summary, PPI''s'!$D61)/('Predicted PPIs'!T62+'Predicted PPIs'!T61)))*IF(N$46=".", 1, (N62/N61)^(('Summary, PPI''s'!$N62+'Summary, PPI''s'!$N61)/('Predicted PPIs'!T62+'Predicted PPIs'!T61)))*IF(O$46=".", 1, (O62/O61)^(('Summary, PPI''s'!$O62+'Summary, PPI''s'!$O61)/('Predicted PPIs'!T62+'Predicted PPIs'!T61)))*IF(P$46=".", 1, (P62/P61)^(('Summary, PPI''s'!$P62+'Summary, PPI''s'!$P61)/('Predicted PPIs'!T62+'Predicted PPIs'!T61)))</f>
        <v>#VALUE!</v>
      </c>
      <c r="AC62" s="4" t="e">
        <f>AC61*IF(E$60=".",1,(E62/E61)^(('Summary, PPI''s'!$E62+'Summary, PPI''s'!$E61)/('Predicted PPIs'!U62+'Predicted PPIs'!U61)))*IF(F$60=".",1,(F62/F61)^(('Summary, PPI''s'!$F62+'Summary, PPI''s'!$F61)/('Predicted PPIs'!U62+'Predicted PPIs'!U61)))*IF(G$60=".",1,(G62/G61)^(('Summary, PPI''s'!$G62+'Summary, PPI''s'!$G61)/('Predicted PPIs'!U62+'Predicted PPIs'!U61)))*IF(H$60=".",1,(H62/H61)^(('Summary, PPI''s'!$H62+'Summary, PPI''s'!$H61)/('Predicted PPIs'!U62+'Predicted PPIs'!U61)))*IF(I$60=".",1,(I62/I61)^(('Summary, PPI''s'!$I62+'Summary, PPI''s'!$I61)/('Predicted PPIs'!U62+'Predicted PPIs'!U61)))*IF(J$60=".",1,(J62/J61)^(('Summary, PPI''s'!$J62+'Summary, PPI''s'!$J61)/('Predicted PPIs'!U62+'Predicted PPIs'!U61)))*IF(K$60=".",1,(K62/K61)^(('Summary, PPI''s'!$K62+'Summary, PPI''s'!$K61)/('Predicted PPIs'!U62+'Predicted PPIs'!U61)))*IF(L$60=".",1,(L62/L61)^(('Summary, PPI''s'!$L62+'Summary, PPI''s'!$L61)/('Predicted PPIs'!U62+'Predicted PPIs'!U61)))*IF(M$60=".",1,(M62/M61)^(('Summary, PPI''s'!$M62+'Summary, PPI''s'!$M61)/('Predicted PPIs'!U62+'Predicted PPIs'!U61)))*IF(B$60=".",1,(B62/B61)^(('Summary, PPI''s'!$B62+'Summary, PPI''s'!$B61)/('Predicted PPIs'!U62+'Predicted PPIs'!U61)))*IF(C$60=".",1,(C62/C61)^(('Summary, PPI''s'!$C62+'Summary, PPI''s'!$C61)/('Predicted PPIs'!U62+'Predicted PPIs'!U61)))*IF(D$60=".",1,(D62/D61)^(('Summary, PPI''s'!$D62+'Summary, PPI''s'!$D61)/('Predicted PPIs'!U62+'Predicted PPIs'!U61)))*IF(N$60=".",1,(N62/N61)^(('Summary, PPI''s'!$N62+'Summary, PPI''s'!$N61)/('Predicted PPIs'!U62+'Predicted PPIs'!U61)))*IF(O$60=".",1,(O62/O61)^(('Summary, PPI''s'!$O62+'Summary, PPI''s'!$O61)/('Predicted PPIs'!U62+'Predicted PPIs'!U61)))*IF(P$60=".",1,(P62/P61)^(('Summary, PPI''s'!$P62+'Summary, PPI''s'!$P61)/('Predicted PPIs'!U62+'Predicted PPIs'!U61)))</f>
        <v>#VALUE!</v>
      </c>
      <c r="AD62" s="4">
        <f>AD61*IF(E$73=".", 1, (E62/E61)^(('Summary, PPI''s'!$E62+'Summary, PPI''s'!$E61)/('Predicted PPIs'!V62+'Predicted PPIs'!V61)))*IF(F$73=".", 1, (F62/F61)^(('Summary, PPI''s'!$F62+'Summary, PPI''s'!$F61)/('Predicted PPIs'!V62+'Predicted PPIs'!V61)))*IF(G$73=".", 1, (G62/G61)^(('Summary, PPI''s'!$G62+'Summary, PPI''s'!$G61)/('Predicted PPIs'!V62+'Predicted PPIs'!V61)))*IF(H$73=".", 1, (H62/H61)^(('Summary, PPI''s'!$H62+'Summary, PPI''s'!$H61)/('Predicted PPIs'!V62+'Predicted PPIs'!V61)))*IF(I$73=".", 1, (I62/I61)^(('Summary, PPI''s'!$I62+'Summary, PPI''s'!$I61)/('Predicted PPIs'!V62+'Predicted PPIs'!V61)))*IF(J$73=".", 1, (J62/J61)^(('Summary, PPI''s'!$J62+'Summary, PPI''s'!$J61)/('Predicted PPIs'!V62+'Predicted PPIs'!V61)))*IF(K$73=".", 1, (K62/K61)^(('Summary, PPI''s'!$K62+'Summary, PPI''s'!$K61)/('Predicted PPIs'!V62+'Predicted PPIs'!V61)))*IF(L$73=".", 1, (L62/L61)^(('Summary, PPI''s'!$L62+'Summary, PPI''s'!$L61)/('Predicted PPIs'!V62+'Predicted PPIs'!V61)))*IF(M$73=".", 1, (M62/M61)^(('Summary, PPI''s'!$M62+'Summary, PPI''s'!$M61)/('Predicted PPIs'!V62+'Predicted PPIs'!V61)))*IF(B$73=".", 1, (B62/B61)^(('Summary, PPI''s'!$B62+'Summary, PPI''s'!$B61)/('Predicted PPIs'!V62+'Predicted PPIs'!V61)))*IF(C$73=".", 1, (C62/C61)^(('Summary, PPI''s'!$C62+'Summary, PPI''s'!$C61)/('Predicted PPIs'!V62+'Predicted PPIs'!V61)))*IF(D$73=".", 1, (D62/D61)^(('Summary, PPI''s'!$D62+'Summary, PPI''s'!$D61)/('Predicted PPIs'!V62+'Predicted PPIs'!V61)))*IF(N$73=".", 1, (N62/N61)^(('Summary, PPI''s'!$N62+'Summary, PPI''s'!$N61)/('Predicted PPIs'!V62+'Predicted PPIs'!V61)))*IF(O$73=".", 1, (O62/O61)^(('Summary, PPI''s'!$O62+'Summary, PPI''s'!$O61)/('Predicted PPIs'!V62+'Predicted PPIs'!V61)))*IF(P$73=".", 1, (P62/P61)^(('Summary, PPI''s'!$P62+'Summary, PPI''s'!$P61)/('Predicted PPIs'!V62+'Predicted PPIs'!V61)))</f>
        <v>10.462505559014749</v>
      </c>
      <c r="AE62" s="4">
        <f>AE61*IF(E$94=".", 1, (E62/E61)^(('Summary, PPI''s'!$E62+'Summary, PPI''s'!$E61)/('Predicted PPIs'!W62+'Predicted PPIs'!W61)))*IF(F$94=".", 1, (F62/F61)^(('Summary, PPI''s'!$F62+'Summary, PPI''s'!$F61)/('Predicted PPIs'!W62+'Predicted PPIs'!W61)))*IF(G$94=".", 1, (G62/G61)^(('Summary, PPI''s'!$G62+'Summary, PPI''s'!$G61)/('Predicted PPIs'!W62+'Predicted PPIs'!W61)))*IF(H$94=".", 1, (H62/H61)^(('Summary, PPI''s'!$H62+'Summary, PPI''s'!$H61)/('Predicted PPIs'!W62+'Predicted PPIs'!W61)))*IF(I$94=".", 1, (I62/I61)^(('Summary, PPI''s'!$I62+'Summary, PPI''s'!$I61)/('Predicted PPIs'!W62+'Predicted PPIs'!W61)))*IF(J$94=".", 1, (J62/J61)^(('Summary, PPI''s'!$J62+'Summary, PPI''s'!$J61)/('Predicted PPIs'!W62+'Predicted PPIs'!W61)))*IF(K$94=".", 1, (K62/K61)^(('Summary, PPI''s'!$K62+'Summary, PPI''s'!$K61)/('Predicted PPIs'!W62+'Predicted PPIs'!W61)))*IF(L$94=".", 1, (L62/L61)^(('Summary, PPI''s'!$L62+'Summary, PPI''s'!$L61)/('Predicted PPIs'!W62+'Predicted PPIs'!W61)))*IF(M$94=".", 1, (M62/M61)^(('Summary, PPI''s'!$M62+'Summary, PPI''s'!$M61)/('Predicted PPIs'!W62+'Predicted PPIs'!W61)))*IF(B$94=".", 1, (B62/B61)^(('Summary, PPI''s'!$B62+'Summary, PPI''s'!$B61)/('Predicted PPIs'!W62+'Predicted PPIs'!W61)))*IF(C$94=".", 1, (C62/C61)^(('Summary, PPI''s'!$C62+'Summary, PPI''s'!$C61)/('Predicted PPIs'!W62+'Predicted PPIs'!W61)))*IF(D$94=".", 1, (D62/D61)^(('Summary, PPI''s'!$D62+'Summary, PPI''s'!$D61)/('Predicted PPIs'!W62+'Predicted PPIs'!W61)))*IF(N$94=".", 1, (N62/N61)^(('Summary, PPI''s'!$N62+'Summary, PPI''s'!$N61)/('Predicted PPIs'!W62+'Predicted PPIs'!W61)))*IF(O$94=".", 1, (O62/O61)^(('Summary, PPI''s'!$O62+'Summary, PPI''s'!$O61)/('Predicted PPIs'!W62+'Predicted PPIs'!W61)))*IF(P$94=".", 1, (P62/P61)^(('Summary, PPI''s'!$P62+'Summary, PPI''s'!$P61)/('Predicted PPIs'!W62+'Predicted PPIs'!W61)))</f>
        <v>9.8642377294223476</v>
      </c>
      <c r="AF62" s="4">
        <f>AF61*IF(E$123=".", 1, (E62/E61)^(('Summary, PPI''s'!$E62+'Summary, PPI''s'!$E61)/('Predicted PPIs'!X62+'Predicted PPIs'!X61)))*IF(F$123=".", 1, (F62/F61)^(('Summary, PPI''s'!$F62+'Summary, PPI''s'!$F61)/('Predicted PPIs'!X62+'Predicted PPIs'!X61)))*IF(G$123=".", 1, (G62/G61)^(('Summary, PPI''s'!$G62+'Summary, PPI''s'!$G61)/('Predicted PPIs'!X62+'Predicted PPIs'!X61)))*IF(H$123=".", 1, (H62/H61)^(('Summary, PPI''s'!$H62+'Summary, PPI''s'!$H61)/('Predicted PPIs'!X62+'Predicted PPIs'!X61)))*IF(I$123=".", 1, (I62/I61)^(('Summary, PPI''s'!$I62+'Summary, PPI''s'!$I61)/('Predicted PPIs'!X62+'Predicted PPIs'!X61)))*IF(J$123=".", 1, (J62/J61)^(('Summary, PPI''s'!$J62+'Summary, PPI''s'!$J61)/('Predicted PPIs'!X62+'Predicted PPIs'!X61)))*IF(K$123=".", 1, (K62/K61)^(('Summary, PPI''s'!$K62+'Summary, PPI''s'!$K61)/('Predicted PPIs'!X62+'Predicted PPIs'!X61)))*IF(L$123=".", 1, (L62/L61)^(('Summary, PPI''s'!$L62+'Summary, PPI''s'!$L61)/('Predicted PPIs'!X62+'Predicted PPIs'!X61)))*IF(M$123=".", 1, (M62/M61)^(('Summary, PPI''s'!$M62+'Summary, PPI''s'!$M61)/('Predicted PPIs'!X62+'Predicted PPIs'!X61)))*IF(B$123=".", 1, (B62/B61)^(('Summary, PPI''s'!$B62+'Summary, PPI''s'!$B61)/('Predicted PPIs'!X62+'Predicted PPIs'!X61)))*IF(C$123=".", 1, (C62/C61)^(('Summary, PPI''s'!$C62+'Summary, PPI''s'!$C61)/('Predicted PPIs'!X62+'Predicted PPIs'!X61)))*IF(D$123=".", 1, (D62/D61)^(('Summary, PPI''s'!$D62+'Summary, PPI''s'!$D61)/('Predicted PPIs'!X62+'Predicted PPIs'!X61)))*IF(N$123=".", 1, (N62/N61)^(('Summary, PPI''s'!$N62+'Summary, PPI''s'!$N61)/('Predicted PPIs'!X62+'Predicted PPIs'!X61)))*IF(O$123=".", 1, (O62/O61)^(('Summary, PPI''s'!$O62+'Summary, PPI''s'!$O61)/('Predicted PPIs'!X62+'Predicted PPIs'!X61)))*IF(P$123=".", 1, (P62/P61)^(('Summary, PPI''s'!$P62+'Summary, PPI''s'!$P61)/('Predicted PPIs'!X62+'Predicted PPIs'!X61)))</f>
        <v>9.6340499819128844</v>
      </c>
      <c r="AH62" s="13">
        <f t="shared" si="91"/>
        <v>12.127113313203196</v>
      </c>
      <c r="AJ62" s="4">
        <v>341.5</v>
      </c>
      <c r="AK62" s="4">
        <v>-1.109</v>
      </c>
      <c r="AL62" s="4">
        <v>-33.284999999999997</v>
      </c>
      <c r="AM62" s="4">
        <v>-2.202</v>
      </c>
      <c r="AN62" s="4">
        <v>443.5</v>
      </c>
      <c r="AO62" s="4">
        <v>83.3</v>
      </c>
      <c r="AP62" s="4">
        <f>('[4]1961'!$I$14+'[4]1961'!$I$51+'[4]1961'!$I$53-'[4]1961'!$I$55)*0.001</f>
        <v>-8.5560000000000009</v>
      </c>
      <c r="AQ62" s="4">
        <f>('[4]1961'!$AK$42+'[4]1961'!$AK$51+'[4]1961'!$AK$53-'[4]1961'!$AK$55)*0.001</f>
        <v>-18.03</v>
      </c>
      <c r="AR62" s="4">
        <f>AR$38*167/23762</f>
        <v>-7.8629576634963394E-2</v>
      </c>
      <c r="AS62" s="4">
        <v>-2.653</v>
      </c>
      <c r="AT62" s="4">
        <v>16.611999999999998</v>
      </c>
      <c r="AU62" s="4">
        <v>22.138000000000002</v>
      </c>
      <c r="AV62" s="4">
        <v>14.542</v>
      </c>
      <c r="AW62" s="4">
        <v>13.651999999999999</v>
      </c>
      <c r="AX62" s="4">
        <v>16.449000000000002</v>
      </c>
      <c r="AY62" s="4">
        <v>23.501000000000001</v>
      </c>
      <c r="AZ62" s="4">
        <v>8.7609999999999992</v>
      </c>
      <c r="BA62" s="4">
        <v>19.425999999999998</v>
      </c>
      <c r="BB62" s="4">
        <f>BB$38*183.554/184.05</f>
        <v>102.70247715294757</v>
      </c>
      <c r="BC62" s="4">
        <v>17.936</v>
      </c>
      <c r="BG62" s="4">
        <f t="shared" si="50"/>
        <v>19.848086417995699</v>
      </c>
      <c r="BI62" s="4">
        <f>BI$13*'[2]Ordinary Experience'!$D$364/'[2]Ordinary Experience'!$D$413</f>
        <v>181744328.25128835</v>
      </c>
      <c r="BJ62" s="4">
        <f>'[2]Ordinary Experience'!$E$364</f>
        <v>30.829667164078508</v>
      </c>
      <c r="BL62" s="4">
        <f t="shared" si="90"/>
        <v>39.835808733239553</v>
      </c>
      <c r="BM62" s="4">
        <f t="shared" si="34"/>
        <v>-8.4748856835517028E-3</v>
      </c>
      <c r="BO62" s="4" t="str">
        <f>IF(OR('Summary, hourly ad costs'!R62=-9999,'Summary, PPI''s'!R62="."),".",(('Summary, hourly ad costs'!B62/'Summary, hourly ad costs'!R62)*100/('Summary, hourly ad costs'!B$11/'Summary, hourly ad costs'!R$11))/('Summary, PPI''s'!R62))</f>
        <v>.</v>
      </c>
      <c r="BP62" s="4" t="str">
        <f>IF(OR('Summary, hourly ad costs'!S62=-9999,'Summary, PPI''s'!S62="."),".",(('Summary, hourly ad costs'!C62/'Summary, hourly ad costs'!S62)*100/('Summary, hourly ad costs'!C$11/'Summary, hourly ad costs'!S$11))/('Summary, PPI''s'!S62))</f>
        <v>.</v>
      </c>
      <c r="BQ62" s="4" t="str">
        <f>IF(OR('Summary, hourly ad costs'!T62=-9999,'Summary, PPI''s'!T62="."),".",(('Summary, hourly ad costs'!D62/'Summary, hourly ad costs'!T62)*100/('Summary, hourly ad costs'!D$11/'Summary, hourly ad costs'!T$11))/('Summary, PPI''s'!T62))</f>
        <v>.</v>
      </c>
      <c r="BR62" s="4" t="str">
        <f>IF(OR('Summary, hourly ad costs'!U62=-9999,'Summary, PPI''s'!U62="."),".",(('Summary, hourly ad costs'!E62/'Summary, hourly ad costs'!U62)*100/('Summary, hourly ad costs'!E$11/'Summary, hourly ad costs'!U$11))/('Summary, PPI''s'!U62))</f>
        <v>.</v>
      </c>
      <c r="BS62" s="4" t="str">
        <f>IF(OR('Summary, hourly ad costs'!V62=-9999,'Summary, PPI''s'!V62="."),".",(('Summary, hourly ad costs'!F62/'Summary, hourly ad costs'!V62)*100/('Summary, hourly ad costs'!F$11/'Summary, hourly ad costs'!V$11))/('Summary, PPI''s'!V62))</f>
        <v>.</v>
      </c>
      <c r="BT62" s="4" t="str">
        <f>IF(OR('Summary, hourly ad costs'!W62=-9999,'Summary, PPI''s'!W62="."),".",(('Summary, hourly ad costs'!G62/'Summary, hourly ad costs'!W62)*100/('Summary, hourly ad costs'!G$11/'Summary, hourly ad costs'!W$11))/('Summary, PPI''s'!W62))</f>
        <v>.</v>
      </c>
      <c r="BU62" s="4">
        <f>IF(OR('Summary, hourly ad costs'!X62=-9999,'Summary, PPI''s'!X62="."),".",(('Summary, hourly ad costs'!H62/'Summary, hourly ad costs'!X62)*100/('Summary, hourly ad costs'!H$11/'Summary, hourly ad costs'!X$11))/('Summary, PPI''s'!X62))</f>
        <v>1.1131286873177888</v>
      </c>
      <c r="BV62" s="4" t="str">
        <f>IF(OR('Summary, hourly ad costs'!Y62=-9999,'Summary, PPI''s'!Y62="."),".",(('Summary, hourly ad costs'!I62/'Summary, hourly ad costs'!Y62)*100/('Summary, hourly ad costs'!I$11/'Summary, hourly ad costs'!Y$11))/('Summary, PPI''s'!Y62))</f>
        <v>.</v>
      </c>
      <c r="BW62" s="4" t="str">
        <f>IF(OR('Summary, hourly ad costs'!Z62=-9999,'Summary, PPI''s'!Z62="."),".",(('Summary, hourly ad costs'!J62/'Summary, hourly ad costs'!Z62)*100/('Summary, hourly ad costs'!J$11/'Summary, hourly ad costs'!Z$11))/('Summary, PPI''s'!Z62))</f>
        <v>.</v>
      </c>
      <c r="BX62" s="4" t="str">
        <f>IF(OR('Summary, hourly ad costs'!AA62=-9999,'Summary, PPI''s'!AA62="."),".",(('Summary, hourly ad costs'!K62/'Summary, hourly ad costs'!AA62)*100/('Summary, hourly ad costs'!K$11/'Summary, hourly ad costs'!AA$11))/('Summary, PPI''s'!AA62))</f>
        <v>.</v>
      </c>
      <c r="BY62" s="4" t="str">
        <f>IF(OR('Summary, hourly ad costs'!AB62=-9999,'Summary, PPI''s'!AB62="."),".",(('Summary, hourly ad costs'!L62/'Summary, hourly ad costs'!AB62)*100/('Summary, hourly ad costs'!L$11/'Summary, hourly ad costs'!AB$11))/('Summary, PPI''s'!AB62))</f>
        <v>.</v>
      </c>
      <c r="BZ62" s="4" t="str">
        <f>IF(OR('Summary, hourly ad costs'!AC62=-9999,'Summary, PPI''s'!AC62="."),".",(('Summary, hourly ad costs'!M62/'Summary, hourly ad costs'!AC62)*100/('Summary, hourly ad costs'!M$11/'Summary, hourly ad costs'!AC$11))/('Summary, PPI''s'!AC62))</f>
        <v>.</v>
      </c>
      <c r="CA62" s="4" t="str">
        <f>IF(OR('Summary, hourly ad costs'!AD62=-9999,'Summary, PPI''s'!AD62="."),".",(('Summary, hourly ad costs'!N62/'Summary, hourly ad costs'!AD62)*100/('Summary, hourly ad costs'!N$11/'Summary, hourly ad costs'!AD$11))/('Summary, PPI''s'!AD62))</f>
        <v>.</v>
      </c>
      <c r="CB62" s="4" t="str">
        <f>IF(OR('Summary, hourly ad costs'!AE62=-9999,'Summary, PPI''s'!AE62="."),".",(('Summary, hourly ad costs'!O62/'Summary, hourly ad costs'!AE62)*100/('Summary, hourly ad costs'!O$11/'Summary, hourly ad costs'!AE$11))/('Summary, PPI''s'!AE62))</f>
        <v>.</v>
      </c>
      <c r="CC62" s="4" t="str">
        <f>IF(OR('Summary, hourly ad costs'!AF62=-9999,'Summary, PPI''s'!AF62="."),".",(('Summary, hourly ad costs'!P62/'Summary, hourly ad costs'!AF62)*100/('Summary, hourly ad costs'!P$11/'Summary, hourly ad costs'!AF$11))/('Summary, PPI''s'!AF62))</f>
        <v>.</v>
      </c>
      <c r="CE62" s="4">
        <f t="shared" si="134"/>
        <v>-3.9922650808818405E-2</v>
      </c>
      <c r="CF62" s="4" t="str">
        <f t="shared" si="135"/>
        <v>.</v>
      </c>
      <c r="CG62" s="4" t="str">
        <f t="shared" si="136"/>
        <v>.</v>
      </c>
      <c r="CH62" s="4">
        <f t="shared" si="145"/>
        <v>-3.2171168406182851E-2</v>
      </c>
      <c r="CI62" s="4">
        <f t="shared" si="145"/>
        <v>-3.4833540154290937E-2</v>
      </c>
      <c r="CJ62" s="4" t="str">
        <f t="shared" si="137"/>
        <v>.</v>
      </c>
      <c r="CK62" s="4">
        <f t="shared" si="137"/>
        <v>1.1293240009813132E-7</v>
      </c>
      <c r="CL62" s="4">
        <f t="shared" si="130"/>
        <v>-2.4629428881022677E-2</v>
      </c>
      <c r="CM62" s="4">
        <f t="shared" si="130"/>
        <v>6.4692336943220135E-3</v>
      </c>
      <c r="CN62" s="4">
        <f t="shared" si="89"/>
        <v>-3.9239350748391286E-2</v>
      </c>
      <c r="CO62" s="4">
        <f t="shared" si="120"/>
        <v>-6.1533139672477567E-2</v>
      </c>
      <c r="CP62" s="4">
        <f t="shared" si="120"/>
        <v>0.2133318783849088</v>
      </c>
      <c r="CQ62" s="4" t="str">
        <f t="shared" si="110"/>
        <v>.</v>
      </c>
      <c r="CR62" s="4" t="str">
        <f t="shared" si="111"/>
        <v>.</v>
      </c>
      <c r="CS62" s="4" t="str">
        <f t="shared" si="112"/>
        <v>.</v>
      </c>
      <c r="CU62" s="5">
        <f>IF(CU61=".", ".", IF('Summary, PPI''s'!R62=".",IF(OR('Summary, hourly ad costs'!R62=-9999,'Summary, hourly ad costs'!R62=0), ".", 'Predicted PPIs'!CU61*('Summary, hourly ad costs'!B62/'Summary, hourly ad costs'!R62)/('Summary, hourly ad costs'!B61/'Summary, hourly ad costs'!R61)/(1-CE61)), 'Summary, PPI''s'!R62))</f>
        <v>22.83688877069482</v>
      </c>
      <c r="CV62" s="5" t="str">
        <f>IF(CV61=".", ".", IF('Summary, PPI''s'!S62=".",IF(OR('Summary, hourly ad costs'!S62=-9999,'Summary, hourly ad costs'!S62=0), ".", 'Predicted PPIs'!CV61*('Summary, hourly ad costs'!C62/'Summary, hourly ad costs'!S62)/('Summary, hourly ad costs'!C61/'Summary, hourly ad costs'!S61)/(1-CF61)), 'Summary, PPI''s'!S62))</f>
        <v>.</v>
      </c>
      <c r="CW62" s="5" t="str">
        <f>IF(CW61=".", ".", IF('Summary, PPI''s'!T62=".",IF(OR('Summary, hourly ad costs'!T62=-9999,'Summary, hourly ad costs'!T62=0), ".", 'Predicted PPIs'!CW61*('Summary, hourly ad costs'!D62/'Summary, hourly ad costs'!T62)/('Summary, hourly ad costs'!D61/'Summary, hourly ad costs'!T61)/(1-CG61)), 'Summary, PPI''s'!T62))</f>
        <v>.</v>
      </c>
      <c r="CX62" s="5">
        <f>IF(CX61=".", ".", IF('Summary, PPI''s'!U62=".",IF(OR('Summary, hourly ad costs'!U62=-9999,'Summary, hourly ad costs'!U62=0), ".", 'Predicted PPIs'!CX61*('Summary, hourly ad costs'!E62/'Summary, hourly ad costs'!U62)/('Summary, hourly ad costs'!E61/'Summary, hourly ad costs'!U61)/(1-CH61)), 'Summary, PPI''s'!U62))</f>
        <v>7.6447373284732505</v>
      </c>
      <c r="CY62" s="5">
        <f>IF(CY61=".", ".", IF('Summary, PPI''s'!V62=".",IF(OR('Summary, hourly ad costs'!V62=-9999,'Summary, hourly ad costs'!V62=0), ".", 'Predicted PPIs'!CY61*('Summary, hourly ad costs'!F62/'Summary, hourly ad costs'!V62)/('Summary, hourly ad costs'!F61/'Summary, hourly ad costs'!V61)/(1-CI61)), 'Summary, PPI''s'!V62))</f>
        <v>13.239917973391591</v>
      </c>
      <c r="CZ62" s="5" t="str">
        <f>IF(CZ61=".", ".", IF('Summary, PPI''s'!W62=".",IF(OR('Summary, hourly ad costs'!W62=-9999,'Summary, hourly ad costs'!W62=0), ".", 'Predicted PPIs'!CZ61*('Summary, hourly ad costs'!G62/'Summary, hourly ad costs'!W62)/('Summary, hourly ad costs'!G61/'Summary, hourly ad costs'!W61)/(1-CJ61)), 'Summary, PPI''s'!W62))</f>
        <v>.</v>
      </c>
      <c r="DA62" s="5">
        <f>IF(DA61=".", ".", IF('Summary, PPI''s'!X62=".",IF(OR('Summary, hourly ad costs'!X62=-9999,'Summary, hourly ad costs'!X62=0), ".", 'Predicted PPIs'!DA61*('Summary, hourly ad costs'!H62/'Summary, hourly ad costs'!X62)/('Summary, hourly ad costs'!H61/'Summary, hourly ad costs'!X61)/(1-CK61)), 'Summary, PPI''s'!X62))</f>
        <v>9.202</v>
      </c>
      <c r="DB62" s="5">
        <f>IF(DB61=".", ".", IF('Summary, PPI''s'!Y62=".",IF(OR('Summary, hourly ad costs'!Y62=-9999,'Summary, hourly ad costs'!Y62=0), ".", 'Predicted PPIs'!DB61*('Summary, hourly ad costs'!I62/'Summary, hourly ad costs'!Y62)/('Summary, hourly ad costs'!I61/'Summary, hourly ad costs'!Y61)/(1-CL61)), 'Summary, PPI''s'!Y62))</f>
        <v>9.0805244013028474</v>
      </c>
      <c r="DC62" s="5">
        <f>IF(DC61=".", ".", IF('Summary, PPI''s'!Z62=".",IF(OR('Summary, hourly ad costs'!Z62=-9999,'Summary, hourly ad costs'!Z62=0), ".", 'Predicted PPIs'!DC61*('Summary, hourly ad costs'!J62/'Summary, hourly ad costs'!Z62)/('Summary, hourly ad costs'!J61/'Summary, hourly ad costs'!Z61)/(1-CM61)), 'Summary, PPI''s'!Z62))</f>
        <v>14.030156231005563</v>
      </c>
      <c r="DD62" s="5" t="str">
        <f>IF(DD61=".", ".", IF('Summary, PPI''s'!AA62=".",IF(OR('Summary, hourly ad costs'!AA62=-9999,'Summary, hourly ad costs'!AA62=0), ".", 'Predicted PPIs'!DD61*('Summary, hourly ad costs'!K62/'Summary, hourly ad costs'!AA62)/('Summary, hourly ad costs'!K61/'Summary, hourly ad costs'!AA61)/(1-CN61)), 'Summary, PPI''s'!AA62))</f>
        <v>.</v>
      </c>
      <c r="DE62" s="5" t="str">
        <f>IF(DE61=".", ".", IF('Summary, PPI''s'!AB62=".",IF(OR('Summary, hourly ad costs'!AB62=-9999,'Summary, hourly ad costs'!AB62=0), ".", 'Predicted PPIs'!DE61*('Summary, hourly ad costs'!L62/'Summary, hourly ad costs'!AB62)/('Summary, hourly ad costs'!L61/'Summary, hourly ad costs'!AB61)/(1-CO61)), 'Summary, PPI''s'!AB62))</f>
        <v>.</v>
      </c>
      <c r="DF62" s="5" t="str">
        <f>IF(DF61=".", ".", IF('Summary, PPI''s'!AC62=".",IF(OR('Summary, hourly ad costs'!AC62=-9999,'Summary, hourly ad costs'!AC62=0), ".", 'Predicted PPIs'!DF61*('Summary, hourly ad costs'!M62/'Summary, hourly ad costs'!AC62)/('Summary, hourly ad costs'!M61/'Summary, hourly ad costs'!AC61)/(1-CP61)), 'Summary, PPI''s'!AC62))</f>
        <v>.</v>
      </c>
      <c r="DG62" s="5" t="str">
        <f>IF(DG61=".", ".", IF('Summary, PPI''s'!AD62=".",IF(OR('Summary, hourly ad costs'!AD62=-9999,'Summary, hourly ad costs'!AD62=0), ".", 'Predicted PPIs'!DG61*('Summary, hourly ad costs'!N62/'Summary, hourly ad costs'!AD62)/('Summary, hourly ad costs'!N61/'Summary, hourly ad costs'!AD61)/(1-CQ61)), 'Summary, PPI''s'!AD62))</f>
        <v>.</v>
      </c>
      <c r="DH62" s="5" t="str">
        <f>IF(DH61=".", ".", IF('Summary, PPI''s'!AE62=".",IF(OR('Summary, hourly ad costs'!AE62=-9999,'Summary, hourly ad costs'!AE62=0), ".", 'Predicted PPIs'!DH61*('Summary, hourly ad costs'!O62/'Summary, hourly ad costs'!AE62)/('Summary, hourly ad costs'!O61/'Summary, hourly ad costs'!AE61)/(1-CR61)), 'Summary, PPI''s'!AE62))</f>
        <v>.</v>
      </c>
      <c r="DI62" s="5" t="str">
        <f>IF(DI61=".", ".", IF('Summary, PPI''s'!AF62=".",IF(OR('Summary, hourly ad costs'!AF62=-9999,'Summary, hourly ad costs'!AF62=0), ".", 'Predicted PPIs'!DI61*('Summary, hourly ad costs'!P62/'Summary, hourly ad costs'!AF62)/('Summary, hourly ad costs'!P61/'Summary, hourly ad costs'!AF61)/(1-CS61)), 'Summary, PPI''s'!AF62))</f>
        <v>.</v>
      </c>
      <c r="DK62" s="4">
        <v>6.3940000000000001</v>
      </c>
      <c r="DM62" s="5">
        <f t="shared" si="138"/>
        <v>6.1650254401641735E-3</v>
      </c>
      <c r="DN62" s="4">
        <f t="shared" si="139"/>
        <v>-1.8003042740647738E-2</v>
      </c>
      <c r="DO62" s="4">
        <f t="shared" si="123"/>
        <v>-2.2902781471978974E-2</v>
      </c>
      <c r="DP62" s="5">
        <f t="shared" si="140"/>
        <v>1.1116267941077451E-2</v>
      </c>
      <c r="DQ62" s="5">
        <f t="shared" si="141"/>
        <v>-2.1334746652964309E-2</v>
      </c>
      <c r="DR62" s="4">
        <f t="shared" si="146"/>
        <v>-1.2461397541709896E-2</v>
      </c>
      <c r="DS62" s="5">
        <f t="shared" si="142"/>
        <v>3.0908711007738399E-2</v>
      </c>
      <c r="DT62" s="5">
        <f t="shared" si="143"/>
        <v>-3.1983737910404209E-2</v>
      </c>
      <c r="DU62" s="5">
        <f t="shared" si="144"/>
        <v>-2.4223519066900456E-2</v>
      </c>
      <c r="DV62" s="4">
        <f t="shared" si="131"/>
        <v>1.1682159639476004E-3</v>
      </c>
      <c r="DW62" s="4">
        <f t="shared" si="133"/>
        <v>6.5690264556758221E-3</v>
      </c>
      <c r="DX62" s="4">
        <f t="shared" si="133"/>
        <v>-0.18806804305799046</v>
      </c>
      <c r="DY62" s="4">
        <f t="shared" si="108"/>
        <v>-2.126636068228217E-2</v>
      </c>
      <c r="DZ62" s="4">
        <f t="shared" si="132"/>
        <v>-1.4989397065688076E-2</v>
      </c>
      <c r="EA62" s="4">
        <f t="shared" si="109"/>
        <v>-1.2673591836432954E-2</v>
      </c>
      <c r="EC62" s="1">
        <f t="shared" si="93"/>
        <v>22.83688877069482</v>
      </c>
      <c r="ED62" s="1">
        <f t="shared" si="94"/>
        <v>19.372498673076052</v>
      </c>
      <c r="EE62" s="1">
        <f t="shared" si="95"/>
        <v>10.855672712096208</v>
      </c>
      <c r="EF62" s="1">
        <f t="shared" si="96"/>
        <v>7.6447373284732505</v>
      </c>
      <c r="EG62" s="1">
        <f t="shared" si="97"/>
        <v>13.239917973391591</v>
      </c>
      <c r="EH62" s="1">
        <f t="shared" si="98"/>
        <v>8.3486754551965063</v>
      </c>
      <c r="EI62" s="1">
        <f t="shared" si="99"/>
        <v>9.202</v>
      </c>
      <c r="EJ62" s="1">
        <f t="shared" si="100"/>
        <v>9.0805244013028474</v>
      </c>
      <c r="EK62" s="1">
        <f t="shared" si="101"/>
        <v>14.030156231005563</v>
      </c>
      <c r="EL62" s="1">
        <f t="shared" si="102"/>
        <v>5.2122415097455548</v>
      </c>
      <c r="EM62" s="1">
        <f t="shared" si="103"/>
        <v>2.4371817192167553</v>
      </c>
      <c r="EN62" s="1">
        <f t="shared" si="104"/>
        <v>6.2026034867426931</v>
      </c>
      <c r="EO62" s="1">
        <f t="shared" si="105"/>
        <v>6.5755546973259351</v>
      </c>
      <c r="EP62" s="1">
        <f t="shared" si="106"/>
        <v>8.7984911914450539</v>
      </c>
      <c r="EQ62" s="1">
        <f t="shared" si="107"/>
        <v>6.7423389650140262</v>
      </c>
      <c r="ES62" s="1">
        <f>IF(EF$26=".", 0, 'Summary, PPI''s'!E62)+IF(EG$26=".", 0, 'Summary, PPI''s'!F62)+IF(EH$26=".", 0, 'Summary, PPI''s'!G62)+IF(EI$26=".", 0, 'Summary, PPI''s'!H62)+IF(EJ$26=".", 0, 'Summary, PPI''s'!I62)+IF(EK$26=".", 0, 'Summary, PPI''s'!J62)+IF(EL$26=".", 0, 'Summary, PPI''s'!K62)+IF(EM$26=".", 0, 'Summary, PPI''s'!L62)+IF(EN$26=".", 0, 'Summary, PPI''s'!M62)+IF(EC$26=".", 0, 'Summary, PPI''s'!B62)+IF(ED$26=".", 0, 'Summary, PPI''s'!C62)+IF(EE$26=".", 0, 'Summary, PPI''s'!D62)+IF(EO$26=".", 0, 'Summary, PPI''s'!N62)+IF(EP$26=".", 0, 'Summary, PPI''s'!O62)+IF(EQ$26=".", 0, 'Summary, PPI''s'!P62)</f>
        <v>12406296.722243261</v>
      </c>
      <c r="ET62" s="1">
        <f>'Summary, hourly ad costs'!E62+'Summary, hourly ad costs'!F62+'Summary, hourly ad costs'!H62+'Summary, hourly ad costs'!I62+'Summary, hourly ad costs'!J62+'Summary, hourly ad costs'!K62+'Summary, hourly ad costs'!L62+'Summary, hourly ad costs'!M62+'Summary, hourly ad costs'!B62</f>
        <v>6993170.6028382163</v>
      </c>
      <c r="EV62" s="13">
        <f>EV61*IF(EF$26=".", 1, (EF62/EF61)^(('Summary, PPI''s'!$E62+'Summary, PPI''s'!$E61)/('Predicted PPIs'!ES62+'Predicted PPIs'!ES61)))*IF(EG$26=".", 1, (EG62/EG61)^(('Summary, PPI''s'!$F62+'Summary, PPI''s'!$F61)/('Predicted PPIs'!ES62+'Predicted PPIs'!ES61)))*IF(EH$26=".", 1, (EH62/EH61)^(('Summary, PPI''s'!$G62+'Summary, PPI''s'!$G61)/('Predicted PPIs'!ES62+'Predicted PPIs'!ES61)))*IF(EI$26=".", 1, (EI62/EI61)^(('Summary, PPI''s'!$H62+'Summary, PPI''s'!$H61)/('Predicted PPIs'!ES62+'Predicted PPIs'!ES61)))*IF(EJ$26=".", 1, (EJ62/EJ61)^(('Summary, PPI''s'!$I62+'Summary, PPI''s'!$I61)/('Predicted PPIs'!ES62+'Predicted PPIs'!ES61)))*IF(EK$26=".", 1, (EK62/EK61)^(('Summary, PPI''s'!$J62+'Summary, PPI''s'!$J61)/('Predicted PPIs'!ES62+'Predicted PPIs'!ES61)))*IF(EL$26=".", 1, (EL62/EL61)^(('Summary, PPI''s'!$K62+'Summary, PPI''s'!$K61)/('Predicted PPIs'!ES62+'Predicted PPIs'!ES61)))*IF(EM$26=".", 1, (EM62/EM61)^(('Summary, PPI''s'!$L62+'Summary, PPI''s'!$L61)/('Predicted PPIs'!ES62+'Predicted PPIs'!ES61)))*IF(EN$26=".", 1, (EN62/EN61)^(('Summary, PPI''s'!$M62+'Summary, PPI''s'!$M61)/('Predicted PPIs'!ES62+'Predicted PPIs'!ES61)))*IF(EC$26=".", 1, (EC62/EC61)^(('Summary, PPI''s'!$B62+'Summary, PPI''s'!$B61)/('Predicted PPIs'!ES62+'Predicted PPIs'!ES61)))*IF(ED$26=".", 1, (ED62/ED61)^(('Summary, PPI''s'!$C62+'Summary, PPI''s'!$C61)/('Predicted PPIs'!ES62+'Predicted PPIs'!ES61)))*IF(EE$26=".", 1, (EE62/EE61)^(('Summary, PPI''s'!$D62+'Summary, PPI''s'!$D61)/('Predicted PPIs'!ES62+'Predicted PPIs'!ES61)))*IF(EO$26=".", 1, (EO62/EO61)^(('Summary, PPI''s'!$N62+'Summary, PPI''s'!$N61)/('Predicted PPIs'!ES62+'Predicted PPIs'!ES61)))*IF(EP$26=".", 1, (EP62/EP61)^(('Summary, PPI''s'!$O62+'Summary, PPI''s'!$O61)/('Predicted PPIs'!ES62+'Predicted PPIs'!ES61)))*IF(EQ$26=".", 1, (EQ62/EQ61)^(('Summary, PPI''s'!$P62+'Summary, PPI''s'!$P61)/('Predicted PPIs'!ES62+'Predicted PPIs'!ES61)))</f>
        <v>11.090946712953418</v>
      </c>
      <c r="EW62" s="13">
        <f>EW61*IF(EF$26=".", 1, (EF62/EF61)^(('Summary, PPI''s'!$E62+'Summary, PPI''s'!$E61)/('Predicted PPIs'!ET62+'Predicted PPIs'!ET61)))*IF(EG$26=".", 1, (EG62/EG61)^(('Summary, PPI''s'!$F62+'Summary, PPI''s'!$F61)/('Predicted PPIs'!ET62+'Predicted PPIs'!ET61)))*IF(EH$26=".", 1, (EH62/EH61)^(('Summary, PPI''s'!$G62+'Summary, PPI''s'!$G61)/('Predicted PPIs'!ET62+'Predicted PPIs'!ET61)))*IF(EK$26=".", 1, (EK62/EK61)^(('Summary, PPI''s'!$J62+'Summary, PPI''s'!$J61)/('Predicted PPIs'!ET62+'Predicted PPIs'!ET61)))*IF(EL$26=".", 1, (EL62/EL61)^(('Summary, PPI''s'!$K62+'Summary, PPI''s'!$K61)/('Predicted PPIs'!ET62+'Predicted PPIs'!ET61)))*IF(EM$26=".", 1, (EM62/EM61)^(('Summary, PPI''s'!$L62+'Summary, PPI''s'!$L61)/('Predicted PPIs'!ET62+'Predicted PPIs'!ET61)))*IF(EN$26=".", 1, (EN62/EN61)^(('Summary, PPI''s'!$M62+'Summary, PPI''s'!$M61)/('Predicted PPIs'!ET62+'Predicted PPIs'!ET61)))*IF(EC$26=".", 1, (EC62/EC61)^(('Summary, PPI''s'!$B62+'Summary, PPI''s'!$B61)/('Predicted PPIs'!ET62+'Predicted PPIs'!ET61)))</f>
        <v>14.546815043465138</v>
      </c>
      <c r="EY62" s="2"/>
    </row>
    <row r="63" spans="1:155" x14ac:dyDescent="0.3">
      <c r="A63" s="4">
        <v>1960</v>
      </c>
      <c r="B63" s="10">
        <f>IF(B62=".", ".", IF('Summary, PPI''s'!R63=".",IF(OR('Summary, hourly ad costs'!R63=-9999,'Summary, hourly ad costs'!R63=0), ".", 'Predicted PPIs'!B62*('Summary, hourly ad costs'!B63/'Summary, hourly ad costs'!R63)/('Summary, hourly ad costs'!B62/'Summary, hourly ad costs'!R62)), 'Summary, PPI''s'!R63))</f>
        <v>23.098825398119473</v>
      </c>
      <c r="C63" s="10" t="str">
        <f>IF(C62=".", ".", IF('Summary, PPI''s'!S63=".",IF(OR('Summary, hourly ad costs'!S63=-9999,'Summary, hourly ad costs'!S63=0), ".", 'Predicted PPIs'!C62*('Summary, hourly ad costs'!C63/'Summary, hourly ad costs'!S63)/('Summary, hourly ad costs'!C62/'Summary, hourly ad costs'!S62)), 'Summary, PPI''s'!S63))</f>
        <v>.</v>
      </c>
      <c r="D63" s="10" t="str">
        <f>IF(D62=".", ".", IF('Summary, PPI''s'!T63=".",IF(OR('Summary, hourly ad costs'!T63=-9999,'Summary, hourly ad costs'!T63=0), ".", 'Predicted PPIs'!D62*('Summary, hourly ad costs'!D63/'Summary, hourly ad costs'!T63)/('Summary, hourly ad costs'!D62/'Summary, hourly ad costs'!T62)), 'Summary, PPI''s'!T63))</f>
        <v>.</v>
      </c>
      <c r="E63" s="10">
        <f>IF(E62=".", ".", IF('Summary, PPI''s'!U63=".",IF(OR('Summary, hourly ad costs'!U63=-9999,'Summary, hourly ad costs'!U63=0), ".", 'Predicted PPIs'!E62*('Summary, hourly ad costs'!E63/'Summary, hourly ad costs'!U63)/('Summary, hourly ad costs'!E62/'Summary, hourly ad costs'!U62)), 'Summary, PPI''s'!U63))</f>
        <v>7.293235754338566</v>
      </c>
      <c r="F63" s="10">
        <f>IF(F62=".", ".", IF('Summary, PPI''s'!V63=".",IF(OR('Summary, hourly ad costs'!V63=-9999,'Summary, hourly ad costs'!V63=0), ".", 'Predicted PPIs'!F62*('Summary, hourly ad costs'!F63/'Summary, hourly ad costs'!V63)/('Summary, hourly ad costs'!F62/'Summary, hourly ad costs'!V62)), 'Summary, PPI''s'!V63))</f>
        <v>12.951760860540741</v>
      </c>
      <c r="G63" s="10" t="str">
        <f>IF(G62=".", ".", IF('Summary, PPI''s'!W63=".",IF(OR('Summary, hourly ad costs'!W63=-9999,'Summary, hourly ad costs'!W63=0), ".", 'Predicted PPIs'!G62*('Summary, hourly ad costs'!G63/'Summary, hourly ad costs'!W63)/('Summary, hourly ad costs'!G62/'Summary, hourly ad costs'!W62)), 'Summary, PPI''s'!W63))</f>
        <v>.</v>
      </c>
      <c r="H63" s="10">
        <f>IF(H62=".", ".", IF('Summary, PPI''s'!X63=".",IF(OR('Summary, hourly ad costs'!X63=-9999,'Summary, hourly ad costs'!X63=0), ".", 'Predicted PPIs'!H62*('Summary, hourly ad costs'!H63/'Summary, hourly ad costs'!X63)/('Summary, hourly ad costs'!H62/'Summary, hourly ad costs'!X62)), 'Summary, PPI''s'!X63))</f>
        <v>8.7530000000000001</v>
      </c>
      <c r="I63" s="10">
        <f>IF(I62=".", ".", IF('Summary, PPI''s'!Y63=".",IF(OR('Summary, hourly ad costs'!Y63=-9999,'Summary, hourly ad costs'!Y63=0), ".", 'Predicted PPIs'!I62*('Summary, hourly ad costs'!I63/'Summary, hourly ad costs'!Y63)/('Summary, hourly ad costs'!I62/'Summary, hourly ad costs'!Y62)), 'Summary, PPI''s'!Y63))</f>
        <v>8.0306582436910716</v>
      </c>
      <c r="J63" s="10">
        <f>IF(J62=".", ".", IF('Summary, PPI''s'!Z63=".",IF(OR('Summary, hourly ad costs'!Z63=-9999,'Summary, hourly ad costs'!Z63=0), ".", 'Predicted PPIs'!J62*('Summary, hourly ad costs'!J63/'Summary, hourly ad costs'!Z63)/('Summary, hourly ad costs'!J62/'Summary, hourly ad costs'!Z62)), 'Summary, PPI''s'!Z63))</f>
        <v>10.101830514555315</v>
      </c>
      <c r="K63" s="10" t="str">
        <f>IF(K62=".", ".", IF('Summary, PPI''s'!AA63=".",IF(OR('Summary, hourly ad costs'!AA63=-9999,'Summary, hourly ad costs'!AA63=0), ".", 'Predicted PPIs'!K62*('Summary, hourly ad costs'!K63/'Summary, hourly ad costs'!AA63)/('Summary, hourly ad costs'!K62/'Summary, hourly ad costs'!AA62)), 'Summary, PPI''s'!AA63))</f>
        <v>.</v>
      </c>
      <c r="L63" s="10" t="str">
        <f>IF(L62=".", ".", IF('Summary, PPI''s'!AB63=".",IF(OR('Summary, hourly ad costs'!AB63=-9999,'Summary, hourly ad costs'!AB63=0), ".", 'Predicted PPIs'!L62*('Summary, hourly ad costs'!L63/'Summary, hourly ad costs'!AB63)/('Summary, hourly ad costs'!L62/'Summary, hourly ad costs'!AB62)), 'Summary, PPI''s'!AB63))</f>
        <v>.</v>
      </c>
      <c r="M63" s="10" t="str">
        <f>IF(M62=".", ".", IF('Summary, PPI''s'!AC63=".",IF(OR('Summary, hourly ad costs'!AC63=-9999,'Summary, hourly ad costs'!AC63=0), ".", 'Predicted PPIs'!M62*('Summary, hourly ad costs'!M63/'Summary, hourly ad costs'!AC63)/('Summary, hourly ad costs'!M62/'Summary, hourly ad costs'!AC62)), 'Summary, PPI''s'!AC63))</f>
        <v>.</v>
      </c>
      <c r="N63" s="10" t="str">
        <f>IF(N62=".", ".", IF('Summary, PPI''s'!AD63=".",IF(OR('Summary, hourly ad costs'!AD63=-9999,'Summary, hourly ad costs'!AD63=0), ".", 'Predicted PPIs'!N62*('Summary, hourly ad costs'!N63/'Summary, hourly ad costs'!AD63)/('Summary, hourly ad costs'!N62/'Summary, hourly ad costs'!AD62)), 'Summary, PPI''s'!AD63))</f>
        <v>.</v>
      </c>
      <c r="O63" s="10" t="str">
        <f>IF(O62=".", ".", IF('Summary, PPI''s'!AE63=".",IF(OR('Summary, hourly ad costs'!AE63=-9999,'Summary, hourly ad costs'!AE63=0), ".", 'Predicted PPIs'!O62*('Summary, hourly ad costs'!O63/'Summary, hourly ad costs'!AE63)/('Summary, hourly ad costs'!O62/'Summary, hourly ad costs'!AE62)), 'Summary, PPI''s'!AE63))</f>
        <v>.</v>
      </c>
      <c r="P63" s="10" t="str">
        <f>IF(P62=".", ".", IF('Summary, PPI''s'!AF63=".",IF(OR('Summary, hourly ad costs'!AF63=-9999,'Summary, hourly ad costs'!AF63=0), ".", 'Predicted PPIs'!P62*('Summary, hourly ad costs'!P63/'Summary, hourly ad costs'!AF63)/('Summary, hourly ad costs'!P62/'Summary, hourly ad costs'!AF62)), 'Summary, PPI''s'!AF63))</f>
        <v>.</v>
      </c>
      <c r="R63" s="1">
        <f>IF(E$26=".", 0, 'Summary, PPI''s'!E63)+IF(F$26=".", 0, 'Summary, PPI''s'!F63)+IF(G$26=".", 0, 'Summary, PPI''s'!G63)+IF(H$26=".", 0, 'Summary, PPI''s'!H63)+IF(I$26=".", 0, 'Summary, PPI''s'!I63)+IF(J$26=".", 0, 'Summary, PPI''s'!J63)+IF(K$26=".", 0, 'Summary, PPI''s'!K63)+IF(L$26=".", 0, 'Summary, PPI''s'!L63)+IF(M$26=".", 0, 'Summary, PPI''s'!M63)+IF(B$26=".", 0, 'Summary, PPI''s'!B63)+IF(C$26=".", 0, 'Summary, PPI''s'!C63)+IF(D$26=".", 0, 'Summary, PPI''s'!D63)+IF(N$26=".", 0, 'Summary, PPI''s'!N63)+IF(O$26=".", 0, 'Summary, PPI''s'!O63)+IF(P$26=".", 0, 'Summary, PPI''s'!P63)</f>
        <v>12590837.995288877</v>
      </c>
      <c r="S63" s="1">
        <f>IF(E$36=".", 0, 'Summary, PPI''s'!E63)+IF(F$36=".", 0, 'Summary, PPI''s'!F63)+IF(G$36=".", 0, 'Summary, PPI''s'!G63)+IF(H$36=".", 0, 'Summary, PPI''s'!H63)+IF(I$36=".", 0, 'Summary, PPI''s'!I63)+IF(J$36=".", 0, 'Summary, PPI''s'!J63)+IF(K$36=".", 0, 'Summary, PPI''s'!K63)+IF(L$36=".", 0, 'Summary, PPI''s'!L63)+IF(M$36=".", 0, 'Summary, PPI''s'!M63)+IF(B$36=".", 0, 'Summary, PPI''s'!B63)+IF(C$36=".", 0, 'Summary, PPI''s'!C63)+IF(D$36=".", 0, 'Summary, PPI''s'!D63)+IF(N$36=".", 0, 'Summary, PPI''s'!N63)+IF(O$36=".", 0, 'Summary, PPI''s'!O63)+IF(P$36=".", 0, 'Summary, PPI''s'!P63)</f>
        <v>12590837.995288877</v>
      </c>
      <c r="T63" s="1">
        <f>IF(E$46=".", 0, 'Summary, PPI''s'!E63)+IF(F$46=".", 0, 'Summary, PPI''s'!F63)+IF(G$46=".", 0, 'Summary, PPI''s'!G63)+IF(H$46=".", 0, 'Summary, PPI''s'!H63)+IF(I$46=".", 0, 'Summary, PPI''s'!I63)+IF(J$46=".", 0, 'Summary, PPI''s'!J63)+IF(K$46=".", 0, 'Summary, PPI''s'!K63)+IF(L$46=".", 0, 'Summary, PPI''s'!L63)+IF(M$46=".", 0, 'Summary, PPI''s'!M63)+IF(B$46=".", 0, 'Summary, PPI''s'!B63)+IF(C$46=".", 0, 'Summary, PPI''s'!C63)+IF(D$46=".", 0, 'Summary, PPI''s'!D63)+IF(N$46=".", 0, 'Summary, PPI''s'!N63)+IF(O$46=".", 0, 'Summary, PPI''s'!O63)+IF(P$46=".", 0, 'Summary, PPI''s'!P63)</f>
        <v>9053942.3730546348</v>
      </c>
      <c r="U63" s="1">
        <f>IF(E$60=".", 0, 'Summary, PPI''s'!E63)+IF(F$60=".", 0, 'Summary, PPI''s'!F63)+IF(G$60=".", 0, 'Summary, PPI''s'!G63)+IF(H$60=".", 0, 'Summary, PPI''s'!H63)+IF(I$60=".", 0, 'Summary, PPI''s'!I63)+IF(J$60=".", 0, 'Summary, PPI''s'!J63)+IF(K$60=".", 0, 'Summary, PPI''s'!K63)+IF(L$60=".", 0, 'Summary, PPI''s'!L63)+IF(M$60=".", 0, 'Summary, PPI''s'!M63)+IF(B$60=".", 0, 'Summary, PPI''s'!B63)+IF(C$60=".", 0, 'Summary, PPI''s'!C63)+IF(D$60=".", 0, 'Summary, PPI''s'!D63)+IF(N$60=".", 0, 'Summary, PPI''s'!N63)+IF(O$60=".", 0, 'Summary, PPI''s'!O63)+IF(P$60=".", 0, 'Summary, PPI''s'!P63)</f>
        <v>8224396.668732469</v>
      </c>
      <c r="V63" s="1">
        <f>IF(E$73=".", 0, 'Summary, PPI''s'!E63)+IF(F$73=".", 0, 'Summary, PPI''s'!F63)+IF(G$73=".", 0, 'Summary, PPI''s'!G63)+IF(H$73=".", 0, 'Summary, PPI''s'!H63)+IF(I$73=".", 0, 'Summary, PPI''s'!I63)+IF(J$73=".", 0, 'Summary, PPI''s'!J63)+IF(K$73=".", 0, 'Summary, PPI''s'!K63)+IF(L$73=".", 0, 'Summary, PPI''s'!L63)+IF(M$73=".", 0, 'Summary, PPI''s'!M63)+IF(B$73=".", 0, 'Summary, PPI''s'!B63)+IF(C$73=".", 0, 'Summary, PPI''s'!C63)+IF(D$73=".", 0, 'Summary, PPI''s'!D63)+IF(N$73=".", 0, 'Summary, PPI''s'!N63)+IF(O$73=".", 0, 'Summary, PPI''s'!O63)+IF(P$73=".", 0, 'Summary, PPI''s'!P63)</f>
        <v>7110304.3258130755</v>
      </c>
      <c r="W63" s="1">
        <f>IF(E$94=".",0,'Summary, PPI''s'!E63)+IF(F$94=".",0,'Summary, PPI''s'!F63)+IF(G$94=".",0,'Summary, PPI''s'!G63)+IF(H$94=".",0,'Summary, PPI''s'!H63)+IF(I$94=".",0,'Summary, PPI''s'!I63)+IF(J$94=".",0,'Summary, PPI''s'!J63)+IF(K$94=".",0,'Summary, PPI''s'!K63)+IF(L$94=".",0,'Summary, PPI''s'!L63)+IF(M$94=".",0,'Summary, PPI''s'!M63)+IF(B$94=".",0,'Summary, PPI''s'!B63)+IF(C$94=".",0,'Summary, PPI''s'!C63)+IF(D$94=".",0,'Summary, PPI''s'!D63)+IF(N$94=".",0,'Summary, PPI''s'!N63)+IF(O$94=".",0,'Summary, PPI''s'!O63)+IF(P$94=".",0,'Summary, PPI''s'!P63)</f>
        <v>5891997.6874186061</v>
      </c>
      <c r="X63" s="1">
        <f>IF(E$123=".", 0, 'Summary, PPI''s'!E63)+IF(F$123=".", 0, 'Summary, PPI''s'!F63)+IF(G$123=".", 0, 'Summary, PPI''s'!G63)+IF(H$123=".", 0, 'Summary, PPI''s'!H63)+IF(I$123=".", 0, 'Summary, PPI''s'!I63)+IF(J$123=".", 0, 'Summary, PPI''s'!J63)+IF(K$123=".", 0, 'Summary, PPI''s'!K63)+IF(L$123=".", 0, 'Summary, PPI''s'!L63)+IF(M$123=".", 0, 'Summary, PPI''s'!M63)+IF(B$123=".", 0, 'Summary, PPI''s'!B63)+IF(C$123=".", 0, 'Summary, PPI''s'!C63)+IF(D$123=".", 0, 'Summary, PPI''s'!D63)+IF(N$123=".", 0, 'Summary, PPI''s'!N63)+IF(O$123=".", 0, 'Summary, PPI''s'!O63)+IF(P$123=".", 0, 'Summary, PPI''s'!P63)</f>
        <v>5333085.7586377552</v>
      </c>
      <c r="Z63" s="4" t="e">
        <f>Z62*IF(E$26=".", 1, (E63/E62)^(('Summary, PPI''s'!$E63+'Summary, PPI''s'!$E62)/('Predicted PPIs'!R63+'Predicted PPIs'!R62)))*IF(F$26=".", 1, (F63/F62)^(('Summary, PPI''s'!$F63+'Summary, PPI''s'!$F62)/('Predicted PPIs'!R63+'Predicted PPIs'!R62)))*IF(G$26=".", 1, (G63/G62)^(('Summary, PPI''s'!$G63+'Summary, PPI''s'!$G62)/('Predicted PPIs'!R63+'Predicted PPIs'!R62)))*IF(H$26=".", 1, (H63/H62)^(('Summary, PPI''s'!$H63+'Summary, PPI''s'!$H62)/('Predicted PPIs'!R63+'Predicted PPIs'!R62)))*IF(I$26=".", 1, (I63/I62)^(('Summary, PPI''s'!$I63+'Summary, PPI''s'!$I62)/('Predicted PPIs'!R63+'Predicted PPIs'!R62)))*IF(J$26=".", 1, (J63/J62)^(('Summary, PPI''s'!$J63+'Summary, PPI''s'!$J62)/('Predicted PPIs'!R63+'Predicted PPIs'!R62)))*IF(K$26=".", 1, (K63/K62)^(('Summary, PPI''s'!$K63+'Summary, PPI''s'!$K62)/('Predicted PPIs'!R63+'Predicted PPIs'!R62)))*IF(L$26=".", 1, (L63/L62)^(('Summary, PPI''s'!$L63+'Summary, PPI''s'!$L62)/('Predicted PPIs'!R63+'Predicted PPIs'!R62)))*IF(M$26=".", 1, (M63/M62)^(('Summary, PPI''s'!$M63+'Summary, PPI''s'!$M62)/('Predicted PPIs'!R63+'Predicted PPIs'!R62)))*IF(B$26=".", 1, (B63/B62)^(('Summary, PPI''s'!$B63+'Summary, PPI''s'!$B62)/('Predicted PPIs'!R63+'Predicted PPIs'!R62)))*IF(C$26=".", 1, (C63/C62)^(('Summary, PPI''s'!$C63+'Summary, PPI''s'!$C62)/('Predicted PPIs'!R63+'Predicted PPIs'!R62)))*IF(D$26=".", 1, (D63/D62)^(('Summary, PPI''s'!$D63+'Summary, PPI''s'!$D62)/('Predicted PPIs'!R63+'Predicted PPIs'!R62)))*IF(N$26=".", 1, (N63/N62)^(('Summary, PPI''s'!$N63+'Summary, PPI''s'!$N62)/('Predicted PPIs'!R63+'Predicted PPIs'!R62)))*IF(O$26=".", 1, (O63/O62)^(('Summary, PPI''s'!$O63+'Summary, PPI''s'!$O62)/('Predicted PPIs'!R63+'Predicted PPIs'!R62)))*IF(P$26=".", 1, (P63/P62)^(('Summary, PPI''s'!$P63+'Summary, PPI''s'!$P62)/('Predicted PPIs'!R63+'Predicted PPIs'!R62)))</f>
        <v>#VALUE!</v>
      </c>
      <c r="AA63" s="4" t="e">
        <f>AA62*IF(E$36=".", 1, (E63/E62)^(('Summary, PPI''s'!$E63+'Summary, PPI''s'!$E62)/('Predicted PPIs'!S63+'Predicted PPIs'!S62)))*IF(F$36=".", 1, (F63/F62)^(('Summary, PPI''s'!$F63+'Summary, PPI''s'!$F62)/('Predicted PPIs'!S63+'Predicted PPIs'!S62)))*IF(G$36=".", 1, (G63/G62)^(('Summary, PPI''s'!$G63+'Summary, PPI''s'!$G62)/('Predicted PPIs'!S63+'Predicted PPIs'!S62)))*IF(H$36=".", 1, (H63/H62)^(('Summary, PPI''s'!$H63+'Summary, PPI''s'!$H62)/('Predicted PPIs'!S63+'Predicted PPIs'!S62)))*IF(I$36=".", 1, (I63/I62)^(('Summary, PPI''s'!$I63+'Summary, PPI''s'!$I62)/('Predicted PPIs'!S63+'Predicted PPIs'!S62)))*IF(J$36=".", 1, (J63/J62)^(('Summary, PPI''s'!$J63+'Summary, PPI''s'!$J62)/('Predicted PPIs'!S63+'Predicted PPIs'!S62)))*IF(K$36=".", 1, (K63/K62)^(('Summary, PPI''s'!$K63+'Summary, PPI''s'!$K62)/('Predicted PPIs'!S63+'Predicted PPIs'!S62)))*IF(L$36=".", 1, (L63/L62)^(('Summary, PPI''s'!$L63+'Summary, PPI''s'!$L62)/('Predicted PPIs'!S63+'Predicted PPIs'!S62)))*IF(M$36=".", 1, (M63/M62)^(('Summary, PPI''s'!$M63+'Summary, PPI''s'!$M62)/('Predicted PPIs'!S63+'Predicted PPIs'!S62)))*IF(B$36=".", 1, (B63/B62)^(('Summary, PPI''s'!$B63+'Summary, PPI''s'!$B62)/('Predicted PPIs'!S63+'Predicted PPIs'!S62)))*IF(C$36=".", 1, (C63/C62)^(('Summary, PPI''s'!$C63+'Summary, PPI''s'!$C62)/('Predicted PPIs'!S63+'Predicted PPIs'!S62)))*IF(D$36=".", 1, (D63/D62)^(('Summary, PPI''s'!$D63+'Summary, PPI''s'!$D62)/('Predicted PPIs'!S63+'Predicted PPIs'!S62)))*IF(N$36=".", 1, (N63/N62)^(('Summary, PPI''s'!$N63+'Summary, PPI''s'!$N62)/('Predicted PPIs'!S63+'Predicted PPIs'!S62)))*IF(O$36=".", 1, (O63/O62)^(('Summary, PPI''s'!$O63+'Summary, PPI''s'!$O62)/('Predicted PPIs'!S63+'Predicted PPIs'!S62)))*IF(P$36=".", 1, (P63/P62)^(('Summary, PPI''s'!$P63+'Summary, PPI''s'!$P62)/('Predicted PPIs'!S63+'Predicted PPIs'!S62)))</f>
        <v>#VALUE!</v>
      </c>
      <c r="AB63" s="4" t="e">
        <f>AB62*IF(E$46=".", 1, (E63/E62)^(('Summary, PPI''s'!$E63+'Summary, PPI''s'!$E62)/('Predicted PPIs'!T63+'Predicted PPIs'!T62)))*IF(F$46=".", 1, (F63/F62)^(('Summary, PPI''s'!$F63+'Summary, PPI''s'!$F62)/('Predicted PPIs'!T63+'Predicted PPIs'!T62)))*IF(G$46=".", 1, (G63/G62)^(('Summary, PPI''s'!$G63+'Summary, PPI''s'!$G62)/('Predicted PPIs'!T63+'Predicted PPIs'!T62)))*IF(H$46=".", 1, (H63/H62)^(('Summary, PPI''s'!$H63+'Summary, PPI''s'!$H62)/('Predicted PPIs'!T63+'Predicted PPIs'!T62)))*IF(I$46=".", 1, (I63/I62)^(('Summary, PPI''s'!$I63+'Summary, PPI''s'!$I62)/('Predicted PPIs'!T63+'Predicted PPIs'!T62)))*IF(J$46=".", 1, (J63/J62)^(('Summary, PPI''s'!$J63+'Summary, PPI''s'!$J62)/('Predicted PPIs'!T63+'Predicted PPIs'!T62)))*IF(K$46=".", 1, (K63/K62)^(('Summary, PPI''s'!$K63+'Summary, PPI''s'!$K62)/('Predicted PPIs'!T63+'Predicted PPIs'!T62)))*IF(L$46=".", 1, (L63/L62)^(('Summary, PPI''s'!$L63+'Summary, PPI''s'!$L62)/('Predicted PPIs'!T63+'Predicted PPIs'!T62)))*IF(M$46=".", 1, (M63/M62)^(('Summary, PPI''s'!$M63+'Summary, PPI''s'!$M62)/('Predicted PPIs'!T63+'Predicted PPIs'!T62)))*IF(B$46=".", 1, (B63/B62)^(('Summary, PPI''s'!$B63+'Summary, PPI''s'!$B62)/('Predicted PPIs'!T63+'Predicted PPIs'!T62)))*IF(C$46=".", 1, (C63/C62)^(('Summary, PPI''s'!$C63+'Summary, PPI''s'!$C62)/('Predicted PPIs'!T63+'Predicted PPIs'!T62)))*IF(D$46=".", 1, (D63/D62)^(('Summary, PPI''s'!$D63+'Summary, PPI''s'!$D62)/('Predicted PPIs'!T63+'Predicted PPIs'!T62)))*IF(N$46=".", 1, (N63/N62)^(('Summary, PPI''s'!$N63+'Summary, PPI''s'!$N62)/('Predicted PPIs'!T63+'Predicted PPIs'!T62)))*IF(O$46=".", 1, (O63/O62)^(('Summary, PPI''s'!$O63+'Summary, PPI''s'!$O62)/('Predicted PPIs'!T63+'Predicted PPIs'!T62)))*IF(P$46=".", 1, (P63/P62)^(('Summary, PPI''s'!$P63+'Summary, PPI''s'!$P62)/('Predicted PPIs'!T63+'Predicted PPIs'!T62)))</f>
        <v>#VALUE!</v>
      </c>
      <c r="AC63" s="4" t="e">
        <f>AC62*IF(E$60=".",1,(E63/E62)^(('Summary, PPI''s'!$E63+'Summary, PPI''s'!$E62)/('Predicted PPIs'!U63+'Predicted PPIs'!U62)))*IF(F$60=".",1,(F63/F62)^(('Summary, PPI''s'!$F63+'Summary, PPI''s'!$F62)/('Predicted PPIs'!U63+'Predicted PPIs'!U62)))*IF(G$60=".",1,(G63/G62)^(('Summary, PPI''s'!$G63+'Summary, PPI''s'!$G62)/('Predicted PPIs'!U63+'Predicted PPIs'!U62)))*IF(H$60=".",1,(H63/H62)^(('Summary, PPI''s'!$H63+'Summary, PPI''s'!$H62)/('Predicted PPIs'!U63+'Predicted PPIs'!U62)))*IF(I$60=".",1,(I63/I62)^(('Summary, PPI''s'!$I63+'Summary, PPI''s'!$I62)/('Predicted PPIs'!U63+'Predicted PPIs'!U62)))*IF(J$60=".",1,(J63/J62)^(('Summary, PPI''s'!$J63+'Summary, PPI''s'!$J62)/('Predicted PPIs'!U63+'Predicted PPIs'!U62)))*IF(K$60=".",1,(K63/K62)^(('Summary, PPI''s'!$K63+'Summary, PPI''s'!$K62)/('Predicted PPIs'!U63+'Predicted PPIs'!U62)))*IF(L$60=".",1,(L63/L62)^(('Summary, PPI''s'!$L63+'Summary, PPI''s'!$L62)/('Predicted PPIs'!U63+'Predicted PPIs'!U62)))*IF(M$60=".",1,(M63/M62)^(('Summary, PPI''s'!$M63+'Summary, PPI''s'!$M62)/('Predicted PPIs'!U63+'Predicted PPIs'!U62)))*IF(B$60=".",1,(B63/B62)^(('Summary, PPI''s'!$B63+'Summary, PPI''s'!$B62)/('Predicted PPIs'!U63+'Predicted PPIs'!U62)))*IF(C$60=".",1,(C63/C62)^(('Summary, PPI''s'!$C63+'Summary, PPI''s'!$C62)/('Predicted PPIs'!U63+'Predicted PPIs'!U62)))*IF(D$60=".",1,(D63/D62)^(('Summary, PPI''s'!$D63+'Summary, PPI''s'!$D62)/('Predicted PPIs'!U63+'Predicted PPIs'!U62)))*IF(N$60=".",1,(N63/N62)^(('Summary, PPI''s'!$N63+'Summary, PPI''s'!$N62)/('Predicted PPIs'!U63+'Predicted PPIs'!U62)))*IF(O$60=".",1,(O63/O62)^(('Summary, PPI''s'!$O63+'Summary, PPI''s'!$O62)/('Predicted PPIs'!U63+'Predicted PPIs'!U62)))*IF(P$60=".",1,(P63/P62)^(('Summary, PPI''s'!$P63+'Summary, PPI''s'!$P62)/('Predicted PPIs'!U63+'Predicted PPIs'!U62)))</f>
        <v>#VALUE!</v>
      </c>
      <c r="AD63" s="4">
        <f>AD62*IF(E$73=".", 1, (E63/E62)^(('Summary, PPI''s'!$E63+'Summary, PPI''s'!$E62)/('Predicted PPIs'!V63+'Predicted PPIs'!V62)))*IF(F$73=".", 1, (F63/F62)^(('Summary, PPI''s'!$F63+'Summary, PPI''s'!$F62)/('Predicted PPIs'!V63+'Predicted PPIs'!V62)))*IF(G$73=".", 1, (G63/G62)^(('Summary, PPI''s'!$G63+'Summary, PPI''s'!$G62)/('Predicted PPIs'!V63+'Predicted PPIs'!V62)))*IF(H$73=".", 1, (H63/H62)^(('Summary, PPI''s'!$H63+'Summary, PPI''s'!$H62)/('Predicted PPIs'!V63+'Predicted PPIs'!V62)))*IF(I$73=".", 1, (I63/I62)^(('Summary, PPI''s'!$I63+'Summary, PPI''s'!$I62)/('Predicted PPIs'!V63+'Predicted PPIs'!V62)))*IF(J$73=".", 1, (J63/J62)^(('Summary, PPI''s'!$J63+'Summary, PPI''s'!$J62)/('Predicted PPIs'!V63+'Predicted PPIs'!V62)))*IF(K$73=".", 1, (K63/K62)^(('Summary, PPI''s'!$K63+'Summary, PPI''s'!$K62)/('Predicted PPIs'!V63+'Predicted PPIs'!V62)))*IF(L$73=".", 1, (L63/L62)^(('Summary, PPI''s'!$L63+'Summary, PPI''s'!$L62)/('Predicted PPIs'!V63+'Predicted PPIs'!V62)))*IF(M$73=".", 1, (M63/M62)^(('Summary, PPI''s'!$M63+'Summary, PPI''s'!$M62)/('Predicted PPIs'!V63+'Predicted PPIs'!V62)))*IF(B$73=".", 1, (B63/B62)^(('Summary, PPI''s'!$B63+'Summary, PPI''s'!$B62)/('Predicted PPIs'!V63+'Predicted PPIs'!V62)))*IF(C$73=".", 1, (C63/C62)^(('Summary, PPI''s'!$C63+'Summary, PPI''s'!$C62)/('Predicted PPIs'!V63+'Predicted PPIs'!V62)))*IF(D$73=".", 1, (D63/D62)^(('Summary, PPI''s'!$D63+'Summary, PPI''s'!$D62)/('Predicted PPIs'!V63+'Predicted PPIs'!V62)))*IF(N$73=".", 1, (N63/N62)^(('Summary, PPI''s'!$N63+'Summary, PPI''s'!$N62)/('Predicted PPIs'!V63+'Predicted PPIs'!V62)))*IF(O$73=".", 1, (O63/O62)^(('Summary, PPI''s'!$O63+'Summary, PPI''s'!$O62)/('Predicted PPIs'!V63+'Predicted PPIs'!V62)))*IF(P$73=".", 1, (P63/P62)^(('Summary, PPI''s'!$P63+'Summary, PPI''s'!$P62)/('Predicted PPIs'!V63+'Predicted PPIs'!V62)))</f>
        <v>10.608747510254753</v>
      </c>
      <c r="AE63" s="4">
        <f>AE62*IF(E$94=".", 1, (E63/E62)^(('Summary, PPI''s'!$E63+'Summary, PPI''s'!$E62)/('Predicted PPIs'!W63+'Predicted PPIs'!W62)))*IF(F$94=".", 1, (F63/F62)^(('Summary, PPI''s'!$F63+'Summary, PPI''s'!$F62)/('Predicted PPIs'!W63+'Predicted PPIs'!W62)))*IF(G$94=".", 1, (G63/G62)^(('Summary, PPI''s'!$G63+'Summary, PPI''s'!$G62)/('Predicted PPIs'!W63+'Predicted PPIs'!W62)))*IF(H$94=".", 1, (H63/H62)^(('Summary, PPI''s'!$H63+'Summary, PPI''s'!$H62)/('Predicted PPIs'!W63+'Predicted PPIs'!W62)))*IF(I$94=".", 1, (I63/I62)^(('Summary, PPI''s'!$I63+'Summary, PPI''s'!$I62)/('Predicted PPIs'!W63+'Predicted PPIs'!W62)))*IF(J$94=".", 1, (J63/J62)^(('Summary, PPI''s'!$J63+'Summary, PPI''s'!$J62)/('Predicted PPIs'!W63+'Predicted PPIs'!W62)))*IF(K$94=".", 1, (K63/K62)^(('Summary, PPI''s'!$K63+'Summary, PPI''s'!$K62)/('Predicted PPIs'!W63+'Predicted PPIs'!W62)))*IF(L$94=".", 1, (L63/L62)^(('Summary, PPI''s'!$L63+'Summary, PPI''s'!$L62)/('Predicted PPIs'!W63+'Predicted PPIs'!W62)))*IF(M$94=".", 1, (M63/M62)^(('Summary, PPI''s'!$M63+'Summary, PPI''s'!$M62)/('Predicted PPIs'!W63+'Predicted PPIs'!W62)))*IF(B$94=".", 1, (B63/B62)^(('Summary, PPI''s'!$B63+'Summary, PPI''s'!$B62)/('Predicted PPIs'!W63+'Predicted PPIs'!W62)))*IF(C$94=".", 1, (C63/C62)^(('Summary, PPI''s'!$C63+'Summary, PPI''s'!$C62)/('Predicted PPIs'!W63+'Predicted PPIs'!W62)))*IF(D$94=".", 1, (D63/D62)^(('Summary, PPI''s'!$D63+'Summary, PPI''s'!$D62)/('Predicted PPIs'!W63+'Predicted PPIs'!W62)))*IF(N$94=".", 1, (N63/N62)^(('Summary, PPI''s'!$N63+'Summary, PPI''s'!$N62)/('Predicted PPIs'!W63+'Predicted PPIs'!W62)))*IF(O$94=".", 1, (O63/O62)^(('Summary, PPI''s'!$O63+'Summary, PPI''s'!$O62)/('Predicted PPIs'!W63+'Predicted PPIs'!W62)))*IF(P$94=".", 1, (P63/P62)^(('Summary, PPI''s'!$P63+'Summary, PPI''s'!$P62)/('Predicted PPIs'!W63+'Predicted PPIs'!W62)))</f>
        <v>10.035180250767651</v>
      </c>
      <c r="AF63" s="4">
        <f>AF62*IF(E$123=".", 1, (E63/E62)^(('Summary, PPI''s'!$E63+'Summary, PPI''s'!$E62)/('Predicted PPIs'!X63+'Predicted PPIs'!X62)))*IF(F$123=".", 1, (F63/F62)^(('Summary, PPI''s'!$F63+'Summary, PPI''s'!$F62)/('Predicted PPIs'!X63+'Predicted PPIs'!X62)))*IF(G$123=".", 1, (G63/G62)^(('Summary, PPI''s'!$G63+'Summary, PPI''s'!$G62)/('Predicted PPIs'!X63+'Predicted PPIs'!X62)))*IF(H$123=".", 1, (H63/H62)^(('Summary, PPI''s'!$H63+'Summary, PPI''s'!$H62)/('Predicted PPIs'!X63+'Predicted PPIs'!X62)))*IF(I$123=".", 1, (I63/I62)^(('Summary, PPI''s'!$I63+'Summary, PPI''s'!$I62)/('Predicted PPIs'!X63+'Predicted PPIs'!X62)))*IF(J$123=".", 1, (J63/J62)^(('Summary, PPI''s'!$J63+'Summary, PPI''s'!$J62)/('Predicted PPIs'!X63+'Predicted PPIs'!X62)))*IF(K$123=".", 1, (K63/K62)^(('Summary, PPI''s'!$K63+'Summary, PPI''s'!$K62)/('Predicted PPIs'!X63+'Predicted PPIs'!X62)))*IF(L$123=".", 1, (L63/L62)^(('Summary, PPI''s'!$L63+'Summary, PPI''s'!$L62)/('Predicted PPIs'!X63+'Predicted PPIs'!X62)))*IF(M$123=".", 1, (M63/M62)^(('Summary, PPI''s'!$M63+'Summary, PPI''s'!$M62)/('Predicted PPIs'!X63+'Predicted PPIs'!X62)))*IF(B$123=".", 1, (B63/B62)^(('Summary, PPI''s'!$B63+'Summary, PPI''s'!$B62)/('Predicted PPIs'!X63+'Predicted PPIs'!X62)))*IF(C$123=".", 1, (C63/C62)^(('Summary, PPI''s'!$C63+'Summary, PPI''s'!$C62)/('Predicted PPIs'!X63+'Predicted PPIs'!X62)))*IF(D$123=".", 1, (D63/D62)^(('Summary, PPI''s'!$D63+'Summary, PPI''s'!$D62)/('Predicted PPIs'!X63+'Predicted PPIs'!X62)))*IF(N$123=".", 1, (N63/N62)^(('Summary, PPI''s'!$N63+'Summary, PPI''s'!$N62)/('Predicted PPIs'!X63+'Predicted PPIs'!X62)))*IF(O$123=".", 1, (O63/O62)^(('Summary, PPI''s'!$O63+'Summary, PPI''s'!$O62)/('Predicted PPIs'!X63+'Predicted PPIs'!X62)))*IF(P$123=".", 1, (P63/P62)^(('Summary, PPI''s'!$P63+'Summary, PPI''s'!$P62)/('Predicted PPIs'!X63+'Predicted PPIs'!X62)))</f>
        <v>9.7803543916238294</v>
      </c>
      <c r="AH63" s="13">
        <f t="shared" si="91"/>
        <v>12.296622682046818</v>
      </c>
      <c r="AJ63" s="4">
        <v>331.2</v>
      </c>
      <c r="AK63" s="4">
        <v>-1.1339999999999999</v>
      </c>
      <c r="AL63" s="4">
        <v>-31.273</v>
      </c>
      <c r="AM63" s="4">
        <v>-2.0979999999999999</v>
      </c>
      <c r="AN63" s="4">
        <v>440.5</v>
      </c>
      <c r="AO63" s="4">
        <v>82.8</v>
      </c>
      <c r="AP63" s="4">
        <f>('[4]1960'!$I$14+'[4]1960'!$I$51+'[4]1960'!$I$53-'[4]1960'!$I$55)*0.001</f>
        <v>-8.3800000000000008</v>
      </c>
      <c r="AQ63" s="4">
        <f>('[4]1960'!$AK$42+'[4]1960'!$AK$51+'[4]1960'!$AK$53-'[4]1960'!$AK$55)*0.001</f>
        <v>-17.440000000000001</v>
      </c>
      <c r="AR63" s="4">
        <f>AR$38*127/23762</f>
        <v>-5.9796145105630839E-2</v>
      </c>
      <c r="AS63" s="4">
        <v>-2.149</v>
      </c>
      <c r="AT63" s="4">
        <v>16.440999999999999</v>
      </c>
      <c r="AU63" s="4">
        <v>22.106999999999999</v>
      </c>
      <c r="AV63" s="4">
        <v>14.364000000000001</v>
      </c>
      <c r="AW63" s="4">
        <v>13.097</v>
      </c>
      <c r="AX63" s="4">
        <v>16.402000000000001</v>
      </c>
      <c r="AY63" s="4">
        <v>23.553999999999998</v>
      </c>
      <c r="AZ63" s="4">
        <v>8.8140000000000001</v>
      </c>
      <c r="BA63" s="4">
        <v>19.436</v>
      </c>
      <c r="BB63" s="4">
        <f>BB$38*186.916/184.05</f>
        <v>104.58358967671829</v>
      </c>
      <c r="BC63" s="4">
        <v>17.533999999999999</v>
      </c>
      <c r="BG63" s="4">
        <f t="shared" si="50"/>
        <v>19.690817632905301</v>
      </c>
      <c r="BI63" s="4">
        <f>BI$13*'[2]Ordinary Experience'!$D$363/'[2]Ordinary Experience'!$D$413</f>
        <v>179477634.45388842</v>
      </c>
      <c r="BJ63" s="4">
        <f>'[2]Ordinary Experience'!$E$363</f>
        <v>31.1</v>
      </c>
      <c r="BL63" s="4">
        <f t="shared" si="90"/>
        <v>40.176298268251259</v>
      </c>
      <c r="BM63" s="4">
        <f t="shared" si="34"/>
        <v>2.0774724842795855E-3</v>
      </c>
      <c r="BO63" s="4" t="str">
        <f>IF(OR('Summary, hourly ad costs'!R63=-9999,'Summary, PPI''s'!R63="."),".",(('Summary, hourly ad costs'!B63/'Summary, hourly ad costs'!R63)*100/('Summary, hourly ad costs'!B$11/'Summary, hourly ad costs'!R$11))/('Summary, PPI''s'!R63))</f>
        <v>.</v>
      </c>
      <c r="BP63" s="4" t="str">
        <f>IF(OR('Summary, hourly ad costs'!S63=-9999,'Summary, PPI''s'!S63="."),".",(('Summary, hourly ad costs'!C63/'Summary, hourly ad costs'!S63)*100/('Summary, hourly ad costs'!C$11/'Summary, hourly ad costs'!S$11))/('Summary, PPI''s'!S63))</f>
        <v>.</v>
      </c>
      <c r="BQ63" s="4" t="str">
        <f>IF(OR('Summary, hourly ad costs'!T63=-9999,'Summary, PPI''s'!T63="."),".",(('Summary, hourly ad costs'!D63/'Summary, hourly ad costs'!T63)*100/('Summary, hourly ad costs'!D$11/'Summary, hourly ad costs'!T$11))/('Summary, PPI''s'!T63))</f>
        <v>.</v>
      </c>
      <c r="BR63" s="4" t="str">
        <f>IF(OR('Summary, hourly ad costs'!U63=-9999,'Summary, PPI''s'!U63="."),".",(('Summary, hourly ad costs'!E63/'Summary, hourly ad costs'!U63)*100/('Summary, hourly ad costs'!E$11/'Summary, hourly ad costs'!U$11))/('Summary, PPI''s'!U63))</f>
        <v>.</v>
      </c>
      <c r="BS63" s="4" t="str">
        <f>IF(OR('Summary, hourly ad costs'!V63=-9999,'Summary, PPI''s'!V63="."),".",(('Summary, hourly ad costs'!F63/'Summary, hourly ad costs'!V63)*100/('Summary, hourly ad costs'!F$11/'Summary, hourly ad costs'!V$11))/('Summary, PPI''s'!V63))</f>
        <v>.</v>
      </c>
      <c r="BT63" s="4" t="str">
        <f>IF(OR('Summary, hourly ad costs'!W63=-9999,'Summary, PPI''s'!W63="."),".",(('Summary, hourly ad costs'!G63/'Summary, hourly ad costs'!W63)*100/('Summary, hourly ad costs'!G$11/'Summary, hourly ad costs'!W$11))/('Summary, PPI''s'!W63))</f>
        <v>.</v>
      </c>
      <c r="BU63" s="4">
        <f>IF(OR('Summary, hourly ad costs'!X63=-9999,'Summary, PPI''s'!X63="."),".",(('Summary, hourly ad costs'!H63/'Summary, hourly ad costs'!X63)*100/('Summary, hourly ad costs'!H$11/'Summary, hourly ad costs'!X$11))/('Summary, PPI''s'!X63))</f>
        <v>1.1131285616095088</v>
      </c>
      <c r="BV63" s="4" t="str">
        <f>IF(OR('Summary, hourly ad costs'!Y63=-9999,'Summary, PPI''s'!Y63="."),".",(('Summary, hourly ad costs'!I63/'Summary, hourly ad costs'!Y63)*100/('Summary, hourly ad costs'!I$11/'Summary, hourly ad costs'!Y$11))/('Summary, PPI''s'!Y63))</f>
        <v>.</v>
      </c>
      <c r="BW63" s="4" t="str">
        <f>IF(OR('Summary, hourly ad costs'!Z63=-9999,'Summary, PPI''s'!Z63="."),".",(('Summary, hourly ad costs'!J63/'Summary, hourly ad costs'!Z63)*100/('Summary, hourly ad costs'!J$11/'Summary, hourly ad costs'!Z$11))/('Summary, PPI''s'!Z63))</f>
        <v>.</v>
      </c>
      <c r="BX63" s="4" t="str">
        <f>IF(OR('Summary, hourly ad costs'!AA63=-9999,'Summary, PPI''s'!AA63="."),".",(('Summary, hourly ad costs'!K63/'Summary, hourly ad costs'!AA63)*100/('Summary, hourly ad costs'!K$11/'Summary, hourly ad costs'!AA$11))/('Summary, PPI''s'!AA63))</f>
        <v>.</v>
      </c>
      <c r="BY63" s="4" t="str">
        <f>IF(OR('Summary, hourly ad costs'!AB63=-9999,'Summary, PPI''s'!AB63="."),".",(('Summary, hourly ad costs'!L63/'Summary, hourly ad costs'!AB63)*100/('Summary, hourly ad costs'!L$11/'Summary, hourly ad costs'!AB$11))/('Summary, PPI''s'!AB63))</f>
        <v>.</v>
      </c>
      <c r="BZ63" s="4" t="str">
        <f>IF(OR('Summary, hourly ad costs'!AC63=-9999,'Summary, PPI''s'!AC63="."),".",(('Summary, hourly ad costs'!M63/'Summary, hourly ad costs'!AC63)*100/('Summary, hourly ad costs'!M$11/'Summary, hourly ad costs'!AC$11))/('Summary, PPI''s'!AC63))</f>
        <v>.</v>
      </c>
      <c r="CA63" s="4" t="str">
        <f>IF(OR('Summary, hourly ad costs'!AD63=-9999,'Summary, PPI''s'!AD63="."),".",(('Summary, hourly ad costs'!N63/'Summary, hourly ad costs'!AD63)*100/('Summary, hourly ad costs'!N$11/'Summary, hourly ad costs'!AD$11))/('Summary, PPI''s'!AD63))</f>
        <v>.</v>
      </c>
      <c r="CB63" s="4" t="str">
        <f>IF(OR('Summary, hourly ad costs'!AE63=-9999,'Summary, PPI''s'!AE63="."),".",(('Summary, hourly ad costs'!O63/'Summary, hourly ad costs'!AE63)*100/('Summary, hourly ad costs'!O$11/'Summary, hourly ad costs'!AE$11))/('Summary, PPI''s'!AE63))</f>
        <v>.</v>
      </c>
      <c r="CC63" s="4" t="str">
        <f>IF(OR('Summary, hourly ad costs'!AF63=-9999,'Summary, PPI''s'!AF63="."),".",(('Summary, hourly ad costs'!P63/'Summary, hourly ad costs'!AF63)*100/('Summary, hourly ad costs'!P$11/'Summary, hourly ad costs'!AF$11))/('Summary, PPI''s'!AF63))</f>
        <v>.</v>
      </c>
      <c r="CE63" s="4">
        <f t="shared" si="134"/>
        <v>-2.9943528084208679E-2</v>
      </c>
      <c r="CF63" s="4" t="str">
        <f t="shared" si="135"/>
        <v>.</v>
      </c>
      <c r="CG63" s="4" t="str">
        <f t="shared" si="136"/>
        <v>.</v>
      </c>
      <c r="CH63" s="4">
        <f t="shared" si="145"/>
        <v>-1.8535238148449946E-2</v>
      </c>
      <c r="CI63" s="4">
        <f t="shared" si="145"/>
        <v>-1.9346858082258223E-2</v>
      </c>
      <c r="CJ63" s="4" t="str">
        <f t="shared" si="137"/>
        <v>.</v>
      </c>
      <c r="CK63" s="4">
        <f t="shared" si="137"/>
        <v>-1.910219426887183E-3</v>
      </c>
      <c r="CL63" s="4">
        <f t="shared" si="130"/>
        <v>-1.3803740989440335E-2</v>
      </c>
      <c r="CM63" s="4">
        <f t="shared" si="130"/>
        <v>1.0815973471887388E-2</v>
      </c>
      <c r="CN63" s="4">
        <f t="shared" si="89"/>
        <v>-2.8319001243685814E-2</v>
      </c>
      <c r="CO63" s="4">
        <f t="shared" si="120"/>
        <v>7.7975407345386889E-3</v>
      </c>
      <c r="CP63" s="4">
        <f t="shared" si="120"/>
        <v>0.18538940353122776</v>
      </c>
      <c r="CQ63" s="4" t="str">
        <f t="shared" si="110"/>
        <v>.</v>
      </c>
      <c r="CR63" s="4" t="str">
        <f t="shared" si="111"/>
        <v>.</v>
      </c>
      <c r="CS63" s="4" t="str">
        <f t="shared" si="112"/>
        <v>.</v>
      </c>
      <c r="CU63" s="5">
        <f>IF(CU62=".", ".", IF('Summary, PPI''s'!R63=".",IF(OR('Summary, hourly ad costs'!R63=-9999,'Summary, hourly ad costs'!R63=0), ".", 'Predicted PPIs'!CU62*('Summary, hourly ad costs'!B63/'Summary, hourly ad costs'!R63)/('Summary, hourly ad costs'!B62/'Summary, hourly ad costs'!R62)/(1-CE62)), 'Summary, PPI''s'!R63))</f>
        <v>22.256795142567292</v>
      </c>
      <c r="CV63" s="5" t="str">
        <f>IF(CV62=".", ".", IF('Summary, PPI''s'!S63=".",IF(OR('Summary, hourly ad costs'!S63=-9999,'Summary, hourly ad costs'!S63=0), ".", 'Predicted PPIs'!CV62*('Summary, hourly ad costs'!C63/'Summary, hourly ad costs'!S63)/('Summary, hourly ad costs'!C62/'Summary, hourly ad costs'!S62)/(1-CF62)), 'Summary, PPI''s'!S63))</f>
        <v>.</v>
      </c>
      <c r="CW63" s="5" t="str">
        <f>IF(CW62=".", ".", IF('Summary, PPI''s'!T63=".",IF(OR('Summary, hourly ad costs'!T63=-9999,'Summary, hourly ad costs'!T63=0), ".", 'Predicted PPIs'!CW62*('Summary, hourly ad costs'!D63/'Summary, hourly ad costs'!T63)/('Summary, hourly ad costs'!D62/'Summary, hourly ad costs'!T62)/(1-CG62)), 'Summary, PPI''s'!T63))</f>
        <v>.</v>
      </c>
      <c r="CX63" s="5">
        <f>IF(CX62=".", ".", IF('Summary, PPI''s'!U63=".",IF(OR('Summary, hourly ad costs'!U63=-9999,'Summary, hourly ad costs'!U63=0), ".", 'Predicted PPIs'!CX62*('Summary, hourly ad costs'!E63/'Summary, hourly ad costs'!U63)/('Summary, hourly ad costs'!E62/'Summary, hourly ad costs'!U62)/(1-CH62)), 'Summary, PPI''s'!U63))</f>
        <v>7.4140648218522962</v>
      </c>
      <c r="CY63" s="5">
        <f>IF(CY62=".", ".", IF('Summary, PPI''s'!V63=".",IF(OR('Summary, hourly ad costs'!V63=-9999,'Summary, hourly ad costs'!V63=0), ".", 'Predicted PPIs'!CY62*('Summary, hourly ad costs'!F63/'Summary, hourly ad costs'!V63)/('Summary, hourly ad costs'!F62/'Summary, hourly ad costs'!V62)/(1-CI62)), 'Summary, PPI''s'!V63))</f>
        <v>13.266184532336847</v>
      </c>
      <c r="CZ63" s="5" t="str">
        <f>IF(CZ62=".", ".", IF('Summary, PPI''s'!W63=".",IF(OR('Summary, hourly ad costs'!W63=-9999,'Summary, hourly ad costs'!W63=0), ".", 'Predicted PPIs'!CZ62*('Summary, hourly ad costs'!G63/'Summary, hourly ad costs'!W63)/('Summary, hourly ad costs'!G62/'Summary, hourly ad costs'!W62)/(1-CJ62)), 'Summary, PPI''s'!W63))</f>
        <v>.</v>
      </c>
      <c r="DA63" s="5">
        <f>IF(DA62=".", ".", IF('Summary, PPI''s'!X63=".",IF(OR('Summary, hourly ad costs'!X63=-9999,'Summary, hourly ad costs'!X63=0), ".", 'Predicted PPIs'!DA62*('Summary, hourly ad costs'!H63/'Summary, hourly ad costs'!X63)/('Summary, hourly ad costs'!H62/'Summary, hourly ad costs'!X62)/(1-CK62)), 'Summary, PPI''s'!X63))</f>
        <v>8.7530000000000001</v>
      </c>
      <c r="DB63" s="5">
        <f>IF(DB62=".", ".", IF('Summary, PPI''s'!Y63=".",IF(OR('Summary, hourly ad costs'!Y63=-9999,'Summary, hourly ad costs'!Y63=0), ".", 'Predicted PPIs'!DB62*('Summary, hourly ad costs'!I63/'Summary, hourly ad costs'!Y63)/('Summary, hourly ad costs'!I62/'Summary, hourly ad costs'!Y62)/(1-CL62)), 'Summary, PPI''s'!Y63))</f>
        <v>9.198630741820196</v>
      </c>
      <c r="DC63" s="5">
        <f>IF(DC62=".", ".", IF('Summary, PPI''s'!Z63=".",IF(OR('Summary, hourly ad costs'!Z63=-9999,'Summary, hourly ad costs'!Z63=0), ".", 'Predicted PPIs'!DC62*('Summary, hourly ad costs'!J63/'Summary, hourly ad costs'!Z63)/('Summary, hourly ad costs'!J62/'Summary, hourly ad costs'!Z62)/(1-CM62)), 'Summary, PPI''s'!Z63))</f>
        <v>14.099609018140903</v>
      </c>
      <c r="DD63" s="5" t="str">
        <f>IF(DD62=".", ".", IF('Summary, PPI''s'!AA63=".",IF(OR('Summary, hourly ad costs'!AA63=-9999,'Summary, hourly ad costs'!AA63=0), ".", 'Predicted PPIs'!DD62*('Summary, hourly ad costs'!K63/'Summary, hourly ad costs'!AA63)/('Summary, hourly ad costs'!K62/'Summary, hourly ad costs'!AA62)/(1-CN62)), 'Summary, PPI''s'!AA63))</f>
        <v>.</v>
      </c>
      <c r="DE63" s="5" t="str">
        <f>IF(DE62=".", ".", IF('Summary, PPI''s'!AB63=".",IF(OR('Summary, hourly ad costs'!AB63=-9999,'Summary, hourly ad costs'!AB63=0), ".", 'Predicted PPIs'!DE62*('Summary, hourly ad costs'!L63/'Summary, hourly ad costs'!AB63)/('Summary, hourly ad costs'!L62/'Summary, hourly ad costs'!AB62)/(1-CO62)), 'Summary, PPI''s'!AB63))</f>
        <v>.</v>
      </c>
      <c r="DF63" s="5" t="str">
        <f>IF(DF62=".", ".", IF('Summary, PPI''s'!AC63=".",IF(OR('Summary, hourly ad costs'!AC63=-9999,'Summary, hourly ad costs'!AC63=0), ".", 'Predicted PPIs'!DF62*('Summary, hourly ad costs'!M63/'Summary, hourly ad costs'!AC63)/('Summary, hourly ad costs'!M62/'Summary, hourly ad costs'!AC62)/(1-CP62)), 'Summary, PPI''s'!AC63))</f>
        <v>.</v>
      </c>
      <c r="DG63" s="5" t="str">
        <f>IF(DG62=".", ".", IF('Summary, PPI''s'!AD63=".",IF(OR('Summary, hourly ad costs'!AD63=-9999,'Summary, hourly ad costs'!AD63=0), ".", 'Predicted PPIs'!DG62*('Summary, hourly ad costs'!N63/'Summary, hourly ad costs'!AD63)/('Summary, hourly ad costs'!N62/'Summary, hourly ad costs'!AD62)/(1-CQ62)), 'Summary, PPI''s'!AD63))</f>
        <v>.</v>
      </c>
      <c r="DH63" s="5" t="str">
        <f>IF(DH62=".", ".", IF('Summary, PPI''s'!AE63=".",IF(OR('Summary, hourly ad costs'!AE63=-9999,'Summary, hourly ad costs'!AE63=0), ".", 'Predicted PPIs'!DH62*('Summary, hourly ad costs'!O63/'Summary, hourly ad costs'!AE63)/('Summary, hourly ad costs'!O62/'Summary, hourly ad costs'!AE62)/(1-CR62)), 'Summary, PPI''s'!AE63))</f>
        <v>.</v>
      </c>
      <c r="DI63" s="5" t="str">
        <f>IF(DI62=".", ".", IF('Summary, PPI''s'!AF63=".",IF(OR('Summary, hourly ad costs'!AF63=-9999,'Summary, hourly ad costs'!AF63=0), ".", 'Predicted PPIs'!DI62*('Summary, hourly ad costs'!P63/'Summary, hourly ad costs'!AF63)/('Summary, hourly ad costs'!P62/'Summary, hourly ad costs'!AF62)/(1-CS62)), 'Summary, PPI''s'!AF63))</f>
        <v>.</v>
      </c>
      <c r="DK63" s="4">
        <v>6.27</v>
      </c>
      <c r="DM63" s="5">
        <f t="shared" si="138"/>
        <v>-4.5079597990576814E-2</v>
      </c>
      <c r="DN63" s="4">
        <f t="shared" si="139"/>
        <v>-2.0047698220713298E-2</v>
      </c>
      <c r="DO63" s="4">
        <f t="shared" si="123"/>
        <v>-2.2830017642954115E-2</v>
      </c>
      <c r="DP63" s="5">
        <f t="shared" si="140"/>
        <v>6.0901220228663178E-2</v>
      </c>
      <c r="DQ63" s="5">
        <f t="shared" si="141"/>
        <v>7.1076881491391353E-2</v>
      </c>
      <c r="DR63" s="4">
        <f t="shared" si="146"/>
        <v>-1.1000847393502015E-2</v>
      </c>
      <c r="DS63" s="5">
        <f t="shared" si="142"/>
        <v>3.8897167132596833E-2</v>
      </c>
      <c r="DT63" s="5">
        <f t="shared" si="143"/>
        <v>4.5779651000214416E-2</v>
      </c>
      <c r="DU63" s="5">
        <f t="shared" si="144"/>
        <v>-9.270694265159718E-2</v>
      </c>
      <c r="DV63" s="4">
        <f t="shared" si="131"/>
        <v>7.7451041137139047E-4</v>
      </c>
      <c r="DW63" s="4">
        <f t="shared" si="133"/>
        <v>-2.4043837502167886E-2</v>
      </c>
      <c r="DX63" s="4">
        <f t="shared" si="133"/>
        <v>-0.13127268211153414</v>
      </c>
      <c r="DY63" s="4">
        <f t="shared" si="108"/>
        <v>-1.9909333935596973E-2</v>
      </c>
      <c r="DZ63" s="4">
        <f t="shared" si="132"/>
        <v>-1.3509582894863615E-2</v>
      </c>
      <c r="EA63" s="4">
        <f t="shared" si="109"/>
        <v>-1.1825745115774399E-2</v>
      </c>
      <c r="EC63" s="1">
        <f t="shared" si="93"/>
        <v>22.256795142567292</v>
      </c>
      <c r="ED63" s="1">
        <f t="shared" si="94"/>
        <v>18.660852178462619</v>
      </c>
      <c r="EE63" s="1">
        <f t="shared" si="95"/>
        <v>10.406801973722748</v>
      </c>
      <c r="EF63" s="1">
        <f t="shared" si="96"/>
        <v>7.4140648218522962</v>
      </c>
      <c r="EG63" s="1">
        <f t="shared" si="97"/>
        <v>13.266184532336847</v>
      </c>
      <c r="EH63" s="1">
        <f t="shared" si="98"/>
        <v>8.0860051553231127</v>
      </c>
      <c r="EI63" s="1">
        <f t="shared" si="99"/>
        <v>8.7530000000000001</v>
      </c>
      <c r="EJ63" s="1">
        <f t="shared" si="100"/>
        <v>9.198630741820196</v>
      </c>
      <c r="EK63" s="1">
        <f t="shared" si="101"/>
        <v>14.099609018140903</v>
      </c>
      <c r="EL63" s="1">
        <f t="shared" si="102"/>
        <v>5.1171374878751852</v>
      </c>
      <c r="EM63" s="1">
        <f t="shared" si="103"/>
        <v>2.4057202527297497</v>
      </c>
      <c r="EN63" s="1">
        <f t="shared" si="104"/>
        <v>5.1195007807231399</v>
      </c>
      <c r="EO63" s="1">
        <f t="shared" si="105"/>
        <v>6.3137630127090896</v>
      </c>
      <c r="EP63" s="1">
        <f t="shared" si="106"/>
        <v>8.5004439290119027</v>
      </c>
      <c r="EQ63" s="1">
        <f t="shared" si="107"/>
        <v>6.5288397146695685</v>
      </c>
      <c r="ES63" s="1">
        <f>IF(EF$26=".", 0, 'Summary, PPI''s'!E63)+IF(EG$26=".", 0, 'Summary, PPI''s'!F63)+IF(EH$26=".", 0, 'Summary, PPI''s'!G63)+IF(EI$26=".", 0, 'Summary, PPI''s'!H63)+IF(EJ$26=".", 0, 'Summary, PPI''s'!I63)+IF(EK$26=".", 0, 'Summary, PPI''s'!J63)+IF(EL$26=".", 0, 'Summary, PPI''s'!K63)+IF(EM$26=".", 0, 'Summary, PPI''s'!L63)+IF(EN$26=".", 0, 'Summary, PPI''s'!M63)+IF(EC$26=".", 0, 'Summary, PPI''s'!B63)+IF(ED$26=".", 0, 'Summary, PPI''s'!C63)+IF(EE$26=".", 0, 'Summary, PPI''s'!D63)+IF(EO$26=".", 0, 'Summary, PPI''s'!N63)+IF(EP$26=".", 0, 'Summary, PPI''s'!O63)+IF(EQ$26=".", 0, 'Summary, PPI''s'!P63)</f>
        <v>12590837.995288877</v>
      </c>
      <c r="ET63" s="1">
        <f>'Summary, hourly ad costs'!E63+'Summary, hourly ad costs'!F63+'Summary, hourly ad costs'!H63+'Summary, hourly ad costs'!I63+'Summary, hourly ad costs'!J63+'Summary, hourly ad costs'!K63+'Summary, hourly ad costs'!L63+'Summary, hourly ad costs'!M63+'Summary, hourly ad costs'!B63</f>
        <v>7110304.3258130755</v>
      </c>
      <c r="EV63" s="13">
        <f>EV62*IF(EF$26=".", 1, (EF63/EF62)^(('Summary, PPI''s'!$E63+'Summary, PPI''s'!$E62)/('Predicted PPIs'!ES63+'Predicted PPIs'!ES62)))*IF(EG$26=".", 1, (EG63/EG62)^(('Summary, PPI''s'!$F63+'Summary, PPI''s'!$F62)/('Predicted PPIs'!ES63+'Predicted PPIs'!ES62)))*IF(EH$26=".", 1, (EH63/EH62)^(('Summary, PPI''s'!$G63+'Summary, PPI''s'!$G62)/('Predicted PPIs'!ES63+'Predicted PPIs'!ES62)))*IF(EI$26=".", 1, (EI63/EI62)^(('Summary, PPI''s'!$H63+'Summary, PPI''s'!$H62)/('Predicted PPIs'!ES63+'Predicted PPIs'!ES62)))*IF(EJ$26=".", 1, (EJ63/EJ62)^(('Summary, PPI''s'!$I63+'Summary, PPI''s'!$I62)/('Predicted PPIs'!ES63+'Predicted PPIs'!ES62)))*IF(EK$26=".", 1, (EK63/EK62)^(('Summary, PPI''s'!$J63+'Summary, PPI''s'!$J62)/('Predicted PPIs'!ES63+'Predicted PPIs'!ES62)))*IF(EL$26=".", 1, (EL63/EL62)^(('Summary, PPI''s'!$K63+'Summary, PPI''s'!$K62)/('Predicted PPIs'!ES63+'Predicted PPIs'!ES62)))*IF(EM$26=".", 1, (EM63/EM62)^(('Summary, PPI''s'!$L63+'Summary, PPI''s'!$L62)/('Predicted PPIs'!ES63+'Predicted PPIs'!ES62)))*IF(EN$26=".", 1, (EN63/EN62)^(('Summary, PPI''s'!$M63+'Summary, PPI''s'!$M62)/('Predicted PPIs'!ES63+'Predicted PPIs'!ES62)))*IF(EC$26=".", 1, (EC63/EC62)^(('Summary, PPI''s'!$B63+'Summary, PPI''s'!$B62)/('Predicted PPIs'!ES63+'Predicted PPIs'!ES62)))*IF(ED$26=".", 1, (ED63/ED62)^(('Summary, PPI''s'!$C63+'Summary, PPI''s'!$C62)/('Predicted PPIs'!ES63+'Predicted PPIs'!ES62)))*IF(EE$26=".", 1, (EE63/EE62)^(('Summary, PPI''s'!$D63+'Summary, PPI''s'!$D62)/('Predicted PPIs'!ES63+'Predicted PPIs'!ES62)))*IF(EO$26=".", 1, (EO63/EO62)^(('Summary, PPI''s'!$N63+'Summary, PPI''s'!$N62)/('Predicted PPIs'!ES63+'Predicted PPIs'!ES62)))*IF(EP$26=".", 1, (EP63/EP62)^(('Summary, PPI''s'!$O63+'Summary, PPI''s'!$O62)/('Predicted PPIs'!ES63+'Predicted PPIs'!ES62)))*IF(EQ$26=".", 1, (EQ63/EQ62)^(('Summary, PPI''s'!$P63+'Summary, PPI''s'!$P62)/('Predicted PPIs'!ES63+'Predicted PPIs'!ES62)))</f>
        <v>10.831295019762008</v>
      </c>
      <c r="EW63" s="13">
        <f>EW62*IF(EF$26=".", 1, (EF63/EF62)^(('Summary, PPI''s'!$E63+'Summary, PPI''s'!$E62)/('Predicted PPIs'!ET63+'Predicted PPIs'!ET62)))*IF(EG$26=".", 1, (EG63/EG62)^(('Summary, PPI''s'!$F63+'Summary, PPI''s'!$F62)/('Predicted PPIs'!ET63+'Predicted PPIs'!ET62)))*IF(EH$26=".", 1, (EH63/EH62)^(('Summary, PPI''s'!$G63+'Summary, PPI''s'!$G62)/('Predicted PPIs'!ET63+'Predicted PPIs'!ET62)))*IF(EK$26=".", 1, (EK63/EK62)^(('Summary, PPI''s'!$J63+'Summary, PPI''s'!$J62)/('Predicted PPIs'!ET63+'Predicted PPIs'!ET62)))*IF(EL$26=".", 1, (EL63/EL62)^(('Summary, PPI''s'!$K63+'Summary, PPI''s'!$K62)/('Predicted PPIs'!ET63+'Predicted PPIs'!ET62)))*IF(EM$26=".", 1, (EM63/EM62)^(('Summary, PPI''s'!$L63+'Summary, PPI''s'!$L62)/('Predicted PPIs'!ET63+'Predicted PPIs'!ET62)))*IF(EN$26=".", 1, (EN63/EN62)^(('Summary, PPI''s'!$M63+'Summary, PPI''s'!$M62)/('Predicted PPIs'!ET63+'Predicted PPIs'!ET62)))*IF(EC$26=".", 1, (EC63/EC62)^(('Summary, PPI''s'!$B63+'Summary, PPI''s'!$B62)/('Predicted PPIs'!ET63+'Predicted PPIs'!ET62)))</f>
        <v>14.331834472679265</v>
      </c>
      <c r="EY63" s="2"/>
    </row>
    <row r="64" spans="1:155" x14ac:dyDescent="0.3">
      <c r="A64" s="4">
        <v>1959</v>
      </c>
      <c r="B64" s="10">
        <f>IF(B63=".", ".", IF('Summary, PPI''s'!R64=".",IF(OR('Summary, hourly ad costs'!R64=-9999,'Summary, hourly ad costs'!R64=0), ".", 'Predicted PPIs'!B63*('Summary, hourly ad costs'!B64/'Summary, hourly ad costs'!R64)/('Summary, hourly ad costs'!B63/'Summary, hourly ad costs'!R63)), 'Summary, PPI''s'!R64))</f>
        <v>24.297693944866786</v>
      </c>
      <c r="C64" s="10" t="str">
        <f>IF(C63=".", ".", IF('Summary, PPI''s'!S64=".",IF(OR('Summary, hourly ad costs'!S64=-9999,'Summary, hourly ad costs'!S64=0), ".", 'Predicted PPIs'!C63*('Summary, hourly ad costs'!C64/'Summary, hourly ad costs'!S64)/('Summary, hourly ad costs'!C63/'Summary, hourly ad costs'!S63)), 'Summary, PPI''s'!S64))</f>
        <v>.</v>
      </c>
      <c r="D64" s="10" t="str">
        <f>IF(D63=".", ".", IF('Summary, PPI''s'!T64=".",IF(OR('Summary, hourly ad costs'!T64=-9999,'Summary, hourly ad costs'!T64=0), ".", 'Predicted PPIs'!D63*('Summary, hourly ad costs'!D64/'Summary, hourly ad costs'!T64)/('Summary, hourly ad costs'!D63/'Summary, hourly ad costs'!T63)), 'Summary, PPI''s'!T64))</f>
        <v>.</v>
      </c>
      <c r="E64" s="10">
        <f>IF(E63=".", ".", IF('Summary, PPI''s'!U64=".",IF(OR('Summary, hourly ad costs'!U64=-9999,'Summary, hourly ad costs'!U64=0), ".", 'Predicted PPIs'!E63*('Summary, hourly ad costs'!E64/'Summary, hourly ad costs'!U64)/('Summary, hourly ad costs'!E63/'Summary, hourly ad costs'!U63)), 'Summary, PPI''s'!U64))</f>
        <v>6.8288926053451506</v>
      </c>
      <c r="F64" s="10">
        <f>IF(F63=".", ".", IF('Summary, PPI''s'!V64=".",IF(OR('Summary, hourly ad costs'!V64=-9999,'Summary, hourly ad costs'!V64=0), ".", 'Predicted PPIs'!F63*('Summary, hourly ad costs'!F64/'Summary, hourly ad costs'!V64)/('Summary, hourly ad costs'!F63/'Summary, hourly ad costs'!V63)), 'Summary, PPI''s'!V64))</f>
        <v>12.021511626809641</v>
      </c>
      <c r="G64" s="10" t="str">
        <f>IF(G63=".", ".", IF('Summary, PPI''s'!W64=".",IF(OR('Summary, hourly ad costs'!W64=-9999,'Summary, hourly ad costs'!W64=0), ".", 'Predicted PPIs'!G63*('Summary, hourly ad costs'!G64/'Summary, hourly ad costs'!W64)/('Summary, hourly ad costs'!G63/'Summary, hourly ad costs'!W63)), 'Summary, PPI''s'!W64))</f>
        <v>.</v>
      </c>
      <c r="H64" s="10">
        <f>IF(H63=".", ".", IF('Summary, PPI''s'!X64=".",IF(OR('Summary, hourly ad costs'!X64=-9999,'Summary, hourly ad costs'!X64=0), ".", 'Predicted PPIs'!H63*('Summary, hourly ad costs'!H64/'Summary, hourly ad costs'!X64)/('Summary, hourly ad costs'!H63/'Summary, hourly ad costs'!X63)), 'Summary, PPI''s'!X64))</f>
        <v>8.2170000000000005</v>
      </c>
      <c r="I64" s="10">
        <f>IF(I63=".", ".", IF('Summary, PPI''s'!Y64=".",IF(OR('Summary, hourly ad costs'!Y64=-9999,'Summary, hourly ad costs'!Y64=0), ".", 'Predicted PPIs'!I63*('Summary, hourly ad costs'!I64/'Summary, hourly ad costs'!Y64)/('Summary, hourly ad costs'!I63/'Summary, hourly ad costs'!Y63)), 'Summary, PPI''s'!Y64))</f>
        <v>7.592656760794859</v>
      </c>
      <c r="J64" s="10">
        <f>IF(J63=".", ".", IF('Summary, PPI''s'!Z64=".",IF(OR('Summary, hourly ad costs'!Z64=-9999,'Summary, hourly ad costs'!Z64=0), ".", 'Predicted PPIs'!J63*('Summary, hourly ad costs'!J64/'Summary, hourly ad costs'!Z64)/('Summary, hourly ad costs'!J63/'Summary, hourly ad costs'!Z63)), 'Summary, PPI''s'!Z64))</f>
        <v>10.741341030676852</v>
      </c>
      <c r="K64" s="10" t="str">
        <f>IF(K63=".", ".", IF('Summary, PPI''s'!AA64=".",IF(OR('Summary, hourly ad costs'!AA64=-9999,'Summary, hourly ad costs'!AA64=0), ".", 'Predicted PPIs'!K63*('Summary, hourly ad costs'!K64/'Summary, hourly ad costs'!AA64)/('Summary, hourly ad costs'!K63/'Summary, hourly ad costs'!AA63)), 'Summary, PPI''s'!AA64))</f>
        <v>.</v>
      </c>
      <c r="L64" s="10" t="str">
        <f>IF(L63=".", ".", IF('Summary, PPI''s'!AB64=".",IF(OR('Summary, hourly ad costs'!AB64=-9999,'Summary, hourly ad costs'!AB64=0), ".", 'Predicted PPIs'!L63*('Summary, hourly ad costs'!L64/'Summary, hourly ad costs'!AB64)/('Summary, hourly ad costs'!L63/'Summary, hourly ad costs'!AB63)), 'Summary, PPI''s'!AB64))</f>
        <v>.</v>
      </c>
      <c r="M64" s="10" t="str">
        <f>IF(M63=".", ".", IF('Summary, PPI''s'!AC64=".",IF(OR('Summary, hourly ad costs'!AC64=-9999,'Summary, hourly ad costs'!AC64=0), ".", 'Predicted PPIs'!M63*('Summary, hourly ad costs'!M64/'Summary, hourly ad costs'!AC64)/('Summary, hourly ad costs'!M63/'Summary, hourly ad costs'!AC63)), 'Summary, PPI''s'!AC64))</f>
        <v>.</v>
      </c>
      <c r="N64" s="10" t="str">
        <f>IF(N63=".", ".", IF('Summary, PPI''s'!AD64=".",IF(OR('Summary, hourly ad costs'!AD64=-9999,'Summary, hourly ad costs'!AD64=0), ".", 'Predicted PPIs'!N63*('Summary, hourly ad costs'!N64/'Summary, hourly ad costs'!AD64)/('Summary, hourly ad costs'!N63/'Summary, hourly ad costs'!AD63)), 'Summary, PPI''s'!AD64))</f>
        <v>.</v>
      </c>
      <c r="O64" s="10" t="str">
        <f>IF(O63=".", ".", IF('Summary, PPI''s'!AE64=".",IF(OR('Summary, hourly ad costs'!AE64=-9999,'Summary, hourly ad costs'!AE64=0), ".", 'Predicted PPIs'!O63*('Summary, hourly ad costs'!O64/'Summary, hourly ad costs'!AE64)/('Summary, hourly ad costs'!O63/'Summary, hourly ad costs'!AE63)), 'Summary, PPI''s'!AE64))</f>
        <v>.</v>
      </c>
      <c r="P64" s="10" t="str">
        <f>IF(P63=".", ".", IF('Summary, PPI''s'!AF64=".",IF(OR('Summary, hourly ad costs'!AF64=-9999,'Summary, hourly ad costs'!AF64=0), ".", 'Predicted PPIs'!P63*('Summary, hourly ad costs'!P64/'Summary, hourly ad costs'!AF64)/('Summary, hourly ad costs'!P63/'Summary, hourly ad costs'!AF63)), 'Summary, PPI''s'!AF64))</f>
        <v>.</v>
      </c>
      <c r="R64" s="1">
        <f>IF(E$26=".", 0, 'Summary, PPI''s'!E64)+IF(F$26=".", 0, 'Summary, PPI''s'!F64)+IF(G$26=".", 0, 'Summary, PPI''s'!G64)+IF(H$26=".", 0, 'Summary, PPI''s'!H64)+IF(I$26=".", 0, 'Summary, PPI''s'!I64)+IF(J$26=".", 0, 'Summary, PPI''s'!J64)+IF(K$26=".", 0, 'Summary, PPI''s'!K64)+IF(L$26=".", 0, 'Summary, PPI''s'!L64)+IF(M$26=".", 0, 'Summary, PPI''s'!M64)+IF(B$26=".", 0, 'Summary, PPI''s'!B64)+IF(C$26=".", 0, 'Summary, PPI''s'!C64)+IF(D$26=".", 0, 'Summary, PPI''s'!D64)+IF(N$26=".", 0, 'Summary, PPI''s'!N64)+IF(O$26=".", 0, 'Summary, PPI''s'!O64)+IF(P$26=".", 0, 'Summary, PPI''s'!P64)</f>
        <v>11918456.057055451</v>
      </c>
      <c r="S64" s="1">
        <f>IF(E$36=".", 0, 'Summary, PPI''s'!E64)+IF(F$36=".", 0, 'Summary, PPI''s'!F64)+IF(G$36=".", 0, 'Summary, PPI''s'!G64)+IF(H$36=".", 0, 'Summary, PPI''s'!H64)+IF(I$36=".", 0, 'Summary, PPI''s'!I64)+IF(J$36=".", 0, 'Summary, PPI''s'!J64)+IF(K$36=".", 0, 'Summary, PPI''s'!K64)+IF(L$36=".", 0, 'Summary, PPI''s'!L64)+IF(M$36=".", 0, 'Summary, PPI''s'!M64)+IF(B$36=".", 0, 'Summary, PPI''s'!B64)+IF(C$36=".", 0, 'Summary, PPI''s'!C64)+IF(D$36=".", 0, 'Summary, PPI''s'!D64)+IF(N$36=".", 0, 'Summary, PPI''s'!N64)+IF(O$36=".", 0, 'Summary, PPI''s'!O64)+IF(P$36=".", 0, 'Summary, PPI''s'!P64)</f>
        <v>11918456.057055451</v>
      </c>
      <c r="T64" s="1">
        <f>IF(E$46=".", 0, 'Summary, PPI''s'!E64)+IF(F$46=".", 0, 'Summary, PPI''s'!F64)+IF(G$46=".", 0, 'Summary, PPI''s'!G64)+IF(H$46=".", 0, 'Summary, PPI''s'!H64)+IF(I$46=".", 0, 'Summary, PPI''s'!I64)+IF(J$46=".", 0, 'Summary, PPI''s'!J64)+IF(K$46=".", 0, 'Summary, PPI''s'!K64)+IF(L$46=".", 0, 'Summary, PPI''s'!L64)+IF(M$46=".", 0, 'Summary, PPI''s'!M64)+IF(B$46=".", 0, 'Summary, PPI''s'!B64)+IF(C$46=".", 0, 'Summary, PPI''s'!C64)+IF(D$46=".", 0, 'Summary, PPI''s'!D64)+IF(N$46=".", 0, 'Summary, PPI''s'!N64)+IF(O$46=".", 0, 'Summary, PPI''s'!O64)+IF(P$46=".", 0, 'Summary, PPI''s'!P64)</f>
        <v>8528538.4834043365</v>
      </c>
      <c r="U64" s="1">
        <f>IF(E$60=".", 0, 'Summary, PPI''s'!E64)+IF(F$60=".", 0, 'Summary, PPI''s'!F64)+IF(G$60=".", 0, 'Summary, PPI''s'!G64)+IF(H$60=".", 0, 'Summary, PPI''s'!H64)+IF(I$60=".", 0, 'Summary, PPI''s'!I64)+IF(J$60=".", 0, 'Summary, PPI''s'!J64)+IF(K$60=".", 0, 'Summary, PPI''s'!K64)+IF(L$60=".", 0, 'Summary, PPI''s'!L64)+IF(M$60=".", 0, 'Summary, PPI''s'!M64)+IF(B$60=".", 0, 'Summary, PPI''s'!B64)+IF(C$60=".", 0, 'Summary, PPI''s'!C64)+IF(D$60=".", 0, 'Summary, PPI''s'!D64)+IF(N$60=".", 0, 'Summary, PPI''s'!N64)+IF(O$60=".", 0, 'Summary, PPI''s'!O64)+IF(P$60=".", 0, 'Summary, PPI''s'!P64)</f>
        <v>7759302.7510625012</v>
      </c>
      <c r="V64" s="1">
        <f>IF(E$73=".", 0, 'Summary, PPI''s'!E64)+IF(F$73=".", 0, 'Summary, PPI''s'!F64)+IF(G$73=".", 0, 'Summary, PPI''s'!G64)+IF(H$73=".", 0, 'Summary, PPI''s'!H64)+IF(I$73=".", 0, 'Summary, PPI''s'!I64)+IF(J$73=".", 0, 'Summary, PPI''s'!J64)+IF(K$73=".", 0, 'Summary, PPI''s'!K64)+IF(L$73=".", 0, 'Summary, PPI''s'!L64)+IF(M$73=".", 0, 'Summary, PPI''s'!M64)+IF(B$73=".", 0, 'Summary, PPI''s'!B64)+IF(C$73=".", 0, 'Summary, PPI''s'!C64)+IF(D$73=".", 0, 'Summary, PPI''s'!D64)+IF(N$73=".", 0, 'Summary, PPI''s'!N64)+IF(O$73=".", 0, 'Summary, PPI''s'!O64)+IF(P$73=".", 0, 'Summary, PPI''s'!P64)</f>
        <v>6725079.7401660495</v>
      </c>
      <c r="W64" s="1">
        <f>IF(E$94=".",0,'Summary, PPI''s'!E64)+IF(F$94=".",0,'Summary, PPI''s'!F64)+IF(G$94=".",0,'Summary, PPI''s'!G64)+IF(H$94=".",0,'Summary, PPI''s'!H64)+IF(I$94=".",0,'Summary, PPI''s'!I64)+IF(J$94=".",0,'Summary, PPI''s'!J64)+IF(K$94=".",0,'Summary, PPI''s'!K64)+IF(L$94=".",0,'Summary, PPI''s'!L64)+IF(M$94=".",0,'Summary, PPI''s'!M64)+IF(B$94=".",0,'Summary, PPI''s'!B64)+IF(C$94=".",0,'Summary, PPI''s'!C64)+IF(D$94=".",0,'Summary, PPI''s'!D64)+IF(N$94=".",0,'Summary, PPI''s'!N64)+IF(O$94=".",0,'Summary, PPI''s'!O64)+IF(P$94=".",0,'Summary, PPI''s'!P64)</f>
        <v>5580156.0461862441</v>
      </c>
      <c r="X64" s="1">
        <f>IF(E$123=".", 0, 'Summary, PPI''s'!E64)+IF(F$123=".", 0, 'Summary, PPI''s'!F64)+IF(G$123=".", 0, 'Summary, PPI''s'!G64)+IF(H$123=".", 0, 'Summary, PPI''s'!H64)+IF(I$123=".", 0, 'Summary, PPI''s'!I64)+IF(J$123=".", 0, 'Summary, PPI''s'!J64)+IF(K$123=".", 0, 'Summary, PPI''s'!K64)+IF(L$123=".", 0, 'Summary, PPI''s'!L64)+IF(M$123=".", 0, 'Summary, PPI''s'!M64)+IF(B$123=".", 0, 'Summary, PPI''s'!B64)+IF(C$123=".", 0, 'Summary, PPI''s'!C64)+IF(D$123=".", 0, 'Summary, PPI''s'!D64)+IF(N$123=".", 0, 'Summary, PPI''s'!N64)+IF(O$123=".", 0, 'Summary, PPI''s'!O64)+IF(P$123=".", 0, 'Summary, PPI''s'!P64)</f>
        <v>5058467.5406089742</v>
      </c>
      <c r="Z64" s="4" t="e">
        <f>Z63*IF(E$26=".", 1, (E64/E63)^(('Summary, PPI''s'!$E64+'Summary, PPI''s'!$E63)/('Predicted PPIs'!R64+'Predicted PPIs'!R63)))*IF(F$26=".", 1, (F64/F63)^(('Summary, PPI''s'!$F64+'Summary, PPI''s'!$F63)/('Predicted PPIs'!R64+'Predicted PPIs'!R63)))*IF(G$26=".", 1, (G64/G63)^(('Summary, PPI''s'!$G64+'Summary, PPI''s'!$G63)/('Predicted PPIs'!R64+'Predicted PPIs'!R63)))*IF(H$26=".", 1, (H64/H63)^(('Summary, PPI''s'!$H64+'Summary, PPI''s'!$H63)/('Predicted PPIs'!R64+'Predicted PPIs'!R63)))*IF(I$26=".", 1, (I64/I63)^(('Summary, PPI''s'!$I64+'Summary, PPI''s'!$I63)/('Predicted PPIs'!R64+'Predicted PPIs'!R63)))*IF(J$26=".", 1, (J64/J63)^(('Summary, PPI''s'!$J64+'Summary, PPI''s'!$J63)/('Predicted PPIs'!R64+'Predicted PPIs'!R63)))*IF(K$26=".", 1, (K64/K63)^(('Summary, PPI''s'!$K64+'Summary, PPI''s'!$K63)/('Predicted PPIs'!R64+'Predicted PPIs'!R63)))*IF(L$26=".", 1, (L64/L63)^(('Summary, PPI''s'!$L64+'Summary, PPI''s'!$L63)/('Predicted PPIs'!R64+'Predicted PPIs'!R63)))*IF(M$26=".", 1, (M64/M63)^(('Summary, PPI''s'!$M64+'Summary, PPI''s'!$M63)/('Predicted PPIs'!R64+'Predicted PPIs'!R63)))*IF(B$26=".", 1, (B64/B63)^(('Summary, PPI''s'!$B64+'Summary, PPI''s'!$B63)/('Predicted PPIs'!R64+'Predicted PPIs'!R63)))*IF(C$26=".", 1, (C64/C63)^(('Summary, PPI''s'!$C64+'Summary, PPI''s'!$C63)/('Predicted PPIs'!R64+'Predicted PPIs'!R63)))*IF(D$26=".", 1, (D64/D63)^(('Summary, PPI''s'!$D64+'Summary, PPI''s'!$D63)/('Predicted PPIs'!R64+'Predicted PPIs'!R63)))*IF(N$26=".", 1, (N64/N63)^(('Summary, PPI''s'!$N64+'Summary, PPI''s'!$N63)/('Predicted PPIs'!R64+'Predicted PPIs'!R63)))*IF(O$26=".", 1, (O64/O63)^(('Summary, PPI''s'!$O64+'Summary, PPI''s'!$O63)/('Predicted PPIs'!R64+'Predicted PPIs'!R63)))*IF(P$26=".", 1, (P64/P63)^(('Summary, PPI''s'!$P64+'Summary, PPI''s'!$P63)/('Predicted PPIs'!R64+'Predicted PPIs'!R63)))</f>
        <v>#VALUE!</v>
      </c>
      <c r="AA64" s="4" t="e">
        <f>AA63*IF(E$36=".", 1, (E64/E63)^(('Summary, PPI''s'!$E64+'Summary, PPI''s'!$E63)/('Predicted PPIs'!S64+'Predicted PPIs'!S63)))*IF(F$36=".", 1, (F64/F63)^(('Summary, PPI''s'!$F64+'Summary, PPI''s'!$F63)/('Predicted PPIs'!S64+'Predicted PPIs'!S63)))*IF(G$36=".", 1, (G64/G63)^(('Summary, PPI''s'!$G64+'Summary, PPI''s'!$G63)/('Predicted PPIs'!S64+'Predicted PPIs'!S63)))*IF(H$36=".", 1, (H64/H63)^(('Summary, PPI''s'!$H64+'Summary, PPI''s'!$H63)/('Predicted PPIs'!S64+'Predicted PPIs'!S63)))*IF(I$36=".", 1, (I64/I63)^(('Summary, PPI''s'!$I64+'Summary, PPI''s'!$I63)/('Predicted PPIs'!S64+'Predicted PPIs'!S63)))*IF(J$36=".", 1, (J64/J63)^(('Summary, PPI''s'!$J64+'Summary, PPI''s'!$J63)/('Predicted PPIs'!S64+'Predicted PPIs'!S63)))*IF(K$36=".", 1, (K64/K63)^(('Summary, PPI''s'!$K64+'Summary, PPI''s'!$K63)/('Predicted PPIs'!S64+'Predicted PPIs'!S63)))*IF(L$36=".", 1, (L64/L63)^(('Summary, PPI''s'!$L64+'Summary, PPI''s'!$L63)/('Predicted PPIs'!S64+'Predicted PPIs'!S63)))*IF(M$36=".", 1, (M64/M63)^(('Summary, PPI''s'!$M64+'Summary, PPI''s'!$M63)/('Predicted PPIs'!S64+'Predicted PPIs'!S63)))*IF(B$36=".", 1, (B64/B63)^(('Summary, PPI''s'!$B64+'Summary, PPI''s'!$B63)/('Predicted PPIs'!S64+'Predicted PPIs'!S63)))*IF(C$36=".", 1, (C64/C63)^(('Summary, PPI''s'!$C64+'Summary, PPI''s'!$C63)/('Predicted PPIs'!S64+'Predicted PPIs'!S63)))*IF(D$36=".", 1, (D64/D63)^(('Summary, PPI''s'!$D64+'Summary, PPI''s'!$D63)/('Predicted PPIs'!S64+'Predicted PPIs'!S63)))*IF(N$36=".", 1, (N64/N63)^(('Summary, PPI''s'!$N64+'Summary, PPI''s'!$N63)/('Predicted PPIs'!S64+'Predicted PPIs'!S63)))*IF(O$36=".", 1, (O64/O63)^(('Summary, PPI''s'!$O64+'Summary, PPI''s'!$O63)/('Predicted PPIs'!S64+'Predicted PPIs'!S63)))*IF(P$36=".", 1, (P64/P63)^(('Summary, PPI''s'!$P64+'Summary, PPI''s'!$P63)/('Predicted PPIs'!S64+'Predicted PPIs'!S63)))</f>
        <v>#VALUE!</v>
      </c>
      <c r="AB64" s="4" t="e">
        <f>AB63*IF(E$46=".", 1, (E64/E63)^(('Summary, PPI''s'!$E64+'Summary, PPI''s'!$E63)/('Predicted PPIs'!T64+'Predicted PPIs'!T63)))*IF(F$46=".", 1, (F64/F63)^(('Summary, PPI''s'!$F64+'Summary, PPI''s'!$F63)/('Predicted PPIs'!T64+'Predicted PPIs'!T63)))*IF(G$46=".", 1, (G64/G63)^(('Summary, PPI''s'!$G64+'Summary, PPI''s'!$G63)/('Predicted PPIs'!T64+'Predicted PPIs'!T63)))*IF(H$46=".", 1, (H64/H63)^(('Summary, PPI''s'!$H64+'Summary, PPI''s'!$H63)/('Predicted PPIs'!T64+'Predicted PPIs'!T63)))*IF(I$46=".", 1, (I64/I63)^(('Summary, PPI''s'!$I64+'Summary, PPI''s'!$I63)/('Predicted PPIs'!T64+'Predicted PPIs'!T63)))*IF(J$46=".", 1, (J64/J63)^(('Summary, PPI''s'!$J64+'Summary, PPI''s'!$J63)/('Predicted PPIs'!T64+'Predicted PPIs'!T63)))*IF(K$46=".", 1, (K64/K63)^(('Summary, PPI''s'!$K64+'Summary, PPI''s'!$K63)/('Predicted PPIs'!T64+'Predicted PPIs'!T63)))*IF(L$46=".", 1, (L64/L63)^(('Summary, PPI''s'!$L64+'Summary, PPI''s'!$L63)/('Predicted PPIs'!T64+'Predicted PPIs'!T63)))*IF(M$46=".", 1, (M64/M63)^(('Summary, PPI''s'!$M64+'Summary, PPI''s'!$M63)/('Predicted PPIs'!T64+'Predicted PPIs'!T63)))*IF(B$46=".", 1, (B64/B63)^(('Summary, PPI''s'!$B64+'Summary, PPI''s'!$B63)/('Predicted PPIs'!T64+'Predicted PPIs'!T63)))*IF(C$46=".", 1, (C64/C63)^(('Summary, PPI''s'!$C64+'Summary, PPI''s'!$C63)/('Predicted PPIs'!T64+'Predicted PPIs'!T63)))*IF(D$46=".", 1, (D64/D63)^(('Summary, PPI''s'!$D64+'Summary, PPI''s'!$D63)/('Predicted PPIs'!T64+'Predicted PPIs'!T63)))*IF(N$46=".", 1, (N64/N63)^(('Summary, PPI''s'!$N64+'Summary, PPI''s'!$N63)/('Predicted PPIs'!T64+'Predicted PPIs'!T63)))*IF(O$46=".", 1, (O64/O63)^(('Summary, PPI''s'!$O64+'Summary, PPI''s'!$O63)/('Predicted PPIs'!T64+'Predicted PPIs'!T63)))*IF(P$46=".", 1, (P64/P63)^(('Summary, PPI''s'!$P64+'Summary, PPI''s'!$P63)/('Predicted PPIs'!T64+'Predicted PPIs'!T63)))</f>
        <v>#VALUE!</v>
      </c>
      <c r="AC64" s="4" t="e">
        <f>AC63*IF(E$60=".",1,(E64/E63)^(('Summary, PPI''s'!$E64+'Summary, PPI''s'!$E63)/('Predicted PPIs'!U64+'Predicted PPIs'!U63)))*IF(F$60=".",1,(F64/F63)^(('Summary, PPI''s'!$F64+'Summary, PPI''s'!$F63)/('Predicted PPIs'!U64+'Predicted PPIs'!U63)))*IF(G$60=".",1,(G64/G63)^(('Summary, PPI''s'!$G64+'Summary, PPI''s'!$G63)/('Predicted PPIs'!U64+'Predicted PPIs'!U63)))*IF(H$60=".",1,(H64/H63)^(('Summary, PPI''s'!$H64+'Summary, PPI''s'!$H63)/('Predicted PPIs'!U64+'Predicted PPIs'!U63)))*IF(I$60=".",1,(I64/I63)^(('Summary, PPI''s'!$I64+'Summary, PPI''s'!$I63)/('Predicted PPIs'!U64+'Predicted PPIs'!U63)))*IF(J$60=".",1,(J64/J63)^(('Summary, PPI''s'!$J64+'Summary, PPI''s'!$J63)/('Predicted PPIs'!U64+'Predicted PPIs'!U63)))*IF(K$60=".",1,(K64/K63)^(('Summary, PPI''s'!$K64+'Summary, PPI''s'!$K63)/('Predicted PPIs'!U64+'Predicted PPIs'!U63)))*IF(L$60=".",1,(L64/L63)^(('Summary, PPI''s'!$L64+'Summary, PPI''s'!$L63)/('Predicted PPIs'!U64+'Predicted PPIs'!U63)))*IF(M$60=".",1,(M64/M63)^(('Summary, PPI''s'!$M64+'Summary, PPI''s'!$M63)/('Predicted PPIs'!U64+'Predicted PPIs'!U63)))*IF(B$60=".",1,(B64/B63)^(('Summary, PPI''s'!$B64+'Summary, PPI''s'!$B63)/('Predicted PPIs'!U64+'Predicted PPIs'!U63)))*IF(C$60=".",1,(C64/C63)^(('Summary, PPI''s'!$C64+'Summary, PPI''s'!$C63)/('Predicted PPIs'!U64+'Predicted PPIs'!U63)))*IF(D$60=".",1,(D64/D63)^(('Summary, PPI''s'!$D64+'Summary, PPI''s'!$D63)/('Predicted PPIs'!U64+'Predicted PPIs'!U63)))*IF(N$60=".",1,(N64/N63)^(('Summary, PPI''s'!$N64+'Summary, PPI''s'!$N63)/('Predicted PPIs'!U64+'Predicted PPIs'!U63)))*IF(O$60=".",1,(O64/O63)^(('Summary, PPI''s'!$O64+'Summary, PPI''s'!$O63)/('Predicted PPIs'!U64+'Predicted PPIs'!U63)))*IF(P$60=".",1,(P64/P63)^(('Summary, PPI''s'!$P64+'Summary, PPI''s'!$P63)/('Predicted PPIs'!U64+'Predicted PPIs'!U63)))</f>
        <v>#VALUE!</v>
      </c>
      <c r="AD64" s="4">
        <f>AD63*IF(E$73=".", 1, (E64/E63)^(('Summary, PPI''s'!$E64+'Summary, PPI''s'!$E63)/('Predicted PPIs'!V64+'Predicted PPIs'!V63)))*IF(F$73=".", 1, (F64/F63)^(('Summary, PPI''s'!$F64+'Summary, PPI''s'!$F63)/('Predicted PPIs'!V64+'Predicted PPIs'!V63)))*IF(G$73=".", 1, (G64/G63)^(('Summary, PPI''s'!$G64+'Summary, PPI''s'!$G63)/('Predicted PPIs'!V64+'Predicted PPIs'!V63)))*IF(H$73=".", 1, (H64/H63)^(('Summary, PPI''s'!$H64+'Summary, PPI''s'!$H63)/('Predicted PPIs'!V64+'Predicted PPIs'!V63)))*IF(I$73=".", 1, (I64/I63)^(('Summary, PPI''s'!$I64+'Summary, PPI''s'!$I63)/('Predicted PPIs'!V64+'Predicted PPIs'!V63)))*IF(J$73=".", 1, (J64/J63)^(('Summary, PPI''s'!$J64+'Summary, PPI''s'!$J63)/('Predicted PPIs'!V64+'Predicted PPIs'!V63)))*IF(K$73=".", 1, (K64/K63)^(('Summary, PPI''s'!$K64+'Summary, PPI''s'!$K63)/('Predicted PPIs'!V64+'Predicted PPIs'!V63)))*IF(L$73=".", 1, (L64/L63)^(('Summary, PPI''s'!$L64+'Summary, PPI''s'!$L63)/('Predicted PPIs'!V64+'Predicted PPIs'!V63)))*IF(M$73=".", 1, (M64/M63)^(('Summary, PPI''s'!$M64+'Summary, PPI''s'!$M63)/('Predicted PPIs'!V64+'Predicted PPIs'!V63)))*IF(B$73=".", 1, (B64/B63)^(('Summary, PPI''s'!$B64+'Summary, PPI''s'!$B63)/('Predicted PPIs'!V64+'Predicted PPIs'!V63)))*IF(C$73=".", 1, (C64/C63)^(('Summary, PPI''s'!$C64+'Summary, PPI''s'!$C63)/('Predicted PPIs'!V64+'Predicted PPIs'!V63)))*IF(D$73=".", 1, (D64/D63)^(('Summary, PPI''s'!$D64+'Summary, PPI''s'!$D63)/('Predicted PPIs'!V64+'Predicted PPIs'!V63)))*IF(N$73=".", 1, (N64/N63)^(('Summary, PPI''s'!$N64+'Summary, PPI''s'!$N63)/('Predicted PPIs'!V64+'Predicted PPIs'!V63)))*IF(O$73=".", 1, (O64/O63)^(('Summary, PPI''s'!$O64+'Summary, PPI''s'!$O63)/('Predicted PPIs'!V64+'Predicted PPIs'!V63)))*IF(P$73=".", 1, (P64/P63)^(('Summary, PPI''s'!$P64+'Summary, PPI''s'!$P63)/('Predicted PPIs'!V64+'Predicted PPIs'!V63)))</f>
        <v>10.235200701737007</v>
      </c>
      <c r="AE64" s="4">
        <f>AE63*IF(E$94=".", 1, (E64/E63)^(('Summary, PPI''s'!$E64+'Summary, PPI''s'!$E63)/('Predicted PPIs'!W64+'Predicted PPIs'!W63)))*IF(F$94=".", 1, (F64/F63)^(('Summary, PPI''s'!$F64+'Summary, PPI''s'!$F63)/('Predicted PPIs'!W64+'Predicted PPIs'!W63)))*IF(G$94=".", 1, (G64/G63)^(('Summary, PPI''s'!$G64+'Summary, PPI''s'!$G63)/('Predicted PPIs'!W64+'Predicted PPIs'!W63)))*IF(H$94=".", 1, (H64/H63)^(('Summary, PPI''s'!$H64+'Summary, PPI''s'!$H63)/('Predicted PPIs'!W64+'Predicted PPIs'!W63)))*IF(I$94=".", 1, (I64/I63)^(('Summary, PPI''s'!$I64+'Summary, PPI''s'!$I63)/('Predicted PPIs'!W64+'Predicted PPIs'!W63)))*IF(J$94=".", 1, (J64/J63)^(('Summary, PPI''s'!$J64+'Summary, PPI''s'!$J63)/('Predicted PPIs'!W64+'Predicted PPIs'!W63)))*IF(K$94=".", 1, (K64/K63)^(('Summary, PPI''s'!$K64+'Summary, PPI''s'!$K63)/('Predicted PPIs'!W64+'Predicted PPIs'!W63)))*IF(L$94=".", 1, (L64/L63)^(('Summary, PPI''s'!$L64+'Summary, PPI''s'!$L63)/('Predicted PPIs'!W64+'Predicted PPIs'!W63)))*IF(M$94=".", 1, (M64/M63)^(('Summary, PPI''s'!$M64+'Summary, PPI''s'!$M63)/('Predicted PPIs'!W64+'Predicted PPIs'!W63)))*IF(B$94=".", 1, (B64/B63)^(('Summary, PPI''s'!$B64+'Summary, PPI''s'!$B63)/('Predicted PPIs'!W64+'Predicted PPIs'!W63)))*IF(C$94=".", 1, (C64/C63)^(('Summary, PPI''s'!$C64+'Summary, PPI''s'!$C63)/('Predicted PPIs'!W64+'Predicted PPIs'!W63)))*IF(D$94=".", 1, (D64/D63)^(('Summary, PPI''s'!$D64+'Summary, PPI''s'!$D63)/('Predicted PPIs'!W64+'Predicted PPIs'!W63)))*IF(N$94=".", 1, (N64/N63)^(('Summary, PPI''s'!$N64+'Summary, PPI''s'!$N63)/('Predicted PPIs'!W64+'Predicted PPIs'!W63)))*IF(O$94=".", 1, (O64/O63)^(('Summary, PPI''s'!$O64+'Summary, PPI''s'!$O63)/('Predicted PPIs'!W64+'Predicted PPIs'!W63)))*IF(P$94=".", 1, (P64/P63)^(('Summary, PPI''s'!$P64+'Summary, PPI''s'!$P63)/('Predicted PPIs'!W64+'Predicted PPIs'!W63)))</f>
        <v>9.4898414728035387</v>
      </c>
      <c r="AF64" s="4">
        <f>AF63*IF(E$123=".", 1, (E64/E63)^(('Summary, PPI''s'!$E64+'Summary, PPI''s'!$E63)/('Predicted PPIs'!X64+'Predicted PPIs'!X63)))*IF(F$123=".", 1, (F64/F63)^(('Summary, PPI''s'!$F64+'Summary, PPI''s'!$F63)/('Predicted PPIs'!X64+'Predicted PPIs'!X63)))*IF(G$123=".", 1, (G64/G63)^(('Summary, PPI''s'!$G64+'Summary, PPI''s'!$G63)/('Predicted PPIs'!X64+'Predicted PPIs'!X63)))*IF(H$123=".", 1, (H64/H63)^(('Summary, PPI''s'!$H64+'Summary, PPI''s'!$H63)/('Predicted PPIs'!X64+'Predicted PPIs'!X63)))*IF(I$123=".", 1, (I64/I63)^(('Summary, PPI''s'!$I64+'Summary, PPI''s'!$I63)/('Predicted PPIs'!X64+'Predicted PPIs'!X63)))*IF(J$123=".", 1, (J64/J63)^(('Summary, PPI''s'!$J64+'Summary, PPI''s'!$J63)/('Predicted PPIs'!X64+'Predicted PPIs'!X63)))*IF(K$123=".", 1, (K64/K63)^(('Summary, PPI''s'!$K64+'Summary, PPI''s'!$K63)/('Predicted PPIs'!X64+'Predicted PPIs'!X63)))*IF(L$123=".", 1, (L64/L63)^(('Summary, PPI''s'!$L64+'Summary, PPI''s'!$L63)/('Predicted PPIs'!X64+'Predicted PPIs'!X63)))*IF(M$123=".", 1, (M64/M63)^(('Summary, PPI''s'!$M64+'Summary, PPI''s'!$M63)/('Predicted PPIs'!X64+'Predicted PPIs'!X63)))*IF(B$123=".", 1, (B64/B63)^(('Summary, PPI''s'!$B64+'Summary, PPI''s'!$B63)/('Predicted PPIs'!X64+'Predicted PPIs'!X63)))*IF(C$123=".", 1, (C64/C63)^(('Summary, PPI''s'!$C64+'Summary, PPI''s'!$C63)/('Predicted PPIs'!X64+'Predicted PPIs'!X63)))*IF(D$123=".", 1, (D64/D63)^(('Summary, PPI''s'!$D64+'Summary, PPI''s'!$D63)/('Predicted PPIs'!X64+'Predicted PPIs'!X63)))*IF(N$123=".", 1, (N64/N63)^(('Summary, PPI''s'!$N64+'Summary, PPI''s'!$N63)/('Predicted PPIs'!X64+'Predicted PPIs'!X63)))*IF(O$123=".", 1, (O64/O63)^(('Summary, PPI''s'!$O64+'Summary, PPI''s'!$O63)/('Predicted PPIs'!X64+'Predicted PPIs'!X63)))*IF(P$123=".", 1, (P64/P63)^(('Summary, PPI''s'!$P64+'Summary, PPI''s'!$P63)/('Predicted PPIs'!X64+'Predicted PPIs'!X63)))</f>
        <v>9.2490654139415263</v>
      </c>
      <c r="AH64" s="13">
        <f t="shared" si="91"/>
        <v>11.863643750840714</v>
      </c>
      <c r="AJ64" s="4">
        <v>317.10000000000002</v>
      </c>
      <c r="AK64" s="4">
        <v>-1.2889999999999999</v>
      </c>
      <c r="AL64" s="4">
        <v>-29.047000000000001</v>
      </c>
      <c r="AM64" s="4">
        <v>-2.0310000000000001</v>
      </c>
      <c r="AN64" s="4">
        <v>432.6</v>
      </c>
      <c r="AO64" s="4">
        <v>81.3</v>
      </c>
      <c r="AP64" s="4">
        <f>('[4]1959'!$I$14+'[4]1959'!$I$51+'[4]1959'!$I$53-'[4]1959'!$I$55)*0.001</f>
        <v>-8.0510000000000002</v>
      </c>
      <c r="AQ64" s="4">
        <f>('[4]1959'!$AK$42+'[4]1959'!$AK$51+'[4]1959'!$AK$53-'[4]1959'!$AK$55)*0.001</f>
        <v>-16.331</v>
      </c>
      <c r="AR64" s="4">
        <f>AR$38*14/23762</f>
        <v>-6.5917010352663915E-3</v>
      </c>
      <c r="AS64" s="4">
        <v>-2.2330000000000001</v>
      </c>
      <c r="AT64" s="4">
        <v>16.175999999999998</v>
      </c>
      <c r="AU64" s="4">
        <v>22.718</v>
      </c>
      <c r="AV64" s="4">
        <v>14.146000000000001</v>
      </c>
      <c r="AW64" s="4">
        <v>12.708</v>
      </c>
      <c r="AX64" s="4">
        <v>16.227</v>
      </c>
      <c r="AY64" s="4">
        <v>23.408000000000001</v>
      </c>
      <c r="AZ64" s="4">
        <v>8.8249999999999993</v>
      </c>
      <c r="BA64" s="4">
        <v>19.288</v>
      </c>
      <c r="BB64" s="4">
        <f>BB$38*197.173/184.05</f>
        <v>110.32260548763922</v>
      </c>
      <c r="BC64" s="4">
        <v>16.966999999999999</v>
      </c>
      <c r="BG64" s="4">
        <f t="shared" si="50"/>
        <v>19.436754797298416</v>
      </c>
      <c r="BI64" s="4">
        <f>BI$13*'[2]Ordinary Experience'!$D$362/'[2]Ordinary Experience'!$D$413</f>
        <v>176383217.10500717</v>
      </c>
      <c r="BJ64" s="4">
        <f>'[2]Ordinary Experience'!$E$362</f>
        <v>30.652053727464015</v>
      </c>
      <c r="BL64" s="4">
        <f t="shared" si="90"/>
        <v>40.093006151160168</v>
      </c>
      <c r="BM64" s="4">
        <f t="shared" si="34"/>
        <v>7.1597340520665353E-2</v>
      </c>
      <c r="BO64" s="4" t="str">
        <f>IF(OR('Summary, hourly ad costs'!R64=-9999,'Summary, PPI''s'!R64="."),".",(('Summary, hourly ad costs'!B64/'Summary, hourly ad costs'!R64)*100/('Summary, hourly ad costs'!B$11/'Summary, hourly ad costs'!R$11))/('Summary, PPI''s'!R64))</f>
        <v>.</v>
      </c>
      <c r="BP64" s="4" t="str">
        <f>IF(OR('Summary, hourly ad costs'!S64=-9999,'Summary, PPI''s'!S64="."),".",(('Summary, hourly ad costs'!C64/'Summary, hourly ad costs'!S64)*100/('Summary, hourly ad costs'!C$11/'Summary, hourly ad costs'!S$11))/('Summary, PPI''s'!S64))</f>
        <v>.</v>
      </c>
      <c r="BQ64" s="4" t="str">
        <f>IF(OR('Summary, hourly ad costs'!T64=-9999,'Summary, PPI''s'!T64="."),".",(('Summary, hourly ad costs'!D64/'Summary, hourly ad costs'!T64)*100/('Summary, hourly ad costs'!D$11/'Summary, hourly ad costs'!T$11))/('Summary, PPI''s'!T64))</f>
        <v>.</v>
      </c>
      <c r="BR64" s="4" t="str">
        <f>IF(OR('Summary, hourly ad costs'!U64=-9999,'Summary, PPI''s'!U64="."),".",(('Summary, hourly ad costs'!E64/'Summary, hourly ad costs'!U64)*100/('Summary, hourly ad costs'!E$11/'Summary, hourly ad costs'!U$11))/('Summary, PPI''s'!U64))</f>
        <v>.</v>
      </c>
      <c r="BS64" s="4" t="str">
        <f>IF(OR('Summary, hourly ad costs'!V64=-9999,'Summary, PPI''s'!V64="."),".",(('Summary, hourly ad costs'!F64/'Summary, hourly ad costs'!V64)*100/('Summary, hourly ad costs'!F$11/'Summary, hourly ad costs'!V$11))/('Summary, PPI''s'!V64))</f>
        <v>.</v>
      </c>
      <c r="BT64" s="4" t="str">
        <f>IF(OR('Summary, hourly ad costs'!W64=-9999,'Summary, PPI''s'!W64="."),".",(('Summary, hourly ad costs'!G64/'Summary, hourly ad costs'!W64)*100/('Summary, hourly ad costs'!G$11/'Summary, hourly ad costs'!W$11))/('Summary, PPI''s'!W64))</f>
        <v>.</v>
      </c>
      <c r="BU64" s="4">
        <f>IF(OR('Summary, hourly ad costs'!X64=-9999,'Summary, PPI''s'!X64="."),".",(('Summary, hourly ad costs'!H64/'Summary, hourly ad costs'!X64)*100/('Summary, hourly ad costs'!H$11/'Summary, hourly ad costs'!X$11))/('Summary, PPI''s'!X64))</f>
        <v>1.1152589509235729</v>
      </c>
      <c r="BV64" s="4" t="str">
        <f>IF(OR('Summary, hourly ad costs'!Y64=-9999,'Summary, PPI''s'!Y64="."),".",(('Summary, hourly ad costs'!I64/'Summary, hourly ad costs'!Y64)*100/('Summary, hourly ad costs'!I$11/'Summary, hourly ad costs'!Y$11))/('Summary, PPI''s'!Y64))</f>
        <v>.</v>
      </c>
      <c r="BW64" s="4" t="str">
        <f>IF(OR('Summary, hourly ad costs'!Z64=-9999,'Summary, PPI''s'!Z64="."),".",(('Summary, hourly ad costs'!J64/'Summary, hourly ad costs'!Z64)*100/('Summary, hourly ad costs'!J$11/'Summary, hourly ad costs'!Z$11))/('Summary, PPI''s'!Z64))</f>
        <v>.</v>
      </c>
      <c r="BX64" s="4" t="str">
        <f>IF(OR('Summary, hourly ad costs'!AA64=-9999,'Summary, PPI''s'!AA64="."),".",(('Summary, hourly ad costs'!K64/'Summary, hourly ad costs'!AA64)*100/('Summary, hourly ad costs'!K$11/'Summary, hourly ad costs'!AA$11))/('Summary, PPI''s'!AA64))</f>
        <v>.</v>
      </c>
      <c r="BY64" s="4" t="str">
        <f>IF(OR('Summary, hourly ad costs'!AB64=-9999,'Summary, PPI''s'!AB64="."),".",(('Summary, hourly ad costs'!L64/'Summary, hourly ad costs'!AB64)*100/('Summary, hourly ad costs'!L$11/'Summary, hourly ad costs'!AB$11))/('Summary, PPI''s'!AB64))</f>
        <v>.</v>
      </c>
      <c r="BZ64" s="4" t="str">
        <f>IF(OR('Summary, hourly ad costs'!AC64=-9999,'Summary, PPI''s'!AC64="."),".",(('Summary, hourly ad costs'!M64/'Summary, hourly ad costs'!AC64)*100/('Summary, hourly ad costs'!M$11/'Summary, hourly ad costs'!AC$11))/('Summary, PPI''s'!AC64))</f>
        <v>.</v>
      </c>
      <c r="CA64" s="4" t="str">
        <f>IF(OR('Summary, hourly ad costs'!AD64=-9999,'Summary, PPI''s'!AD64="."),".",(('Summary, hourly ad costs'!N64/'Summary, hourly ad costs'!AD64)*100/('Summary, hourly ad costs'!N$11/'Summary, hourly ad costs'!AD$11))/('Summary, PPI''s'!AD64))</f>
        <v>.</v>
      </c>
      <c r="CB64" s="4" t="str">
        <f>IF(OR('Summary, hourly ad costs'!AE64=-9999,'Summary, PPI''s'!AE64="."),".",(('Summary, hourly ad costs'!O64/'Summary, hourly ad costs'!AE64)*100/('Summary, hourly ad costs'!O$11/'Summary, hourly ad costs'!AE$11))/('Summary, PPI''s'!AE64))</f>
        <v>.</v>
      </c>
      <c r="CC64" s="4" t="str">
        <f>IF(OR('Summary, hourly ad costs'!AF64=-9999,'Summary, PPI''s'!AF64="."),".",(('Summary, hourly ad costs'!P64/'Summary, hourly ad costs'!AF64)*100/('Summary, hourly ad costs'!P$11/'Summary, hourly ad costs'!AF$11))/('Summary, PPI''s'!AF64))</f>
        <v>.</v>
      </c>
      <c r="CE64" s="4">
        <f t="shared" si="134"/>
        <v>3.5799814200044487E-2</v>
      </c>
      <c r="CF64" s="4" t="str">
        <f t="shared" si="135"/>
        <v>.</v>
      </c>
      <c r="CG64" s="4" t="str">
        <f t="shared" si="136"/>
        <v>.</v>
      </c>
      <c r="CH64" s="4">
        <f t="shared" si="145"/>
        <v>7.1299475286582814E-2</v>
      </c>
      <c r="CI64" s="4">
        <f t="shared" si="145"/>
        <v>8.2680771841380354E-2</v>
      </c>
      <c r="CJ64" s="4" t="str">
        <f t="shared" ref="CJ64:CJ95" si="147">IF(OR(BT64=".",BT65="."), ".", BT64/BT65-1)</f>
        <v>.</v>
      </c>
      <c r="CK64" s="4">
        <f>_xlfn.FORECAST.LINEAR($BM64,CK$4:CK$63,$BM$4:$BM$63)</f>
        <v>4.8454184511636991E-4</v>
      </c>
      <c r="CL64" s="4">
        <f t="shared" si="130"/>
        <v>5.7516847418958766E-2</v>
      </c>
      <c r="CM64" s="4">
        <f t="shared" si="130"/>
        <v>3.9452679212795577E-2</v>
      </c>
      <c r="CN64" s="4">
        <f t="shared" si="89"/>
        <v>4.3625226236451084E-2</v>
      </c>
      <c r="CO64" s="4">
        <f t="shared" si="120"/>
        <v>0.46455418944855592</v>
      </c>
      <c r="CP64" s="4">
        <f t="shared" si="120"/>
        <v>1.3019101442243719E-3</v>
      </c>
      <c r="CQ64" s="4" t="str">
        <f t="shared" si="110"/>
        <v>.</v>
      </c>
      <c r="CR64" s="4" t="str">
        <f t="shared" si="111"/>
        <v>.</v>
      </c>
      <c r="CS64" s="4" t="str">
        <f t="shared" si="112"/>
        <v>.</v>
      </c>
      <c r="CU64" s="5">
        <f>IF(CU63=".", ".", IF('Summary, PPI''s'!R64=".",IF(OR('Summary, hourly ad costs'!R64=-9999,'Summary, hourly ad costs'!R64=0), ".", 'Predicted PPIs'!CU63*('Summary, hourly ad costs'!B64/'Summary, hourly ad costs'!R64)/('Summary, hourly ad costs'!B63/'Summary, hourly ad costs'!R63)/(1-CE63)), 'Summary, PPI''s'!R64))</f>
        <v>22.731305397275939</v>
      </c>
      <c r="CV64" s="5" t="str">
        <f>IF(CV63=".", ".", IF('Summary, PPI''s'!S64=".",IF(OR('Summary, hourly ad costs'!S64=-9999,'Summary, hourly ad costs'!S64=0), ".", 'Predicted PPIs'!CV63*('Summary, hourly ad costs'!C64/'Summary, hourly ad costs'!S64)/('Summary, hourly ad costs'!C63/'Summary, hourly ad costs'!S63)/(1-CF63)), 'Summary, PPI''s'!S64))</f>
        <v>.</v>
      </c>
      <c r="CW64" s="5" t="str">
        <f>IF(CW63=".", ".", IF('Summary, PPI''s'!T64=".",IF(OR('Summary, hourly ad costs'!T64=-9999,'Summary, hourly ad costs'!T64=0), ".", 'Predicted PPIs'!CW63*('Summary, hourly ad costs'!D64/'Summary, hourly ad costs'!T64)/('Summary, hourly ad costs'!D63/'Summary, hourly ad costs'!T63)/(1-CG63)), 'Summary, PPI''s'!T64))</f>
        <v>.</v>
      </c>
      <c r="CX64" s="5">
        <f>IF(CX63=".", ".", IF('Summary, PPI''s'!U64=".",IF(OR('Summary, hourly ad costs'!U64=-9999,'Summary, hourly ad costs'!U64=0), ".", 'Predicted PPIs'!CX63*('Summary, hourly ad costs'!E64/'Summary, hourly ad costs'!U64)/('Summary, hourly ad costs'!E63/'Summary, hourly ad costs'!U63)/(1-CH63)), 'Summary, PPI''s'!U64))</f>
        <v>6.8156981816698519</v>
      </c>
      <c r="CY64" s="5">
        <f>IF(CY63=".", ".", IF('Summary, PPI''s'!V64=".",IF(OR('Summary, hourly ad costs'!V64=-9999,'Summary, hourly ad costs'!V64=0), ".", 'Predicted PPIs'!CY63*('Summary, hourly ad costs'!F64/'Summary, hourly ad costs'!V64)/('Summary, hourly ad costs'!F63/'Summary, hourly ad costs'!V63)/(1-CI63)), 'Summary, PPI''s'!V64))</f>
        <v>12.079648833514296</v>
      </c>
      <c r="CZ64" s="5" t="str">
        <f>IF(CZ63=".", ".", IF('Summary, PPI''s'!W64=".",IF(OR('Summary, hourly ad costs'!W64=-9999,'Summary, hourly ad costs'!W64=0), ".", 'Predicted PPIs'!CZ63*('Summary, hourly ad costs'!G64/'Summary, hourly ad costs'!W64)/('Summary, hourly ad costs'!G63/'Summary, hourly ad costs'!W63)/(1-CJ63)), 'Summary, PPI''s'!W64))</f>
        <v>.</v>
      </c>
      <c r="DA64" s="5">
        <f>IF(DA63=".", ".", IF('Summary, PPI''s'!X64=".",IF(OR('Summary, hourly ad costs'!X64=-9999,'Summary, hourly ad costs'!X64=0), ".", 'Predicted PPIs'!DA63*('Summary, hourly ad costs'!H64/'Summary, hourly ad costs'!X64)/('Summary, hourly ad costs'!H63/'Summary, hourly ad costs'!X63)/(1-CK63)), 'Summary, PPI''s'!X64))</f>
        <v>8.2170000000000005</v>
      </c>
      <c r="DB64" s="5">
        <f>IF(DB63=".", ".", IF('Summary, PPI''s'!Y64=".",IF(OR('Summary, hourly ad costs'!Y64=-9999,'Summary, hourly ad costs'!Y64=0), ".", 'Predicted PPIs'!DB63*('Summary, hourly ad costs'!I64/'Summary, hourly ad costs'!Y64)/('Summary, hourly ad costs'!I63/'Summary, hourly ad costs'!Y63)/(1-CL63)), 'Summary, PPI''s'!Y64))</f>
        <v>8.5785111286293372</v>
      </c>
      <c r="DC64" s="5">
        <f>IF(DC63=".", ".", IF('Summary, PPI''s'!Z64=".",IF(OR('Summary, hourly ad costs'!Z64=-9999,'Summary, hourly ad costs'!Z64=0), ".", 'Predicted PPIs'!DC63*('Summary, hourly ad costs'!J64/'Summary, hourly ad costs'!Z64)/('Summary, hourly ad costs'!J63/'Summary, hourly ad costs'!Z63)/(1-CM63)), 'Summary, PPI''s'!Z64))</f>
        <v>15.156132827080356</v>
      </c>
      <c r="DD64" s="5" t="str">
        <f>IF(DD63=".", ".", IF('Summary, PPI''s'!AA64=".",IF(OR('Summary, hourly ad costs'!AA64=-9999,'Summary, hourly ad costs'!AA64=0), ".", 'Predicted PPIs'!DD63*('Summary, hourly ad costs'!K64/'Summary, hourly ad costs'!AA64)/('Summary, hourly ad costs'!K63/'Summary, hourly ad costs'!AA63)/(1-CN63)), 'Summary, PPI''s'!AA64))</f>
        <v>.</v>
      </c>
      <c r="DE64" s="5" t="str">
        <f>IF(DE63=".", ".", IF('Summary, PPI''s'!AB64=".",IF(OR('Summary, hourly ad costs'!AB64=-9999,'Summary, hourly ad costs'!AB64=0), ".", 'Predicted PPIs'!DE63*('Summary, hourly ad costs'!L64/'Summary, hourly ad costs'!AB64)/('Summary, hourly ad costs'!L63/'Summary, hourly ad costs'!AB63)/(1-CO63)), 'Summary, PPI''s'!AB64))</f>
        <v>.</v>
      </c>
      <c r="DF64" s="5" t="str">
        <f>IF(DF63=".", ".", IF('Summary, PPI''s'!AC64=".",IF(OR('Summary, hourly ad costs'!AC64=-9999,'Summary, hourly ad costs'!AC64=0), ".", 'Predicted PPIs'!DF63*('Summary, hourly ad costs'!M64/'Summary, hourly ad costs'!AC64)/('Summary, hourly ad costs'!M63/'Summary, hourly ad costs'!AC63)/(1-CP63)), 'Summary, PPI''s'!AC64))</f>
        <v>.</v>
      </c>
      <c r="DG64" s="5" t="str">
        <f>IF(DG63=".", ".", IF('Summary, PPI''s'!AD64=".",IF(OR('Summary, hourly ad costs'!AD64=-9999,'Summary, hourly ad costs'!AD64=0), ".", 'Predicted PPIs'!DG63*('Summary, hourly ad costs'!N64/'Summary, hourly ad costs'!AD64)/('Summary, hourly ad costs'!N63/'Summary, hourly ad costs'!AD63)/(1-CQ63)), 'Summary, PPI''s'!AD64))</f>
        <v>.</v>
      </c>
      <c r="DH64" s="5" t="str">
        <f>IF(DH63=".", ".", IF('Summary, PPI''s'!AE64=".",IF(OR('Summary, hourly ad costs'!AE64=-9999,'Summary, hourly ad costs'!AE64=0), ".", 'Predicted PPIs'!DH63*('Summary, hourly ad costs'!O64/'Summary, hourly ad costs'!AE64)/('Summary, hourly ad costs'!O63/'Summary, hourly ad costs'!AE63)/(1-CR63)), 'Summary, PPI''s'!AE64))</f>
        <v>.</v>
      </c>
      <c r="DI64" s="5" t="str">
        <f>IF(DI63=".", ".", IF('Summary, PPI''s'!AF64=".",IF(OR('Summary, hourly ad costs'!AF64=-9999,'Summary, hourly ad costs'!AF64=0), ".", 'Predicted PPIs'!DI63*('Summary, hourly ad costs'!P64/'Summary, hourly ad costs'!AF64)/('Summary, hourly ad costs'!P63/'Summary, hourly ad costs'!AF63)/(1-CS63)), 'Summary, PPI''s'!AF64))</f>
        <v>.</v>
      </c>
      <c r="DK64" s="4">
        <v>6.1150000000000002</v>
      </c>
      <c r="DM64" s="5">
        <f t="shared" si="138"/>
        <v>-9.3165667861552337E-2</v>
      </c>
      <c r="DN64" s="4">
        <f t="shared" si="139"/>
        <v>-3.3518069193085621E-2</v>
      </c>
      <c r="DO64" s="4">
        <f t="shared" si="123"/>
        <v>-2.2350643107786124E-2</v>
      </c>
      <c r="DP64" s="5">
        <f t="shared" si="140"/>
        <v>1.7736095695341847E-2</v>
      </c>
      <c r="DQ64" s="5">
        <f t="shared" si="141"/>
        <v>-1.2193415851911915E-2</v>
      </c>
      <c r="DR64" s="4">
        <f t="shared" si="146"/>
        <v>-1.3786139600813728E-3</v>
      </c>
      <c r="DS64" s="5">
        <f t="shared" si="142"/>
        <v>0.12253129421359898</v>
      </c>
      <c r="DT64" s="5">
        <f t="shared" si="143"/>
        <v>-4.3857453428138848E-2</v>
      </c>
      <c r="DU64" s="5">
        <f t="shared" si="144"/>
        <v>-6.4893979950103819E-2</v>
      </c>
      <c r="DV64" s="4">
        <f t="shared" si="131"/>
        <v>-1.8192565575823921E-3</v>
      </c>
      <c r="DW64" s="4">
        <f t="shared" si="133"/>
        <v>-0.22572409026812482</v>
      </c>
      <c r="DX64" s="4">
        <f t="shared" si="133"/>
        <v>0.24290017435131778</v>
      </c>
      <c r="DY64" s="4">
        <f t="shared" si="108"/>
        <v>-1.0969121818935133E-2</v>
      </c>
      <c r="DZ64" s="4">
        <f t="shared" si="132"/>
        <v>-3.7604363782387604E-3</v>
      </c>
      <c r="EA64" s="4">
        <f t="shared" si="109"/>
        <v>-6.240056002704903E-3</v>
      </c>
      <c r="EC64" s="1">
        <f t="shared" si="93"/>
        <v>22.731305397275939</v>
      </c>
      <c r="ED64" s="1">
        <f t="shared" si="94"/>
        <v>17.841851197318483</v>
      </c>
      <c r="EE64" s="1">
        <f t="shared" si="95"/>
        <v>9.9229943970259225</v>
      </c>
      <c r="EF64" s="1">
        <f t="shared" si="96"/>
        <v>6.8156981816698519</v>
      </c>
      <c r="EG64" s="1">
        <f t="shared" si="97"/>
        <v>12.079648833514296</v>
      </c>
      <c r="EH64" s="1">
        <f t="shared" si="98"/>
        <v>7.8003019545083676</v>
      </c>
      <c r="EI64" s="1">
        <f t="shared" si="99"/>
        <v>8.2170000000000005</v>
      </c>
      <c r="EJ64" s="1">
        <f t="shared" si="100"/>
        <v>8.5785111286293372</v>
      </c>
      <c r="EK64" s="1">
        <f t="shared" si="101"/>
        <v>15.156132827080356</v>
      </c>
      <c r="EL64" s="1">
        <f t="shared" si="102"/>
        <v>4.9945055754125889</v>
      </c>
      <c r="EM64" s="1">
        <f t="shared" si="103"/>
        <v>2.2911604108233661</v>
      </c>
      <c r="EN64" s="1">
        <f t="shared" si="104"/>
        <v>4.413562024377172</v>
      </c>
      <c r="EO64" s="1">
        <f t="shared" si="105"/>
        <v>6.0374789670639206</v>
      </c>
      <c r="EP64" s="1">
        <f t="shared" si="106"/>
        <v>8.1797996811281184</v>
      </c>
      <c r="EQ64" s="1">
        <f t="shared" si="107"/>
        <v>6.2930212998422572</v>
      </c>
      <c r="ES64" s="1">
        <f>IF(EF$26=".", 0, 'Summary, PPI''s'!E64)+IF(EG$26=".", 0, 'Summary, PPI''s'!F64)+IF(EH$26=".", 0, 'Summary, PPI''s'!G64)+IF(EI$26=".", 0, 'Summary, PPI''s'!H64)+IF(EJ$26=".", 0, 'Summary, PPI''s'!I64)+IF(EK$26=".", 0, 'Summary, PPI''s'!J64)+IF(EL$26=".", 0, 'Summary, PPI''s'!K64)+IF(EM$26=".", 0, 'Summary, PPI''s'!L64)+IF(EN$26=".", 0, 'Summary, PPI''s'!M64)+IF(EC$26=".", 0, 'Summary, PPI''s'!B64)+IF(ED$26=".", 0, 'Summary, PPI''s'!C64)+IF(EE$26=".", 0, 'Summary, PPI''s'!D64)+IF(EO$26=".", 0, 'Summary, PPI''s'!N64)+IF(EP$26=".", 0, 'Summary, PPI''s'!O64)+IF(EQ$26=".", 0, 'Summary, PPI''s'!P64)</f>
        <v>11918456.057055451</v>
      </c>
      <c r="ET64" s="1">
        <f>'Summary, hourly ad costs'!E64+'Summary, hourly ad costs'!F64+'Summary, hourly ad costs'!H64+'Summary, hourly ad costs'!I64+'Summary, hourly ad costs'!J64+'Summary, hourly ad costs'!K64+'Summary, hourly ad costs'!L64+'Summary, hourly ad costs'!M64+'Summary, hourly ad costs'!B64</f>
        <v>6725079.7401660495</v>
      </c>
      <c r="EV64" s="13">
        <f>EV63*IF(EF$26=".", 1, (EF64/EF63)^(('Summary, PPI''s'!$E64+'Summary, PPI''s'!$E63)/('Predicted PPIs'!ES64+'Predicted PPIs'!ES63)))*IF(EG$26=".", 1, (EG64/EG63)^(('Summary, PPI''s'!$F64+'Summary, PPI''s'!$F63)/('Predicted PPIs'!ES64+'Predicted PPIs'!ES63)))*IF(EH$26=".", 1, (EH64/EH63)^(('Summary, PPI''s'!$G64+'Summary, PPI''s'!$G63)/('Predicted PPIs'!ES64+'Predicted PPIs'!ES63)))*IF(EI$26=".", 1, (EI64/EI63)^(('Summary, PPI''s'!$H64+'Summary, PPI''s'!$H63)/('Predicted PPIs'!ES64+'Predicted PPIs'!ES63)))*IF(EJ$26=".", 1, (EJ64/EJ63)^(('Summary, PPI''s'!$I64+'Summary, PPI''s'!$I63)/('Predicted PPIs'!ES64+'Predicted PPIs'!ES63)))*IF(EK$26=".", 1, (EK64/EK63)^(('Summary, PPI''s'!$J64+'Summary, PPI''s'!$J63)/('Predicted PPIs'!ES64+'Predicted PPIs'!ES63)))*IF(EL$26=".", 1, (EL64/EL63)^(('Summary, PPI''s'!$K64+'Summary, PPI''s'!$K63)/('Predicted PPIs'!ES64+'Predicted PPIs'!ES63)))*IF(EM$26=".", 1, (EM64/EM63)^(('Summary, PPI''s'!$L64+'Summary, PPI''s'!$L63)/('Predicted PPIs'!ES64+'Predicted PPIs'!ES63)))*IF(EN$26=".", 1, (EN64/EN63)^(('Summary, PPI''s'!$M64+'Summary, PPI''s'!$M63)/('Predicted PPIs'!ES64+'Predicted PPIs'!ES63)))*IF(EC$26=".", 1, (EC64/EC63)^(('Summary, PPI''s'!$B64+'Summary, PPI''s'!$B63)/('Predicted PPIs'!ES64+'Predicted PPIs'!ES63)))*IF(ED$26=".", 1, (ED64/ED63)^(('Summary, PPI''s'!$C64+'Summary, PPI''s'!$C63)/('Predicted PPIs'!ES64+'Predicted PPIs'!ES63)))*IF(EE$26=".", 1, (EE64/EE63)^(('Summary, PPI''s'!$D64+'Summary, PPI''s'!$D63)/('Predicted PPIs'!ES64+'Predicted PPIs'!ES63)))*IF(EO$26=".", 1, (EO64/EO63)^(('Summary, PPI''s'!$N64+'Summary, PPI''s'!$N63)/('Predicted PPIs'!ES64+'Predicted PPIs'!ES63)))*IF(EP$26=".", 1, (EP64/EP63)^(('Summary, PPI''s'!$O64+'Summary, PPI''s'!$O63)/('Predicted PPIs'!ES64+'Predicted PPIs'!ES63)))*IF(EQ$26=".", 1, (EQ64/EQ63)^(('Summary, PPI''s'!$P64+'Summary, PPI''s'!$P63)/('Predicted PPIs'!ES64+'Predicted PPIs'!ES63)))</f>
        <v>10.330997133849975</v>
      </c>
      <c r="EW64" s="13">
        <f>EW63*IF(EF$26=".", 1, (EF64/EF63)^(('Summary, PPI''s'!$E64+'Summary, PPI''s'!$E63)/('Predicted PPIs'!ET64+'Predicted PPIs'!ET63)))*IF(EG$26=".", 1, (EG64/EG63)^(('Summary, PPI''s'!$F64+'Summary, PPI''s'!$F63)/('Predicted PPIs'!ET64+'Predicted PPIs'!ET63)))*IF(EH$26=".", 1, (EH64/EH63)^(('Summary, PPI''s'!$G64+'Summary, PPI''s'!$G63)/('Predicted PPIs'!ET64+'Predicted PPIs'!ET63)))*IF(EK$26=".", 1, (EK64/EK63)^(('Summary, PPI''s'!$J64+'Summary, PPI''s'!$J63)/('Predicted PPIs'!ET64+'Predicted PPIs'!ET63)))*IF(EL$26=".", 1, (EL64/EL63)^(('Summary, PPI''s'!$K64+'Summary, PPI''s'!$K63)/('Predicted PPIs'!ET64+'Predicted PPIs'!ET63)))*IF(EM$26=".", 1, (EM64/EM63)^(('Summary, PPI''s'!$L64+'Summary, PPI''s'!$L63)/('Predicted PPIs'!ET64+'Predicted PPIs'!ET63)))*IF(EN$26=".", 1, (EN64/EN63)^(('Summary, PPI''s'!$M64+'Summary, PPI''s'!$M63)/('Predicted PPIs'!ET64+'Predicted PPIs'!ET63)))*IF(EC$26=".", 1, (EC64/EC63)^(('Summary, PPI''s'!$B64+'Summary, PPI''s'!$B63)/('Predicted PPIs'!ET64+'Predicted PPIs'!ET63)))</f>
        <v>13.67672133967268</v>
      </c>
      <c r="EY64" s="2"/>
    </row>
    <row r="65" spans="1:155" x14ac:dyDescent="0.3">
      <c r="A65" s="4">
        <v>1958</v>
      </c>
      <c r="B65" s="10">
        <f>IF(B64=".", ".", IF('Summary, PPI''s'!R65=".",IF(OR('Summary, hourly ad costs'!R65=-9999,'Summary, hourly ad costs'!R65=0), ".", 'Predicted PPIs'!B64*('Summary, hourly ad costs'!B65/'Summary, hourly ad costs'!R65)/('Summary, hourly ad costs'!B64/'Summary, hourly ad costs'!R64)), 'Summary, PPI''s'!R65))</f>
        <v>25.188356108882108</v>
      </c>
      <c r="C65" s="10" t="str">
        <f>IF(C64=".", ".", IF('Summary, PPI''s'!S65=".",IF(OR('Summary, hourly ad costs'!S65=-9999,'Summary, hourly ad costs'!S65=0), ".", 'Predicted PPIs'!C64*('Summary, hourly ad costs'!C65/'Summary, hourly ad costs'!S65)/('Summary, hourly ad costs'!C64/'Summary, hourly ad costs'!S64)), 'Summary, PPI''s'!S65))</f>
        <v>.</v>
      </c>
      <c r="D65" s="10" t="str">
        <f>IF(D64=".", ".", IF('Summary, PPI''s'!T65=".",IF(OR('Summary, hourly ad costs'!T65=-9999,'Summary, hourly ad costs'!T65=0), ".", 'Predicted PPIs'!D64*('Summary, hourly ad costs'!D65/'Summary, hourly ad costs'!T65)/('Summary, hourly ad costs'!D64/'Summary, hourly ad costs'!T64)), 'Summary, PPI''s'!T65))</f>
        <v>.</v>
      </c>
      <c r="E65" s="10">
        <f>IF(E64=".", ".", IF('Summary, PPI''s'!U65=".",IF(OR('Summary, hourly ad costs'!U65=-9999,'Summary, hourly ad costs'!U65=0), ".", 'Predicted PPIs'!E64*('Summary, hourly ad costs'!E65/'Summary, hourly ad costs'!U65)/('Summary, hourly ad costs'!E64/'Summary, hourly ad costs'!U64)), 'Summary, PPI''s'!U65))</f>
        <v>6.0755598903819701</v>
      </c>
      <c r="F65" s="10">
        <f>IF(F64=".", ".", IF('Summary, PPI''s'!V65=".",IF(OR('Summary, hourly ad costs'!V65=-9999,'Summary, hourly ad costs'!V65=0), ".", 'Predicted PPIs'!F64*('Summary, hourly ad costs'!F65/'Summary, hourly ad costs'!V65)/('Summary, hourly ad costs'!F64/'Summary, hourly ad costs'!V64)), 'Summary, PPI''s'!V65))</f>
        <v>10.884366863734044</v>
      </c>
      <c r="G65" s="10" t="str">
        <f>IF(G64=".", ".", IF('Summary, PPI''s'!W65=".",IF(OR('Summary, hourly ad costs'!W65=-9999,'Summary, hourly ad costs'!W65=0), ".", 'Predicted PPIs'!G64*('Summary, hourly ad costs'!G65/'Summary, hourly ad costs'!W65)/('Summary, hourly ad costs'!G64/'Summary, hourly ad costs'!W64)), 'Summary, PPI''s'!W65))</f>
        <v>.</v>
      </c>
      <c r="H65" s="10">
        <f>IF(H64=".", ".", IF('Summary, PPI''s'!X65=".",IF(OR('Summary, hourly ad costs'!X65=-9999,'Summary, hourly ad costs'!X65=0), ".", 'Predicted PPIs'!H64*('Summary, hourly ad costs'!H65/'Summary, hourly ad costs'!X65)/('Summary, hourly ad costs'!H64/'Summary, hourly ad costs'!X64)), 'Summary, PPI''s'!X65))</f>
        <v>7.1334538388556412</v>
      </c>
      <c r="I65" s="10">
        <f>IF(I64=".", ".", IF('Summary, PPI''s'!Y65=".",IF(OR('Summary, hourly ad costs'!Y65=-9999,'Summary, hourly ad costs'!Y65=0), ".", 'Predicted PPIs'!I64*('Summary, hourly ad costs'!I65/'Summary, hourly ad costs'!Y65)/('Summary, hourly ad costs'!I64/'Summary, hourly ad costs'!Y64)), 'Summary, PPI''s'!Y65))</f>
        <v>7.2969308287188532</v>
      </c>
      <c r="J65" s="10">
        <f>IF(J64=".", ".", IF('Summary, PPI''s'!Z65=".",IF(OR('Summary, hourly ad costs'!Z65=-9999,'Summary, hourly ad costs'!Z65=0), ".", 'Predicted PPIs'!J64*('Summary, hourly ad costs'!J65/'Summary, hourly ad costs'!Z65)/('Summary, hourly ad costs'!J64/'Summary, hourly ad costs'!Z64)), 'Summary, PPI''s'!Z65))</f>
        <v>10.757514193426145</v>
      </c>
      <c r="K65" s="10" t="str">
        <f>IF(K64=".", ".", IF('Summary, PPI''s'!AA65=".",IF(OR('Summary, hourly ad costs'!AA65=-9999,'Summary, hourly ad costs'!AA65=0), ".", 'Predicted PPIs'!K64*('Summary, hourly ad costs'!K65/'Summary, hourly ad costs'!AA65)/('Summary, hourly ad costs'!K64/'Summary, hourly ad costs'!AA64)), 'Summary, PPI''s'!AA65))</f>
        <v>.</v>
      </c>
      <c r="L65" s="10" t="str">
        <f>IF(L64=".", ".", IF('Summary, PPI''s'!AB65=".",IF(OR('Summary, hourly ad costs'!AB65=-9999,'Summary, hourly ad costs'!AB65=0), ".", 'Predicted PPIs'!L64*('Summary, hourly ad costs'!L65/'Summary, hourly ad costs'!AB65)/('Summary, hourly ad costs'!L64/'Summary, hourly ad costs'!AB64)), 'Summary, PPI''s'!AB65))</f>
        <v>.</v>
      </c>
      <c r="M65" s="10" t="str">
        <f>IF(M64=".", ".", IF('Summary, PPI''s'!AC65=".",IF(OR('Summary, hourly ad costs'!AC65=-9999,'Summary, hourly ad costs'!AC65=0), ".", 'Predicted PPIs'!M64*('Summary, hourly ad costs'!M65/'Summary, hourly ad costs'!AC65)/('Summary, hourly ad costs'!M64/'Summary, hourly ad costs'!AC64)), 'Summary, PPI''s'!AC65))</f>
        <v>.</v>
      </c>
      <c r="N65" s="10" t="str">
        <f>IF(N64=".", ".", IF('Summary, PPI''s'!AD65=".",IF(OR('Summary, hourly ad costs'!AD65=-9999,'Summary, hourly ad costs'!AD65=0), ".", 'Predicted PPIs'!N64*('Summary, hourly ad costs'!N65/'Summary, hourly ad costs'!AD65)/('Summary, hourly ad costs'!N64/'Summary, hourly ad costs'!AD64)), 'Summary, PPI''s'!AD65))</f>
        <v>.</v>
      </c>
      <c r="O65" s="10" t="str">
        <f>IF(O64=".", ".", IF('Summary, PPI''s'!AE65=".",IF(OR('Summary, hourly ad costs'!AE65=-9999,'Summary, hourly ad costs'!AE65=0), ".", 'Predicted PPIs'!O64*('Summary, hourly ad costs'!O65/'Summary, hourly ad costs'!AE65)/('Summary, hourly ad costs'!O64/'Summary, hourly ad costs'!AE64)), 'Summary, PPI''s'!AE65))</f>
        <v>.</v>
      </c>
      <c r="P65" s="10" t="str">
        <f>IF(P64=".", ".", IF('Summary, PPI''s'!AF65=".",IF(OR('Summary, hourly ad costs'!AF65=-9999,'Summary, hourly ad costs'!AF65=0), ".", 'Predicted PPIs'!P64*('Summary, hourly ad costs'!P65/'Summary, hourly ad costs'!AF65)/('Summary, hourly ad costs'!P64/'Summary, hourly ad costs'!AF64)), 'Summary, PPI''s'!AF65))</f>
        <v>.</v>
      </c>
      <c r="R65" s="1">
        <f>IF(E$26=".", 0, 'Summary, PPI''s'!E65)+IF(F$26=".", 0, 'Summary, PPI''s'!F65)+IF(G$26=".", 0, 'Summary, PPI''s'!G65)+IF(H$26=".", 0, 'Summary, PPI''s'!H65)+IF(I$26=".", 0, 'Summary, PPI''s'!I65)+IF(J$26=".", 0, 'Summary, PPI''s'!J65)+IF(K$26=".", 0, 'Summary, PPI''s'!K65)+IF(L$26=".", 0, 'Summary, PPI''s'!L65)+IF(M$26=".", 0, 'Summary, PPI''s'!M65)+IF(B$26=".", 0, 'Summary, PPI''s'!B65)+IF(C$26=".", 0, 'Summary, PPI''s'!C65)+IF(D$26=".", 0, 'Summary, PPI''s'!D65)+IF(N$26=".", 0, 'Summary, PPI''s'!N65)+IF(O$26=".", 0, 'Summary, PPI''s'!O65)+IF(P$26=".", 0, 'Summary, PPI''s'!P65)</f>
        <v>10951755.669547459</v>
      </c>
      <c r="S65" s="1">
        <f>IF(E$36=".", 0, 'Summary, PPI''s'!E65)+IF(F$36=".", 0, 'Summary, PPI''s'!F65)+IF(G$36=".", 0, 'Summary, PPI''s'!G65)+IF(H$36=".", 0, 'Summary, PPI''s'!H65)+IF(I$36=".", 0, 'Summary, PPI''s'!I65)+IF(J$36=".", 0, 'Summary, PPI''s'!J65)+IF(K$36=".", 0, 'Summary, PPI''s'!K65)+IF(L$36=".", 0, 'Summary, PPI''s'!L65)+IF(M$36=".", 0, 'Summary, PPI''s'!M65)+IF(B$36=".", 0, 'Summary, PPI''s'!B65)+IF(C$36=".", 0, 'Summary, PPI''s'!C65)+IF(D$36=".", 0, 'Summary, PPI''s'!D65)+IF(N$36=".", 0, 'Summary, PPI''s'!N65)+IF(O$36=".", 0, 'Summary, PPI''s'!O65)+IF(P$36=".", 0, 'Summary, PPI''s'!P65)</f>
        <v>10951755.669547459</v>
      </c>
      <c r="T65" s="1">
        <f>IF(E$46=".", 0, 'Summary, PPI''s'!E65)+IF(F$46=".", 0, 'Summary, PPI''s'!F65)+IF(G$46=".", 0, 'Summary, PPI''s'!G65)+IF(H$46=".", 0, 'Summary, PPI''s'!H65)+IF(I$46=".", 0, 'Summary, PPI''s'!I65)+IF(J$46=".", 0, 'Summary, PPI''s'!J65)+IF(K$46=".", 0, 'Summary, PPI''s'!K65)+IF(L$46=".", 0, 'Summary, PPI''s'!L65)+IF(M$46=".", 0, 'Summary, PPI''s'!M65)+IF(B$46=".", 0, 'Summary, PPI''s'!B65)+IF(C$46=".", 0, 'Summary, PPI''s'!C65)+IF(D$46=".", 0, 'Summary, PPI''s'!D65)+IF(N$46=".", 0, 'Summary, PPI''s'!N65)+IF(O$46=".", 0, 'Summary, PPI''s'!O65)+IF(P$46=".", 0, 'Summary, PPI''s'!P65)</f>
        <v>7823821.7902117055</v>
      </c>
      <c r="U65" s="1">
        <f>IF(E$60=".", 0, 'Summary, PPI''s'!E65)+IF(F$60=".", 0, 'Summary, PPI''s'!F65)+IF(G$60=".", 0, 'Summary, PPI''s'!G65)+IF(H$60=".", 0, 'Summary, PPI''s'!H65)+IF(I$60=".", 0, 'Summary, PPI''s'!I65)+IF(J$60=".", 0, 'Summary, PPI''s'!J65)+IF(K$60=".", 0, 'Summary, PPI''s'!K65)+IF(L$60=".", 0, 'Summary, PPI''s'!L65)+IF(M$60=".", 0, 'Summary, PPI''s'!M65)+IF(B$60=".", 0, 'Summary, PPI''s'!B65)+IF(C$60=".", 0, 'Summary, PPI''s'!C65)+IF(D$60=".", 0, 'Summary, PPI''s'!D65)+IF(N$60=".", 0, 'Summary, PPI''s'!N65)+IF(O$60=".", 0, 'Summary, PPI''s'!O65)+IF(P$60=".", 0, 'Summary, PPI''s'!P65)</f>
        <v>7134945.2149206409</v>
      </c>
      <c r="V65" s="1">
        <f>IF(E$73=".", 0, 'Summary, PPI''s'!E65)+IF(F$73=".", 0, 'Summary, PPI''s'!F65)+IF(G$73=".", 0, 'Summary, PPI''s'!G65)+IF(H$73=".", 0, 'Summary, PPI''s'!H65)+IF(I$73=".", 0, 'Summary, PPI''s'!I65)+IF(J$73=".", 0, 'Summary, PPI''s'!J65)+IF(K$73=".", 0, 'Summary, PPI''s'!K65)+IF(L$73=".", 0, 'Summary, PPI''s'!L65)+IF(M$73=".", 0, 'Summary, PPI''s'!M65)+IF(B$73=".", 0, 'Summary, PPI''s'!B65)+IF(C$73=".", 0, 'Summary, PPI''s'!C65)+IF(D$73=".", 0, 'Summary, PPI''s'!D65)+IF(N$73=".", 0, 'Summary, PPI''s'!N65)+IF(O$73=".", 0, 'Summary, PPI''s'!O65)+IF(P$73=".", 0, 'Summary, PPI''s'!P65)</f>
        <v>6150623.1870114496</v>
      </c>
      <c r="W65" s="1">
        <f>IF(E$94=".",0,'Summary, PPI''s'!E65)+IF(F$94=".",0,'Summary, PPI''s'!F65)+IF(G$94=".",0,'Summary, PPI''s'!G65)+IF(H$94=".",0,'Summary, PPI''s'!H65)+IF(I$94=".",0,'Summary, PPI''s'!I65)+IF(J$94=".",0,'Summary, PPI''s'!J65)+IF(K$94=".",0,'Summary, PPI''s'!K65)+IF(L$94=".",0,'Summary, PPI''s'!L65)+IF(M$94=".",0,'Summary, PPI''s'!M65)+IF(B$94=".",0,'Summary, PPI''s'!B65)+IF(C$94=".",0,'Summary, PPI''s'!C65)+IF(D$94=".",0,'Summary, PPI''s'!D65)+IF(N$94=".",0,'Summary, PPI''s'!N65)+IF(O$94=".",0,'Summary, PPI''s'!O65)+IF(P$94=".",0,'Summary, PPI''s'!P65)</f>
        <v>5112029.8818773814</v>
      </c>
      <c r="X65" s="1">
        <f>IF(E$123=".", 0, 'Summary, PPI''s'!E65)+IF(F$123=".", 0, 'Summary, PPI''s'!F65)+IF(G$123=".", 0, 'Summary, PPI''s'!G65)+IF(H$123=".", 0, 'Summary, PPI''s'!H65)+IF(I$123=".", 0, 'Summary, PPI''s'!I65)+IF(J$123=".", 0, 'Summary, PPI''s'!J65)+IF(K$123=".", 0, 'Summary, PPI''s'!K65)+IF(L$123=".", 0, 'Summary, PPI''s'!L65)+IF(M$123=".", 0, 'Summary, PPI''s'!M65)+IF(B$123=".", 0, 'Summary, PPI''s'!B65)+IF(C$123=".", 0, 'Summary, PPI''s'!C65)+IF(D$123=".", 0, 'Summary, PPI''s'!D65)+IF(N$123=".", 0, 'Summary, PPI''s'!N65)+IF(O$123=".", 0, 'Summary, PPI''s'!O65)+IF(P$123=".", 0, 'Summary, PPI''s'!P65)</f>
        <v>4617484.1034889044</v>
      </c>
      <c r="Z65" s="4" t="e">
        <f>Z64*IF(E$26=".", 1, (E65/E64)^(('Summary, PPI''s'!$E65+'Summary, PPI''s'!$E64)/('Predicted PPIs'!R65+'Predicted PPIs'!R64)))*IF(F$26=".", 1, (F65/F64)^(('Summary, PPI''s'!$F65+'Summary, PPI''s'!$F64)/('Predicted PPIs'!R65+'Predicted PPIs'!R64)))*IF(G$26=".", 1, (G65/G64)^(('Summary, PPI''s'!$G65+'Summary, PPI''s'!$G64)/('Predicted PPIs'!R65+'Predicted PPIs'!R64)))*IF(H$26=".", 1, (H65/H64)^(('Summary, PPI''s'!$H65+'Summary, PPI''s'!$H64)/('Predicted PPIs'!R65+'Predicted PPIs'!R64)))*IF(I$26=".", 1, (I65/I64)^(('Summary, PPI''s'!$I65+'Summary, PPI''s'!$I64)/('Predicted PPIs'!R65+'Predicted PPIs'!R64)))*IF(J$26=".", 1, (J65/J64)^(('Summary, PPI''s'!$J65+'Summary, PPI''s'!$J64)/('Predicted PPIs'!R65+'Predicted PPIs'!R64)))*IF(K$26=".", 1, (K65/K64)^(('Summary, PPI''s'!$K65+'Summary, PPI''s'!$K64)/('Predicted PPIs'!R65+'Predicted PPIs'!R64)))*IF(L$26=".", 1, (L65/L64)^(('Summary, PPI''s'!$L65+'Summary, PPI''s'!$L64)/('Predicted PPIs'!R65+'Predicted PPIs'!R64)))*IF(M$26=".", 1, (M65/M64)^(('Summary, PPI''s'!$M65+'Summary, PPI''s'!$M64)/('Predicted PPIs'!R65+'Predicted PPIs'!R64)))*IF(B$26=".", 1, (B65/B64)^(('Summary, PPI''s'!$B65+'Summary, PPI''s'!$B64)/('Predicted PPIs'!R65+'Predicted PPIs'!R64)))*IF(C$26=".", 1, (C65/C64)^(('Summary, PPI''s'!$C65+'Summary, PPI''s'!$C64)/('Predicted PPIs'!R65+'Predicted PPIs'!R64)))*IF(D$26=".", 1, (D65/D64)^(('Summary, PPI''s'!$D65+'Summary, PPI''s'!$D64)/('Predicted PPIs'!R65+'Predicted PPIs'!R64)))*IF(N$26=".", 1, (N65/N64)^(('Summary, PPI''s'!$N65+'Summary, PPI''s'!$N64)/('Predicted PPIs'!R65+'Predicted PPIs'!R64)))*IF(O$26=".", 1, (O65/O64)^(('Summary, PPI''s'!$O65+'Summary, PPI''s'!$O64)/('Predicted PPIs'!R65+'Predicted PPIs'!R64)))*IF(P$26=".", 1, (P65/P64)^(('Summary, PPI''s'!$P65+'Summary, PPI''s'!$P64)/('Predicted PPIs'!R65+'Predicted PPIs'!R64)))</f>
        <v>#VALUE!</v>
      </c>
      <c r="AA65" s="4" t="e">
        <f>AA64*IF(E$36=".", 1, (E65/E64)^(('Summary, PPI''s'!$E65+'Summary, PPI''s'!$E64)/('Predicted PPIs'!S65+'Predicted PPIs'!S64)))*IF(F$36=".", 1, (F65/F64)^(('Summary, PPI''s'!$F65+'Summary, PPI''s'!$F64)/('Predicted PPIs'!S65+'Predicted PPIs'!S64)))*IF(G$36=".", 1, (G65/G64)^(('Summary, PPI''s'!$G65+'Summary, PPI''s'!$G64)/('Predicted PPIs'!S65+'Predicted PPIs'!S64)))*IF(H$36=".", 1, (H65/H64)^(('Summary, PPI''s'!$H65+'Summary, PPI''s'!$H64)/('Predicted PPIs'!S65+'Predicted PPIs'!S64)))*IF(I$36=".", 1, (I65/I64)^(('Summary, PPI''s'!$I65+'Summary, PPI''s'!$I64)/('Predicted PPIs'!S65+'Predicted PPIs'!S64)))*IF(J$36=".", 1, (J65/J64)^(('Summary, PPI''s'!$J65+'Summary, PPI''s'!$J64)/('Predicted PPIs'!S65+'Predicted PPIs'!S64)))*IF(K$36=".", 1, (K65/K64)^(('Summary, PPI''s'!$K65+'Summary, PPI''s'!$K64)/('Predicted PPIs'!S65+'Predicted PPIs'!S64)))*IF(L$36=".", 1, (L65/L64)^(('Summary, PPI''s'!$L65+'Summary, PPI''s'!$L64)/('Predicted PPIs'!S65+'Predicted PPIs'!S64)))*IF(M$36=".", 1, (M65/M64)^(('Summary, PPI''s'!$M65+'Summary, PPI''s'!$M64)/('Predicted PPIs'!S65+'Predicted PPIs'!S64)))*IF(B$36=".", 1, (B65/B64)^(('Summary, PPI''s'!$B65+'Summary, PPI''s'!$B64)/('Predicted PPIs'!S65+'Predicted PPIs'!S64)))*IF(C$36=".", 1, (C65/C64)^(('Summary, PPI''s'!$C65+'Summary, PPI''s'!$C64)/('Predicted PPIs'!S65+'Predicted PPIs'!S64)))*IF(D$36=".", 1, (D65/D64)^(('Summary, PPI''s'!$D65+'Summary, PPI''s'!$D64)/('Predicted PPIs'!S65+'Predicted PPIs'!S64)))*IF(N$36=".", 1, (N65/N64)^(('Summary, PPI''s'!$N65+'Summary, PPI''s'!$N64)/('Predicted PPIs'!S65+'Predicted PPIs'!S64)))*IF(O$36=".", 1, (O65/O64)^(('Summary, PPI''s'!$O65+'Summary, PPI''s'!$O64)/('Predicted PPIs'!S65+'Predicted PPIs'!S64)))*IF(P$36=".", 1, (P65/P64)^(('Summary, PPI''s'!$P65+'Summary, PPI''s'!$P64)/('Predicted PPIs'!S65+'Predicted PPIs'!S64)))</f>
        <v>#VALUE!</v>
      </c>
      <c r="AB65" s="4" t="e">
        <f>AB64*IF(E$46=".", 1, (E65/E64)^(('Summary, PPI''s'!$E65+'Summary, PPI''s'!$E64)/('Predicted PPIs'!T65+'Predicted PPIs'!T64)))*IF(F$46=".", 1, (F65/F64)^(('Summary, PPI''s'!$F65+'Summary, PPI''s'!$F64)/('Predicted PPIs'!T65+'Predicted PPIs'!T64)))*IF(G$46=".", 1, (G65/G64)^(('Summary, PPI''s'!$G65+'Summary, PPI''s'!$G64)/('Predicted PPIs'!T65+'Predicted PPIs'!T64)))*IF(H$46=".", 1, (H65/H64)^(('Summary, PPI''s'!$H65+'Summary, PPI''s'!$H64)/('Predicted PPIs'!T65+'Predicted PPIs'!T64)))*IF(I$46=".", 1, (I65/I64)^(('Summary, PPI''s'!$I65+'Summary, PPI''s'!$I64)/('Predicted PPIs'!T65+'Predicted PPIs'!T64)))*IF(J$46=".", 1, (J65/J64)^(('Summary, PPI''s'!$J65+'Summary, PPI''s'!$J64)/('Predicted PPIs'!T65+'Predicted PPIs'!T64)))*IF(K$46=".", 1, (K65/K64)^(('Summary, PPI''s'!$K65+'Summary, PPI''s'!$K64)/('Predicted PPIs'!T65+'Predicted PPIs'!T64)))*IF(L$46=".", 1, (L65/L64)^(('Summary, PPI''s'!$L65+'Summary, PPI''s'!$L64)/('Predicted PPIs'!T65+'Predicted PPIs'!T64)))*IF(M$46=".", 1, (M65/M64)^(('Summary, PPI''s'!$M65+'Summary, PPI''s'!$M64)/('Predicted PPIs'!T65+'Predicted PPIs'!T64)))*IF(B$46=".", 1, (B65/B64)^(('Summary, PPI''s'!$B65+'Summary, PPI''s'!$B64)/('Predicted PPIs'!T65+'Predicted PPIs'!T64)))*IF(C$46=".", 1, (C65/C64)^(('Summary, PPI''s'!$C65+'Summary, PPI''s'!$C64)/('Predicted PPIs'!T65+'Predicted PPIs'!T64)))*IF(D$46=".", 1, (D65/D64)^(('Summary, PPI''s'!$D65+'Summary, PPI''s'!$D64)/('Predicted PPIs'!T65+'Predicted PPIs'!T64)))*IF(N$46=".", 1, (N65/N64)^(('Summary, PPI''s'!$N65+'Summary, PPI''s'!$N64)/('Predicted PPIs'!T65+'Predicted PPIs'!T64)))*IF(O$46=".", 1, (O65/O64)^(('Summary, PPI''s'!$O65+'Summary, PPI''s'!$O64)/('Predicted PPIs'!T65+'Predicted PPIs'!T64)))*IF(P$46=".", 1, (P65/P64)^(('Summary, PPI''s'!$P65+'Summary, PPI''s'!$P64)/('Predicted PPIs'!T65+'Predicted PPIs'!T64)))</f>
        <v>#VALUE!</v>
      </c>
      <c r="AC65" s="4" t="e">
        <f>AC64*IF(E$60=".",1,(E65/E64)^(('Summary, PPI''s'!$E65+'Summary, PPI''s'!$E64)/('Predicted PPIs'!U65+'Predicted PPIs'!U64)))*IF(F$60=".",1,(F65/F64)^(('Summary, PPI''s'!$F65+'Summary, PPI''s'!$F64)/('Predicted PPIs'!U65+'Predicted PPIs'!U64)))*IF(G$60=".",1,(G65/G64)^(('Summary, PPI''s'!$G65+'Summary, PPI''s'!$G64)/('Predicted PPIs'!U65+'Predicted PPIs'!U64)))*IF(H$60=".",1,(H65/H64)^(('Summary, PPI''s'!$H65+'Summary, PPI''s'!$H64)/('Predicted PPIs'!U65+'Predicted PPIs'!U64)))*IF(I$60=".",1,(I65/I64)^(('Summary, PPI''s'!$I65+'Summary, PPI''s'!$I64)/('Predicted PPIs'!U65+'Predicted PPIs'!U64)))*IF(J$60=".",1,(J65/J64)^(('Summary, PPI''s'!$J65+'Summary, PPI''s'!$J64)/('Predicted PPIs'!U65+'Predicted PPIs'!U64)))*IF(K$60=".",1,(K65/K64)^(('Summary, PPI''s'!$K65+'Summary, PPI''s'!$K64)/('Predicted PPIs'!U65+'Predicted PPIs'!U64)))*IF(L$60=".",1,(L65/L64)^(('Summary, PPI''s'!$L65+'Summary, PPI''s'!$L64)/('Predicted PPIs'!U65+'Predicted PPIs'!U64)))*IF(M$60=".",1,(M65/M64)^(('Summary, PPI''s'!$M65+'Summary, PPI''s'!$M64)/('Predicted PPIs'!U65+'Predicted PPIs'!U64)))*IF(B$60=".",1,(B65/B64)^(('Summary, PPI''s'!$B65+'Summary, PPI''s'!$B64)/('Predicted PPIs'!U65+'Predicted PPIs'!U64)))*IF(C$60=".",1,(C65/C64)^(('Summary, PPI''s'!$C65+'Summary, PPI''s'!$C64)/('Predicted PPIs'!U65+'Predicted PPIs'!U64)))*IF(D$60=".",1,(D65/D64)^(('Summary, PPI''s'!$D65+'Summary, PPI''s'!$D64)/('Predicted PPIs'!U65+'Predicted PPIs'!U64)))*IF(N$60=".",1,(N65/N64)^(('Summary, PPI''s'!$N65+'Summary, PPI''s'!$N64)/('Predicted PPIs'!U65+'Predicted PPIs'!U64)))*IF(O$60=".",1,(O65/O64)^(('Summary, PPI''s'!$O65+'Summary, PPI''s'!$O64)/('Predicted PPIs'!U65+'Predicted PPIs'!U64)))*IF(P$60=".",1,(P65/P64)^(('Summary, PPI''s'!$P65+'Summary, PPI''s'!$P64)/('Predicted PPIs'!U65+'Predicted PPIs'!U64)))</f>
        <v>#VALUE!</v>
      </c>
      <c r="AD65" s="4">
        <f>AD64*IF(E$73=".", 1, (E65/E64)^(('Summary, PPI''s'!$E65+'Summary, PPI''s'!$E64)/('Predicted PPIs'!V65+'Predicted PPIs'!V64)))*IF(F$73=".", 1, (F65/F64)^(('Summary, PPI''s'!$F65+'Summary, PPI''s'!$F64)/('Predicted PPIs'!V65+'Predicted PPIs'!V64)))*IF(G$73=".", 1, (G65/G64)^(('Summary, PPI''s'!$G65+'Summary, PPI''s'!$G64)/('Predicted PPIs'!V65+'Predicted PPIs'!V64)))*IF(H$73=".", 1, (H65/H64)^(('Summary, PPI''s'!$H65+'Summary, PPI''s'!$H64)/('Predicted PPIs'!V65+'Predicted PPIs'!V64)))*IF(I$73=".", 1, (I65/I64)^(('Summary, PPI''s'!$I65+'Summary, PPI''s'!$I64)/('Predicted PPIs'!V65+'Predicted PPIs'!V64)))*IF(J$73=".", 1, (J65/J64)^(('Summary, PPI''s'!$J65+'Summary, PPI''s'!$J64)/('Predicted PPIs'!V65+'Predicted PPIs'!V64)))*IF(K$73=".", 1, (K65/K64)^(('Summary, PPI''s'!$K65+'Summary, PPI''s'!$K64)/('Predicted PPIs'!V65+'Predicted PPIs'!V64)))*IF(L$73=".", 1, (L65/L64)^(('Summary, PPI''s'!$L65+'Summary, PPI''s'!$L64)/('Predicted PPIs'!V65+'Predicted PPIs'!V64)))*IF(M$73=".", 1, (M65/M64)^(('Summary, PPI''s'!$M65+'Summary, PPI''s'!$M64)/('Predicted PPIs'!V65+'Predicted PPIs'!V64)))*IF(B$73=".", 1, (B65/B64)^(('Summary, PPI''s'!$B65+'Summary, PPI''s'!$B64)/('Predicted PPIs'!V65+'Predicted PPIs'!V64)))*IF(C$73=".", 1, (C65/C64)^(('Summary, PPI''s'!$C65+'Summary, PPI''s'!$C64)/('Predicted PPIs'!V65+'Predicted PPIs'!V64)))*IF(D$73=".", 1, (D65/D64)^(('Summary, PPI''s'!$D65+'Summary, PPI''s'!$D64)/('Predicted PPIs'!V65+'Predicted PPIs'!V64)))*IF(N$73=".", 1, (N65/N64)^(('Summary, PPI''s'!$N65+'Summary, PPI''s'!$N64)/('Predicted PPIs'!V65+'Predicted PPIs'!V64)))*IF(O$73=".", 1, (O65/O64)^(('Summary, PPI''s'!$O65+'Summary, PPI''s'!$O64)/('Predicted PPIs'!V65+'Predicted PPIs'!V64)))*IF(P$73=".", 1, (P65/P64)^(('Summary, PPI''s'!$P65+'Summary, PPI''s'!$P64)/('Predicted PPIs'!V65+'Predicted PPIs'!V64)))</f>
        <v>9.5211857385395344</v>
      </c>
      <c r="AE65" s="4">
        <f>AE64*IF(E$94=".", 1, (E65/E64)^(('Summary, PPI''s'!$E65+'Summary, PPI''s'!$E64)/('Predicted PPIs'!W65+'Predicted PPIs'!W64)))*IF(F$94=".", 1, (F65/F64)^(('Summary, PPI''s'!$F65+'Summary, PPI''s'!$F64)/('Predicted PPIs'!W65+'Predicted PPIs'!W64)))*IF(G$94=".", 1, (G65/G64)^(('Summary, PPI''s'!$G65+'Summary, PPI''s'!$G64)/('Predicted PPIs'!W65+'Predicted PPIs'!W64)))*IF(H$94=".", 1, (H65/H64)^(('Summary, PPI''s'!$H65+'Summary, PPI''s'!$H64)/('Predicted PPIs'!W65+'Predicted PPIs'!W64)))*IF(I$94=".", 1, (I65/I64)^(('Summary, PPI''s'!$I65+'Summary, PPI''s'!$I64)/('Predicted PPIs'!W65+'Predicted PPIs'!W64)))*IF(J$94=".", 1, (J65/J64)^(('Summary, PPI''s'!$J65+'Summary, PPI''s'!$J64)/('Predicted PPIs'!W65+'Predicted PPIs'!W64)))*IF(K$94=".", 1, (K65/K64)^(('Summary, PPI''s'!$K65+'Summary, PPI''s'!$K64)/('Predicted PPIs'!W65+'Predicted PPIs'!W64)))*IF(L$94=".", 1, (L65/L64)^(('Summary, PPI''s'!$L65+'Summary, PPI''s'!$L64)/('Predicted PPIs'!W65+'Predicted PPIs'!W64)))*IF(M$94=".", 1, (M65/M64)^(('Summary, PPI''s'!$M65+'Summary, PPI''s'!$M64)/('Predicted PPIs'!W65+'Predicted PPIs'!W64)))*IF(B$94=".", 1, (B65/B64)^(('Summary, PPI''s'!$B65+'Summary, PPI''s'!$B64)/('Predicted PPIs'!W65+'Predicted PPIs'!W64)))*IF(C$94=".", 1, (C65/C64)^(('Summary, PPI''s'!$C65+'Summary, PPI''s'!$C64)/('Predicted PPIs'!W65+'Predicted PPIs'!W64)))*IF(D$94=".", 1, (D65/D64)^(('Summary, PPI''s'!$D65+'Summary, PPI''s'!$D64)/('Predicted PPIs'!W65+'Predicted PPIs'!W64)))*IF(N$94=".", 1, (N65/N64)^(('Summary, PPI''s'!$N65+'Summary, PPI''s'!$N64)/('Predicted PPIs'!W65+'Predicted PPIs'!W64)))*IF(O$94=".", 1, (O65/O64)^(('Summary, PPI''s'!$O65+'Summary, PPI''s'!$O64)/('Predicted PPIs'!W65+'Predicted PPIs'!W64)))*IF(P$94=".", 1, (P65/P64)^(('Summary, PPI''s'!$P65+'Summary, PPI''s'!$P64)/('Predicted PPIs'!W65+'Predicted PPIs'!W64)))</f>
        <v>8.6957434424037245</v>
      </c>
      <c r="AF65" s="4">
        <f>AF64*IF(E$123=".", 1, (E65/E64)^(('Summary, PPI''s'!$E65+'Summary, PPI''s'!$E64)/('Predicted PPIs'!X65+'Predicted PPIs'!X64)))*IF(F$123=".", 1, (F65/F64)^(('Summary, PPI''s'!$F65+'Summary, PPI''s'!$F64)/('Predicted PPIs'!X65+'Predicted PPIs'!X64)))*IF(G$123=".", 1, (G65/G64)^(('Summary, PPI''s'!$G65+'Summary, PPI''s'!$G64)/('Predicted PPIs'!X65+'Predicted PPIs'!X64)))*IF(H$123=".", 1, (H65/H64)^(('Summary, PPI''s'!$H65+'Summary, PPI''s'!$H64)/('Predicted PPIs'!X65+'Predicted PPIs'!X64)))*IF(I$123=".", 1, (I65/I64)^(('Summary, PPI''s'!$I65+'Summary, PPI''s'!$I64)/('Predicted PPIs'!X65+'Predicted PPIs'!X64)))*IF(J$123=".", 1, (J65/J64)^(('Summary, PPI''s'!$J65+'Summary, PPI''s'!$J64)/('Predicted PPIs'!X65+'Predicted PPIs'!X64)))*IF(K$123=".", 1, (K65/K64)^(('Summary, PPI''s'!$K65+'Summary, PPI''s'!$K64)/('Predicted PPIs'!X65+'Predicted PPIs'!X64)))*IF(L$123=".", 1, (L65/L64)^(('Summary, PPI''s'!$L65+'Summary, PPI''s'!$L64)/('Predicted PPIs'!X65+'Predicted PPIs'!X64)))*IF(M$123=".", 1, (M65/M64)^(('Summary, PPI''s'!$M65+'Summary, PPI''s'!$M64)/('Predicted PPIs'!X65+'Predicted PPIs'!X64)))*IF(B$123=".", 1, (B65/B64)^(('Summary, PPI''s'!$B65+'Summary, PPI''s'!$B64)/('Predicted PPIs'!X65+'Predicted PPIs'!X64)))*IF(C$123=".", 1, (C65/C64)^(('Summary, PPI''s'!$C65+'Summary, PPI''s'!$C64)/('Predicted PPIs'!X65+'Predicted PPIs'!X64)))*IF(D$123=".", 1, (D65/D64)^(('Summary, PPI''s'!$D65+'Summary, PPI''s'!$D64)/('Predicted PPIs'!X65+'Predicted PPIs'!X64)))*IF(N$123=".", 1, (N65/N64)^(('Summary, PPI''s'!$N65+'Summary, PPI''s'!$N64)/('Predicted PPIs'!X65+'Predicted PPIs'!X64)))*IF(O$123=".", 1, (O65/O64)^(('Summary, PPI''s'!$O65+'Summary, PPI''s'!$O64)/('Predicted PPIs'!X65+'Predicted PPIs'!X64)))*IF(P$123=".", 1, (P65/P64)^(('Summary, PPI''s'!$P65+'Summary, PPI''s'!$P64)/('Predicted PPIs'!X65+'Predicted PPIs'!X64)))</f>
        <v>8.4327979119356637</v>
      </c>
      <c r="AH65" s="13">
        <f t="shared" si="91"/>
        <v>11.036027429188429</v>
      </c>
      <c r="AJ65" s="4">
        <v>295.60000000000002</v>
      </c>
      <c r="AK65" s="4">
        <v>-1.5049999999999999</v>
      </c>
      <c r="AL65" s="4">
        <v>-26.952999999999999</v>
      </c>
      <c r="AM65" s="4">
        <v>-1.861</v>
      </c>
      <c r="AN65" s="4">
        <v>390.7</v>
      </c>
      <c r="AO65" s="4">
        <v>71.5</v>
      </c>
      <c r="AP65" s="4">
        <f>('[4]1958'!$I$14+'[4]1958'!$I$51+'[4]1958'!$I$53-'[4]1958'!$I$55)*0.001</f>
        <v>-7.5750000000000002</v>
      </c>
      <c r="AQ65" s="4">
        <f>('[4]1958'!$AK$42+'[4]1958'!$AK$51+'[4]1958'!$AK$53-'[4]1958'!$AK$55)*0.001</f>
        <v>-15.209</v>
      </c>
      <c r="AR65" s="4">
        <f t="shared" ref="AR65:AR96" si="148">AR64*AO65/AO63</f>
        <v>-5.6921089857674759E-3</v>
      </c>
      <c r="AS65" s="4">
        <v>-1.994</v>
      </c>
      <c r="AT65" s="4">
        <v>15.938000000000001</v>
      </c>
      <c r="AU65" s="4">
        <v>24.055</v>
      </c>
      <c r="AV65" s="4">
        <v>13.956</v>
      </c>
      <c r="AW65" s="4">
        <v>11.705</v>
      </c>
      <c r="AX65" s="4">
        <v>16.001999999999999</v>
      </c>
      <c r="AY65" s="4">
        <v>23.177</v>
      </c>
      <c r="AZ65" s="4">
        <v>8.7769999999999992</v>
      </c>
      <c r="BA65" s="4">
        <v>18.95</v>
      </c>
      <c r="BB65" s="4">
        <f>BB64*BA65/BA64</f>
        <v>108.38932880499601</v>
      </c>
      <c r="BC65" s="4">
        <v>16.745999999999999</v>
      </c>
      <c r="BG65" s="4">
        <f t="shared" si="50"/>
        <v>17.938873388027847</v>
      </c>
      <c r="BI65" s="4">
        <f>BI$13*'[2]Ordinary Experience'!$D$361/'[2]Ordinary Experience'!$D$413</f>
        <v>173342151.35482621</v>
      </c>
      <c r="BJ65" s="4">
        <f>'[2]Ordinary Experience'!$E$361</f>
        <v>30.210559411940192</v>
      </c>
      <c r="BL65" s="4">
        <f t="shared" si="90"/>
        <v>37.414245664028869</v>
      </c>
      <c r="BM65" s="4">
        <f t="shared" si="34"/>
        <v>-6.9820596627061526E-3</v>
      </c>
      <c r="BO65" s="4" t="str">
        <f>IF(OR('Summary, hourly ad costs'!R65=-9999,'Summary, PPI''s'!R65="."),".",(('Summary, hourly ad costs'!B65/'Summary, hourly ad costs'!R65)*100/('Summary, hourly ad costs'!B$11/'Summary, hourly ad costs'!R$11))/('Summary, PPI''s'!R65))</f>
        <v>.</v>
      </c>
      <c r="BP65" s="4" t="str">
        <f>IF(OR('Summary, hourly ad costs'!S65=-9999,'Summary, PPI''s'!S65="."),".",(('Summary, hourly ad costs'!C65/'Summary, hourly ad costs'!S65)*100/('Summary, hourly ad costs'!C$11/'Summary, hourly ad costs'!S$11))/('Summary, PPI''s'!S65))</f>
        <v>.</v>
      </c>
      <c r="BQ65" s="4" t="str">
        <f>IF(OR('Summary, hourly ad costs'!T65=-9999,'Summary, PPI''s'!T65="."),".",(('Summary, hourly ad costs'!D65/'Summary, hourly ad costs'!T65)*100/('Summary, hourly ad costs'!D$11/'Summary, hourly ad costs'!T$11))/('Summary, PPI''s'!T65))</f>
        <v>.</v>
      </c>
      <c r="BR65" s="4" t="str">
        <f>IF(OR('Summary, hourly ad costs'!U65=-9999,'Summary, PPI''s'!U65="."),".",(('Summary, hourly ad costs'!E65/'Summary, hourly ad costs'!U65)*100/('Summary, hourly ad costs'!E$11/'Summary, hourly ad costs'!U$11))/('Summary, PPI''s'!U65))</f>
        <v>.</v>
      </c>
      <c r="BS65" s="4" t="str">
        <f>IF(OR('Summary, hourly ad costs'!V65=-9999,'Summary, PPI''s'!V65="."),".",(('Summary, hourly ad costs'!F65/'Summary, hourly ad costs'!V65)*100/('Summary, hourly ad costs'!F$11/'Summary, hourly ad costs'!V$11))/('Summary, PPI''s'!V65))</f>
        <v>.</v>
      </c>
      <c r="BT65" s="4" t="str">
        <f>IF(OR('Summary, hourly ad costs'!W65=-9999,'Summary, PPI''s'!W65="."),".",(('Summary, hourly ad costs'!G65/'Summary, hourly ad costs'!W65)*100/('Summary, hourly ad costs'!G$11/'Summary, hourly ad costs'!W$11))/('Summary, PPI''s'!W65))</f>
        <v>.</v>
      </c>
      <c r="BU65" s="4" t="str">
        <f>IF(OR('Summary, hourly ad costs'!X65=-9999,'Summary, PPI''s'!X65="."),".",(('Summary, hourly ad costs'!H65/'Summary, hourly ad costs'!X65)*100/('Summary, hourly ad costs'!H$11/'Summary, hourly ad costs'!X$11))/('Summary, PPI''s'!X65))</f>
        <v>.</v>
      </c>
      <c r="BV65" s="4" t="str">
        <f>IF(OR('Summary, hourly ad costs'!Y65=-9999,'Summary, PPI''s'!Y65="."),".",(('Summary, hourly ad costs'!I65/'Summary, hourly ad costs'!Y65)*100/('Summary, hourly ad costs'!I$11/'Summary, hourly ad costs'!Y$11))/('Summary, PPI''s'!Y65))</f>
        <v>.</v>
      </c>
      <c r="BW65" s="4" t="str">
        <f>IF(OR('Summary, hourly ad costs'!Z65=-9999,'Summary, PPI''s'!Z65="."),".",(('Summary, hourly ad costs'!J65/'Summary, hourly ad costs'!Z65)*100/('Summary, hourly ad costs'!J$11/'Summary, hourly ad costs'!Z$11))/('Summary, PPI''s'!Z65))</f>
        <v>.</v>
      </c>
      <c r="BX65" s="4" t="str">
        <f>IF(OR('Summary, hourly ad costs'!AA65=-9999,'Summary, PPI''s'!AA65="."),".",(('Summary, hourly ad costs'!K65/'Summary, hourly ad costs'!AA65)*100/('Summary, hourly ad costs'!K$11/'Summary, hourly ad costs'!AA$11))/('Summary, PPI''s'!AA65))</f>
        <v>.</v>
      </c>
      <c r="BY65" s="4" t="str">
        <f>IF(OR('Summary, hourly ad costs'!AB65=-9999,'Summary, PPI''s'!AB65="."),".",(('Summary, hourly ad costs'!L65/'Summary, hourly ad costs'!AB65)*100/('Summary, hourly ad costs'!L$11/'Summary, hourly ad costs'!AB$11))/('Summary, PPI''s'!AB65))</f>
        <v>.</v>
      </c>
      <c r="BZ65" s="4" t="str">
        <f>IF(OR('Summary, hourly ad costs'!AC65=-9999,'Summary, PPI''s'!AC65="."),".",(('Summary, hourly ad costs'!M65/'Summary, hourly ad costs'!AC65)*100/('Summary, hourly ad costs'!M$11/'Summary, hourly ad costs'!AC$11))/('Summary, PPI''s'!AC65))</f>
        <v>.</v>
      </c>
      <c r="CA65" s="4" t="str">
        <f>IF(OR('Summary, hourly ad costs'!AD65=-9999,'Summary, PPI''s'!AD65="."),".",(('Summary, hourly ad costs'!N65/'Summary, hourly ad costs'!AD65)*100/('Summary, hourly ad costs'!N$11/'Summary, hourly ad costs'!AD$11))/('Summary, PPI''s'!AD65))</f>
        <v>.</v>
      </c>
      <c r="CB65" s="4" t="str">
        <f>IF(OR('Summary, hourly ad costs'!AE65=-9999,'Summary, PPI''s'!AE65="."),".",(('Summary, hourly ad costs'!O65/'Summary, hourly ad costs'!AE65)*100/('Summary, hourly ad costs'!O$11/'Summary, hourly ad costs'!AE$11))/('Summary, PPI''s'!AE65))</f>
        <v>.</v>
      </c>
      <c r="CC65" s="4" t="str">
        <f>IF(OR('Summary, hourly ad costs'!AF65=-9999,'Summary, PPI''s'!AF65="."),".",(('Summary, hourly ad costs'!P65/'Summary, hourly ad costs'!AF65)*100/('Summary, hourly ad costs'!P$11/'Summary, hourly ad costs'!AF$11))/('Summary, PPI''s'!AF65))</f>
        <v>.</v>
      </c>
      <c r="CE65" s="4">
        <f t="shared" si="134"/>
        <v>-3.8510919532114579E-2</v>
      </c>
      <c r="CF65" s="4" t="str">
        <f t="shared" si="135"/>
        <v>.</v>
      </c>
      <c r="CG65" s="4" t="str">
        <f t="shared" si="136"/>
        <v>.</v>
      </c>
      <c r="CH65" s="4">
        <f t="shared" si="145"/>
        <v>-3.0242114143294571E-2</v>
      </c>
      <c r="CI65" s="4">
        <f t="shared" si="145"/>
        <v>-3.2642662854070935E-2</v>
      </c>
      <c r="CJ65" s="4" t="str">
        <f t="shared" si="147"/>
        <v>.</v>
      </c>
      <c r="CK65" s="4">
        <f t="shared" ref="CK65:CK123" si="149">_xlfn.FORECAST.LINEAR($BM65,CK$4:CK$63,$BM$4:$BM$63)</f>
        <v>4.9333102955611309E-3</v>
      </c>
      <c r="CL65" s="4">
        <f t="shared" si="130"/>
        <v>-2.30979353209033E-2</v>
      </c>
      <c r="CM65" s="4">
        <f t="shared" si="130"/>
        <v>7.0841603431895045E-3</v>
      </c>
      <c r="CN65" s="4">
        <f t="shared" si="89"/>
        <v>-3.7694465554193736E-2</v>
      </c>
      <c r="CO65" s="4">
        <f t="shared" si="120"/>
        <v>-5.172503402363457E-2</v>
      </c>
      <c r="CP65" s="4">
        <f t="shared" si="120"/>
        <v>0.20937889907118917</v>
      </c>
      <c r="CQ65" s="4" t="str">
        <f t="shared" si="110"/>
        <v>.</v>
      </c>
      <c r="CR65" s="4" t="str">
        <f t="shared" si="111"/>
        <v>.</v>
      </c>
      <c r="CS65" s="4" t="str">
        <f t="shared" si="112"/>
        <v>.</v>
      </c>
      <c r="CU65" s="5">
        <f>IF(CU64=".", ".", IF('Summary, PPI''s'!R65=".",IF(OR('Summary, hourly ad costs'!R65=-9999,'Summary, hourly ad costs'!R65=0), ".", 'Predicted PPIs'!CU64*('Summary, hourly ad costs'!B65/'Summary, hourly ad costs'!R65)/('Summary, hourly ad costs'!B64/'Summary, hourly ad costs'!R64)/(1-CE64)), 'Summary, PPI''s'!R65))</f>
        <v>24.439478429600836</v>
      </c>
      <c r="CV65" s="5" t="str">
        <f>IF(CV64=".", ".", IF('Summary, PPI''s'!S65=".",IF(OR('Summary, hourly ad costs'!S65=-9999,'Summary, hourly ad costs'!S65=0), ".", 'Predicted PPIs'!CV64*('Summary, hourly ad costs'!C65/'Summary, hourly ad costs'!S65)/('Summary, hourly ad costs'!C64/'Summary, hourly ad costs'!S64)/(1-CF64)), 'Summary, PPI''s'!S65))</f>
        <v>.</v>
      </c>
      <c r="CW65" s="5" t="str">
        <f>IF(CW64=".", ".", IF('Summary, PPI''s'!T65=".",IF(OR('Summary, hourly ad costs'!T65=-9999,'Summary, hourly ad costs'!T65=0), ".", 'Predicted PPIs'!CW64*('Summary, hourly ad costs'!D65/'Summary, hourly ad costs'!T65)/('Summary, hourly ad costs'!D64/'Summary, hourly ad costs'!T64)/(1-CG64)), 'Summary, PPI''s'!T65))</f>
        <v>.</v>
      </c>
      <c r="CX65" s="5">
        <f>IF(CX64=".", ".", IF('Summary, PPI''s'!U65=".",IF(OR('Summary, hourly ad costs'!U65=-9999,'Summary, hourly ad costs'!U65=0), ".", 'Predicted PPIs'!CX64*('Summary, hourly ad costs'!E65/'Summary, hourly ad costs'!U65)/('Summary, hourly ad costs'!E64/'Summary, hourly ad costs'!U64)/(1-CH64)), 'Summary, PPI''s'!U65))</f>
        <v>6.5293610316926189</v>
      </c>
      <c r="CY65" s="5">
        <f>IF(CY64=".", ".", IF('Summary, PPI''s'!V65=".",IF(OR('Summary, hourly ad costs'!V65=-9999,'Summary, hourly ad costs'!V65=0), ".", 'Predicted PPIs'!CY64*('Summary, hourly ad costs'!F65/'Summary, hourly ad costs'!V65)/('Summary, hourly ad costs'!F64/'Summary, hourly ad costs'!V64)/(1-CI64)), 'Summary, PPI''s'!V65))</f>
        <v>11.922790225419046</v>
      </c>
      <c r="CZ65" s="5" t="str">
        <f>IF(CZ64=".", ".", IF('Summary, PPI''s'!W65=".",IF(OR('Summary, hourly ad costs'!W65=-9999,'Summary, hourly ad costs'!W65=0), ".", 'Predicted PPIs'!CZ64*('Summary, hourly ad costs'!G65/'Summary, hourly ad costs'!W65)/('Summary, hourly ad costs'!G64/'Summary, hourly ad costs'!W64)/(1-CJ64)), 'Summary, PPI''s'!W65))</f>
        <v>.</v>
      </c>
      <c r="DA65" s="5">
        <f>IF(DA64=".", ".", IF('Summary, PPI''s'!X65=".",IF(OR('Summary, hourly ad costs'!X65=-9999,'Summary, hourly ad costs'!X65=0), ".", 'Predicted PPIs'!DA64*('Summary, hourly ad costs'!H65/'Summary, hourly ad costs'!X65)/('Summary, hourly ad costs'!H64/'Summary, hourly ad costs'!X64)/(1-CK64)), 'Summary, PPI''s'!X65))</f>
        <v>7.1369119713506723</v>
      </c>
      <c r="DB65" s="5">
        <f>IF(DB64=".", ".", IF('Summary, PPI''s'!Y65=".",IF(OR('Summary, hourly ad costs'!Y65=-9999,'Summary, hourly ad costs'!Y65=0), ".", 'Predicted PPIs'!DB64*('Summary, hourly ad costs'!I65/'Summary, hourly ad costs'!Y65)/('Summary, hourly ad costs'!I64/'Summary, hourly ad costs'!Y64)/(1-CL64)), 'Summary, PPI''s'!Y65))</f>
        <v>8.7475168032705142</v>
      </c>
      <c r="DC65" s="5">
        <f>IF(DC64=".", ".", IF('Summary, PPI''s'!Z65=".",IF(OR('Summary, hourly ad costs'!Z65=-9999,'Summary, hourly ad costs'!Z65=0), ".", 'Predicted PPIs'!DC64*('Summary, hourly ad costs'!J65/'Summary, hourly ad costs'!Z65)/('Summary, hourly ad costs'!J64/'Summary, hourly ad costs'!Z64)/(1-CM64)), 'Summary, PPI''s'!Z65))</f>
        <v>15.802400342756663</v>
      </c>
      <c r="DD65" s="5" t="str">
        <f>IF(DD64=".", ".", IF('Summary, PPI''s'!AA65=".",IF(OR('Summary, hourly ad costs'!AA65=-9999,'Summary, hourly ad costs'!AA65=0), ".", 'Predicted PPIs'!DD64*('Summary, hourly ad costs'!K65/'Summary, hourly ad costs'!AA65)/('Summary, hourly ad costs'!K64/'Summary, hourly ad costs'!AA64)/(1-CN64)), 'Summary, PPI''s'!AA65))</f>
        <v>.</v>
      </c>
      <c r="DE65" s="5" t="str">
        <f>IF(DE64=".", ".", IF('Summary, PPI''s'!AB65=".",IF(OR('Summary, hourly ad costs'!AB65=-9999,'Summary, hourly ad costs'!AB65=0), ".", 'Predicted PPIs'!DE64*('Summary, hourly ad costs'!L65/'Summary, hourly ad costs'!AB65)/('Summary, hourly ad costs'!L64/'Summary, hourly ad costs'!AB64)/(1-CO64)), 'Summary, PPI''s'!AB65))</f>
        <v>.</v>
      </c>
      <c r="DF65" s="5" t="str">
        <f>IF(DF64=".", ".", IF('Summary, PPI''s'!AC65=".",IF(OR('Summary, hourly ad costs'!AC65=-9999,'Summary, hourly ad costs'!AC65=0), ".", 'Predicted PPIs'!DF64*('Summary, hourly ad costs'!M65/'Summary, hourly ad costs'!AC65)/('Summary, hourly ad costs'!M64/'Summary, hourly ad costs'!AC64)/(1-CP64)), 'Summary, PPI''s'!AC65))</f>
        <v>.</v>
      </c>
      <c r="DG65" s="5" t="str">
        <f>IF(DG64=".", ".", IF('Summary, PPI''s'!AD65=".",IF(OR('Summary, hourly ad costs'!AD65=-9999,'Summary, hourly ad costs'!AD65=0), ".", 'Predicted PPIs'!DG64*('Summary, hourly ad costs'!N65/'Summary, hourly ad costs'!AD65)/('Summary, hourly ad costs'!N64/'Summary, hourly ad costs'!AD64)/(1-CQ64)), 'Summary, PPI''s'!AD65))</f>
        <v>.</v>
      </c>
      <c r="DH65" s="5" t="str">
        <f>IF(DH64=".", ".", IF('Summary, PPI''s'!AE65=".",IF(OR('Summary, hourly ad costs'!AE65=-9999,'Summary, hourly ad costs'!AE65=0), ".", 'Predicted PPIs'!DH64*('Summary, hourly ad costs'!O65/'Summary, hourly ad costs'!AE65)/('Summary, hourly ad costs'!O64/'Summary, hourly ad costs'!AE64)/(1-CR64)), 'Summary, PPI''s'!AE65))</f>
        <v>.</v>
      </c>
      <c r="DI65" s="5" t="str">
        <f>IF(DI64=".", ".", IF('Summary, PPI''s'!AF65=".",IF(OR('Summary, hourly ad costs'!AF65=-9999,'Summary, hourly ad costs'!AF65=0), ".", 'Predicted PPIs'!DI64*('Summary, hourly ad costs'!P65/'Summary, hourly ad costs'!AF65)/('Summary, hourly ad costs'!P64/'Summary, hourly ad costs'!AF64)/(1-CS64)), 'Summary, PPI''s'!AF65))</f>
        <v>.</v>
      </c>
      <c r="DK65" s="4">
        <v>5.9619999999999997</v>
      </c>
      <c r="DM65" s="5">
        <f t="shared" si="138"/>
        <v>3.9383816481667111E-2</v>
      </c>
      <c r="DN65" s="4">
        <f t="shared" si="139"/>
        <v>-1.829229703393085E-2</v>
      </c>
      <c r="DO65" s="4">
        <f t="shared" si="123"/>
        <v>-2.2892487684029676E-2</v>
      </c>
      <c r="DP65" s="5">
        <f t="shared" si="140"/>
        <v>-3.3741881627813441E-4</v>
      </c>
      <c r="DQ65" s="5">
        <f t="shared" si="141"/>
        <v>-2.2188804848435217E-2</v>
      </c>
      <c r="DR65" s="4">
        <f t="shared" si="146"/>
        <v>-1.2254775739140562E-2</v>
      </c>
      <c r="DS65" s="5">
        <f t="shared" si="142"/>
        <v>0.3158627823571778</v>
      </c>
      <c r="DT65" s="5">
        <f t="shared" si="143"/>
        <v>-1.5751621950974459E-2</v>
      </c>
      <c r="DU65" s="5">
        <f t="shared" si="144"/>
        <v>-6.9010889784860474E-2</v>
      </c>
      <c r="DV65" s="4">
        <f t="shared" si="131"/>
        <v>1.1125190397066435E-3</v>
      </c>
      <c r="DW65" s="4">
        <f t="shared" si="133"/>
        <v>2.2382712669267515E-3</v>
      </c>
      <c r="DX65" s="4">
        <f t="shared" si="133"/>
        <v>-0.18003328994065856</v>
      </c>
      <c r="DY65" s="4">
        <f t="shared" si="108"/>
        <v>-2.1074384177484345E-2</v>
      </c>
      <c r="DZ65" s="4">
        <f t="shared" si="132"/>
        <v>-1.4780050011210986E-2</v>
      </c>
      <c r="EA65" s="4">
        <f t="shared" si="109"/>
        <v>-1.2553648253571439E-2</v>
      </c>
      <c r="EC65" s="1">
        <f t="shared" si="93"/>
        <v>24.439478429600836</v>
      </c>
      <c r="ED65" s="1">
        <f t="shared" si="94"/>
        <v>16.831287929104032</v>
      </c>
      <c r="EE65" s="1">
        <f t="shared" si="95"/>
        <v>9.4632079131202076</v>
      </c>
      <c r="EF65" s="1">
        <f t="shared" si="96"/>
        <v>6.5293610316926189</v>
      </c>
      <c r="EG65" s="1">
        <f t="shared" si="97"/>
        <v>11.922790225419046</v>
      </c>
      <c r="EH65" s="1">
        <f t="shared" si="98"/>
        <v>7.5946648445062799</v>
      </c>
      <c r="EI65" s="1">
        <f t="shared" si="99"/>
        <v>7.1369119713506723</v>
      </c>
      <c r="EJ65" s="1">
        <f t="shared" si="100"/>
        <v>8.7475168032705142</v>
      </c>
      <c r="EK65" s="1">
        <f t="shared" si="101"/>
        <v>15.802400342756663</v>
      </c>
      <c r="EL65" s="1">
        <f t="shared" si="102"/>
        <v>4.860697983973969</v>
      </c>
      <c r="EM65" s="1">
        <f t="shared" si="103"/>
        <v>1.8224611749479096</v>
      </c>
      <c r="EN65" s="1">
        <f t="shared" si="104"/>
        <v>5.6837059103645959</v>
      </c>
      <c r="EO65" s="1">
        <f t="shared" si="105"/>
        <v>5.8225503138469348</v>
      </c>
      <c r="EP65" s="1">
        <f t="shared" si="106"/>
        <v>7.9452598372936958</v>
      </c>
      <c r="EQ65" s="1">
        <f t="shared" si="107"/>
        <v>6.0975182728172799</v>
      </c>
      <c r="ES65" s="1">
        <f>IF(EF$26=".", 0, 'Summary, PPI''s'!E65)+IF(EG$26=".", 0, 'Summary, PPI''s'!F65)+IF(EH$26=".", 0, 'Summary, PPI''s'!G65)+IF(EI$26=".", 0, 'Summary, PPI''s'!H65)+IF(EJ$26=".", 0, 'Summary, PPI''s'!I65)+IF(EK$26=".", 0, 'Summary, PPI''s'!J65)+IF(EL$26=".", 0, 'Summary, PPI''s'!K65)+IF(EM$26=".", 0, 'Summary, PPI''s'!L65)+IF(EN$26=".", 0, 'Summary, PPI''s'!M65)+IF(EC$26=".", 0, 'Summary, PPI''s'!B65)+IF(ED$26=".", 0, 'Summary, PPI''s'!C65)+IF(EE$26=".", 0, 'Summary, PPI''s'!D65)+IF(EO$26=".", 0, 'Summary, PPI''s'!N65)+IF(EP$26=".", 0, 'Summary, PPI''s'!O65)+IF(EQ$26=".", 0, 'Summary, PPI''s'!P65)</f>
        <v>10951755.669547459</v>
      </c>
      <c r="ET65" s="1">
        <f>'Summary, hourly ad costs'!E65+'Summary, hourly ad costs'!F65+'Summary, hourly ad costs'!H65+'Summary, hourly ad costs'!I65+'Summary, hourly ad costs'!J65+'Summary, hourly ad costs'!K65+'Summary, hourly ad costs'!L65+'Summary, hourly ad costs'!M65+'Summary, hourly ad costs'!B65</f>
        <v>6150623.1870114496</v>
      </c>
      <c r="EV65" s="13">
        <f>EV64*IF(EF$26=".", 1, (EF65/EF64)^(('Summary, PPI''s'!$E65+'Summary, PPI''s'!$E64)/('Predicted PPIs'!ES65+'Predicted PPIs'!ES64)))*IF(EG$26=".", 1, (EG65/EG64)^(('Summary, PPI''s'!$F65+'Summary, PPI''s'!$F64)/('Predicted PPIs'!ES65+'Predicted PPIs'!ES64)))*IF(EH$26=".", 1, (EH65/EH64)^(('Summary, PPI''s'!$G65+'Summary, PPI''s'!$G64)/('Predicted PPIs'!ES65+'Predicted PPIs'!ES64)))*IF(EI$26=".", 1, (EI65/EI64)^(('Summary, PPI''s'!$H65+'Summary, PPI''s'!$H64)/('Predicted PPIs'!ES65+'Predicted PPIs'!ES64)))*IF(EJ$26=".", 1, (EJ65/EJ64)^(('Summary, PPI''s'!$I65+'Summary, PPI''s'!$I64)/('Predicted PPIs'!ES65+'Predicted PPIs'!ES64)))*IF(EK$26=".", 1, (EK65/EK64)^(('Summary, PPI''s'!$J65+'Summary, PPI''s'!$J64)/('Predicted PPIs'!ES65+'Predicted PPIs'!ES64)))*IF(EL$26=".", 1, (EL65/EL64)^(('Summary, PPI''s'!$K65+'Summary, PPI''s'!$K64)/('Predicted PPIs'!ES65+'Predicted PPIs'!ES64)))*IF(EM$26=".", 1, (EM65/EM64)^(('Summary, PPI''s'!$L65+'Summary, PPI''s'!$L64)/('Predicted PPIs'!ES65+'Predicted PPIs'!ES64)))*IF(EN$26=".", 1, (EN65/EN64)^(('Summary, PPI''s'!$M65+'Summary, PPI''s'!$M64)/('Predicted PPIs'!ES65+'Predicted PPIs'!ES64)))*IF(EC$26=".", 1, (EC65/EC64)^(('Summary, PPI''s'!$B65+'Summary, PPI''s'!$B64)/('Predicted PPIs'!ES65+'Predicted PPIs'!ES64)))*IF(ED$26=".", 1, (ED65/ED64)^(('Summary, PPI''s'!$C65+'Summary, PPI''s'!$C64)/('Predicted PPIs'!ES65+'Predicted PPIs'!ES64)))*IF(EE$26=".", 1, (EE65/EE64)^(('Summary, PPI''s'!$D65+'Summary, PPI''s'!$D64)/('Predicted PPIs'!ES65+'Predicted PPIs'!ES64)))*IF(EO$26=".", 1, (EO65/EO64)^(('Summary, PPI''s'!$N65+'Summary, PPI''s'!$N64)/('Predicted PPIs'!ES65+'Predicted PPIs'!ES64)))*IF(EP$26=".", 1, (EP65/EP64)^(('Summary, PPI''s'!$O65+'Summary, PPI''s'!$O64)/('Predicted PPIs'!ES65+'Predicted PPIs'!ES64)))*IF(EQ$26=".", 1, (EQ65/EQ64)^(('Summary, PPI''s'!$P65+'Summary, PPI''s'!$P64)/('Predicted PPIs'!ES65+'Predicted PPIs'!ES64)))</f>
        <v>10.127190226132958</v>
      </c>
      <c r="EW65" s="13">
        <f>EW64*IF(EF$26=".", 1, (EF65/EF64)^(('Summary, PPI''s'!$E65+'Summary, PPI''s'!$E64)/('Predicted PPIs'!ET65+'Predicted PPIs'!ET64)))*IF(EG$26=".", 1, (EG65/EG64)^(('Summary, PPI''s'!$F65+'Summary, PPI''s'!$F64)/('Predicted PPIs'!ET65+'Predicted PPIs'!ET64)))*IF(EH$26=".", 1, (EH65/EH64)^(('Summary, PPI''s'!$G65+'Summary, PPI''s'!$G64)/('Predicted PPIs'!ET65+'Predicted PPIs'!ET64)))*IF(EK$26=".", 1, (EK65/EK64)^(('Summary, PPI''s'!$J65+'Summary, PPI''s'!$J64)/('Predicted PPIs'!ET65+'Predicted PPIs'!ET64)))*IF(EL$26=".", 1, (EL65/EL64)^(('Summary, PPI''s'!$K65+'Summary, PPI''s'!$K64)/('Predicted PPIs'!ET65+'Predicted PPIs'!ET64)))*IF(EM$26=".", 1, (EM65/EM64)^(('Summary, PPI''s'!$L65+'Summary, PPI''s'!$L64)/('Predicted PPIs'!ET65+'Predicted PPIs'!ET64)))*IF(EN$26=".", 1, (EN65/EN64)^(('Summary, PPI''s'!$M65+'Summary, PPI''s'!$M64)/('Predicted PPIs'!ET65+'Predicted PPIs'!ET64)))*IF(EC$26=".", 1, (EC65/EC64)^(('Summary, PPI''s'!$B65+'Summary, PPI''s'!$B64)/('Predicted PPIs'!ET65+'Predicted PPIs'!ET64)))</f>
        <v>13.56073607246949</v>
      </c>
      <c r="EY65" s="2"/>
    </row>
    <row r="66" spans="1:155" x14ac:dyDescent="0.3">
      <c r="A66" s="4">
        <v>1957</v>
      </c>
      <c r="B66" s="10">
        <f>IF(B65=".", ".", IF('Summary, PPI''s'!R66=".",IF(OR('Summary, hourly ad costs'!R66=-9999,'Summary, hourly ad costs'!R66=0), ".", 'Predicted PPIs'!B65*('Summary, hourly ad costs'!B66/'Summary, hourly ad costs'!R66)/('Summary, hourly ad costs'!B65/'Summary, hourly ad costs'!R65)), 'Summary, PPI''s'!R66))</f>
        <v>24.2891785504913</v>
      </c>
      <c r="C66" s="10" t="str">
        <f>IF(C65=".", ".", IF('Summary, PPI''s'!S66=".",IF(OR('Summary, hourly ad costs'!S66=-9999,'Summary, hourly ad costs'!S66=0), ".", 'Predicted PPIs'!C65*('Summary, hourly ad costs'!C66/'Summary, hourly ad costs'!S66)/('Summary, hourly ad costs'!C65/'Summary, hourly ad costs'!S65)), 'Summary, PPI''s'!S66))</f>
        <v>.</v>
      </c>
      <c r="D66" s="10" t="str">
        <f>IF(D65=".", ".", IF('Summary, PPI''s'!T66=".",IF(OR('Summary, hourly ad costs'!T66=-9999,'Summary, hourly ad costs'!T66=0), ".", 'Predicted PPIs'!D65*('Summary, hourly ad costs'!D66/'Summary, hourly ad costs'!T66)/('Summary, hourly ad costs'!D65/'Summary, hourly ad costs'!T65)), 'Summary, PPI''s'!T66))</f>
        <v>.</v>
      </c>
      <c r="E66" s="10">
        <f>IF(E65=".", ".", IF('Summary, PPI''s'!U66=".",IF(OR('Summary, hourly ad costs'!U66=-9999,'Summary, hourly ad costs'!U66=0), ".", 'Predicted PPIs'!E65*('Summary, hourly ad costs'!E66/'Summary, hourly ad costs'!U66)/('Summary, hourly ad costs'!E65/'Summary, hourly ad costs'!U65)), 'Summary, PPI''s'!U66))</f>
        <v>6.0429646675787723</v>
      </c>
      <c r="F66" s="10">
        <f>IF(F65=".", ".", IF('Summary, PPI''s'!V66=".",IF(OR('Summary, hourly ad costs'!V66=-9999,'Summary, hourly ad costs'!V66=0), ".", 'Predicted PPIs'!F65*('Summary, hourly ad costs'!F66/'Summary, hourly ad costs'!V66)/('Summary, hourly ad costs'!F65/'Summary, hourly ad costs'!V65)), 'Summary, PPI''s'!V66))</f>
        <v>11.093692294813371</v>
      </c>
      <c r="G66" s="10" t="str">
        <f>IF(G65=".", ".", IF('Summary, PPI''s'!W66=".",IF(OR('Summary, hourly ad costs'!W66=-9999,'Summary, hourly ad costs'!W66=0), ".", 'Predicted PPIs'!G65*('Summary, hourly ad costs'!G66/'Summary, hourly ad costs'!W66)/('Summary, hourly ad costs'!G65/'Summary, hourly ad costs'!W65)), 'Summary, PPI''s'!W66))</f>
        <v>.</v>
      </c>
      <c r="H66" s="10">
        <f>IF(H65=".", ".", IF('Summary, PPI''s'!X66=".",IF(OR('Summary, hourly ad costs'!X66=-9999,'Summary, hourly ad costs'!X66=0), ".", 'Predicted PPIs'!H65*('Summary, hourly ad costs'!H66/'Summary, hourly ad costs'!X66)/('Summary, hourly ad costs'!H65/'Summary, hourly ad costs'!X65)), 'Summary, PPI''s'!X66))</f>
        <v>5.2061817541772815</v>
      </c>
      <c r="I66" s="10">
        <f>IF(I65=".", ".", IF('Summary, PPI''s'!Y66=".",IF(OR('Summary, hourly ad costs'!Y66=-9999,'Summary, hourly ad costs'!Y66=0), ".", 'Predicted PPIs'!I65*('Summary, hourly ad costs'!I66/'Summary, hourly ad costs'!Y66)/('Summary, hourly ad costs'!I65/'Summary, hourly ad costs'!Y65)), 'Summary, PPI''s'!Y66))</f>
        <v>7.320329261950679</v>
      </c>
      <c r="J66" s="10">
        <f>IF(J65=".", ".", IF('Summary, PPI''s'!Z66=".",IF(OR('Summary, hourly ad costs'!Z66=-9999,'Summary, hourly ad costs'!Z66=0), ".", 'Predicted PPIs'!J65*('Summary, hourly ad costs'!J66/'Summary, hourly ad costs'!Z66)/('Summary, hourly ad costs'!J65/'Summary, hourly ad costs'!Z65)), 'Summary, PPI''s'!Z66))</f>
        <v>11.072804992683261</v>
      </c>
      <c r="K66" s="10" t="str">
        <f>IF(K65=".", ".", IF('Summary, PPI''s'!AA66=".",IF(OR('Summary, hourly ad costs'!AA66=-9999,'Summary, hourly ad costs'!AA66=0), ".", 'Predicted PPIs'!K65*('Summary, hourly ad costs'!K66/'Summary, hourly ad costs'!AA66)/('Summary, hourly ad costs'!K65/'Summary, hourly ad costs'!AA65)), 'Summary, PPI''s'!AA66))</f>
        <v>.</v>
      </c>
      <c r="L66" s="10" t="str">
        <f>IF(L65=".", ".", IF('Summary, PPI''s'!AB66=".",IF(OR('Summary, hourly ad costs'!AB66=-9999,'Summary, hourly ad costs'!AB66=0), ".", 'Predicted PPIs'!L65*('Summary, hourly ad costs'!L66/'Summary, hourly ad costs'!AB66)/('Summary, hourly ad costs'!L65/'Summary, hourly ad costs'!AB65)), 'Summary, PPI''s'!AB66))</f>
        <v>.</v>
      </c>
      <c r="M66" s="10" t="str">
        <f>IF(M65=".", ".", IF('Summary, PPI''s'!AC66=".",IF(OR('Summary, hourly ad costs'!AC66=-9999,'Summary, hourly ad costs'!AC66=0), ".", 'Predicted PPIs'!M65*('Summary, hourly ad costs'!M66/'Summary, hourly ad costs'!AC66)/('Summary, hourly ad costs'!M65/'Summary, hourly ad costs'!AC65)), 'Summary, PPI''s'!AC66))</f>
        <v>.</v>
      </c>
      <c r="N66" s="10" t="str">
        <f>IF(N65=".", ".", IF('Summary, PPI''s'!AD66=".",IF(OR('Summary, hourly ad costs'!AD66=-9999,'Summary, hourly ad costs'!AD66=0), ".", 'Predicted PPIs'!N65*('Summary, hourly ad costs'!N66/'Summary, hourly ad costs'!AD66)/('Summary, hourly ad costs'!N65/'Summary, hourly ad costs'!AD65)), 'Summary, PPI''s'!AD66))</f>
        <v>.</v>
      </c>
      <c r="O66" s="10" t="str">
        <f>IF(O65=".", ".", IF('Summary, PPI''s'!AE66=".",IF(OR('Summary, hourly ad costs'!AE66=-9999,'Summary, hourly ad costs'!AE66=0), ".", 'Predicted PPIs'!O65*('Summary, hourly ad costs'!O66/'Summary, hourly ad costs'!AE66)/('Summary, hourly ad costs'!O65/'Summary, hourly ad costs'!AE65)), 'Summary, PPI''s'!AE66))</f>
        <v>.</v>
      </c>
      <c r="P66" s="10" t="str">
        <f>IF(P65=".", ".", IF('Summary, PPI''s'!AF66=".",IF(OR('Summary, hourly ad costs'!AF66=-9999,'Summary, hourly ad costs'!AF66=0), ".", 'Predicted PPIs'!P65*('Summary, hourly ad costs'!P66/'Summary, hourly ad costs'!AF66)/('Summary, hourly ad costs'!P65/'Summary, hourly ad costs'!AF65)), 'Summary, PPI''s'!AF66))</f>
        <v>.</v>
      </c>
      <c r="R66" s="1">
        <f>IF(E$26=".", 0, 'Summary, PPI''s'!E66)+IF(F$26=".", 0, 'Summary, PPI''s'!F66)+IF(G$26=".", 0, 'Summary, PPI''s'!G66)+IF(H$26=".", 0, 'Summary, PPI''s'!H66)+IF(I$26=".", 0, 'Summary, PPI''s'!I66)+IF(J$26=".", 0, 'Summary, PPI''s'!J66)+IF(K$26=".", 0, 'Summary, PPI''s'!K66)+IF(L$26=".", 0, 'Summary, PPI''s'!L66)+IF(M$26=".", 0, 'Summary, PPI''s'!M66)+IF(B$26=".", 0, 'Summary, PPI''s'!B66)+IF(C$26=".", 0, 'Summary, PPI''s'!C66)+IF(D$26=".", 0, 'Summary, PPI''s'!D66)+IF(N$26=".", 0, 'Summary, PPI''s'!N66)+IF(O$26=".", 0, 'Summary, PPI''s'!O66)+IF(P$26=".", 0, 'Summary, PPI''s'!P66)</f>
        <v>10760499.51927828</v>
      </c>
      <c r="S66" s="1">
        <f>IF(E$36=".", 0, 'Summary, PPI''s'!E66)+IF(F$36=".", 0, 'Summary, PPI''s'!F66)+IF(G$36=".", 0, 'Summary, PPI''s'!G66)+IF(H$36=".", 0, 'Summary, PPI''s'!H66)+IF(I$36=".", 0, 'Summary, PPI''s'!I66)+IF(J$36=".", 0, 'Summary, PPI''s'!J66)+IF(K$36=".", 0, 'Summary, PPI''s'!K66)+IF(L$36=".", 0, 'Summary, PPI''s'!L66)+IF(M$36=".", 0, 'Summary, PPI''s'!M66)+IF(B$36=".", 0, 'Summary, PPI''s'!B66)+IF(C$36=".", 0, 'Summary, PPI''s'!C66)+IF(D$36=".", 0, 'Summary, PPI''s'!D66)+IF(N$36=".", 0, 'Summary, PPI''s'!N66)+IF(O$36=".", 0, 'Summary, PPI''s'!O66)+IF(P$36=".", 0, 'Summary, PPI''s'!P66)</f>
        <v>10760499.51927828</v>
      </c>
      <c r="T66" s="1">
        <f>IF(E$46=".", 0, 'Summary, PPI''s'!E66)+IF(F$46=".", 0, 'Summary, PPI''s'!F66)+IF(G$46=".", 0, 'Summary, PPI''s'!G66)+IF(H$46=".", 0, 'Summary, PPI''s'!H66)+IF(I$46=".", 0, 'Summary, PPI''s'!I66)+IF(J$46=".", 0, 'Summary, PPI''s'!J66)+IF(K$46=".", 0, 'Summary, PPI''s'!K66)+IF(L$46=".", 0, 'Summary, PPI''s'!L66)+IF(M$46=".", 0, 'Summary, PPI''s'!M66)+IF(B$46=".", 0, 'Summary, PPI''s'!B66)+IF(C$46=".", 0, 'Summary, PPI''s'!C66)+IF(D$46=".", 0, 'Summary, PPI''s'!D66)+IF(N$46=".", 0, 'Summary, PPI''s'!N66)+IF(O$46=".", 0, 'Summary, PPI''s'!O66)+IF(P$46=".", 0, 'Summary, PPI''s'!P66)</f>
        <v>7815463.0617746171</v>
      </c>
      <c r="U66" s="1">
        <f>IF(E$60=".", 0, 'Summary, PPI''s'!E66)+IF(F$60=".", 0, 'Summary, PPI''s'!F66)+IF(G$60=".", 0, 'Summary, PPI''s'!G66)+IF(H$60=".", 0, 'Summary, PPI''s'!H66)+IF(I$60=".", 0, 'Summary, PPI''s'!I66)+IF(J$60=".", 0, 'Summary, PPI''s'!J66)+IF(K$60=".", 0, 'Summary, PPI''s'!K66)+IF(L$60=".", 0, 'Summary, PPI''s'!L66)+IF(M$60=".", 0, 'Summary, PPI''s'!M66)+IF(B$60=".", 0, 'Summary, PPI''s'!B66)+IF(C$60=".", 0, 'Summary, PPI''s'!C66)+IF(D$60=".", 0, 'Summary, PPI''s'!D66)+IF(N$60=".", 0, 'Summary, PPI''s'!N66)+IF(O$60=".", 0, 'Summary, PPI''s'!O66)+IF(P$60=".", 0, 'Summary, PPI''s'!P66)</f>
        <v>7109255.5461527919</v>
      </c>
      <c r="V66" s="1">
        <f>IF(E$73=".", 0, 'Summary, PPI''s'!E66)+IF(F$73=".", 0, 'Summary, PPI''s'!F66)+IF(G$73=".", 0, 'Summary, PPI''s'!G66)+IF(H$73=".", 0, 'Summary, PPI''s'!H66)+IF(I$73=".", 0, 'Summary, PPI''s'!I66)+IF(J$73=".", 0, 'Summary, PPI''s'!J66)+IF(K$73=".", 0, 'Summary, PPI''s'!K66)+IF(L$73=".", 0, 'Summary, PPI''s'!L66)+IF(M$73=".", 0, 'Summary, PPI''s'!M66)+IF(B$73=".", 0, 'Summary, PPI''s'!B66)+IF(C$73=".", 0, 'Summary, PPI''s'!C66)+IF(D$73=".", 0, 'Summary, PPI''s'!D66)+IF(N$73=".", 0, 'Summary, PPI''s'!N66)+IF(O$73=".", 0, 'Summary, PPI''s'!O66)+IF(P$73=".", 0, 'Summary, PPI''s'!P66)</f>
        <v>6204413.0850303536</v>
      </c>
      <c r="W66" s="1">
        <f>IF(E$94=".",0,'Summary, PPI''s'!E66)+IF(F$94=".",0,'Summary, PPI''s'!F66)+IF(G$94=".",0,'Summary, PPI''s'!G66)+IF(H$94=".",0,'Summary, PPI''s'!H66)+IF(I$94=".",0,'Summary, PPI''s'!I66)+IF(J$94=".",0,'Summary, PPI''s'!J66)+IF(K$94=".",0,'Summary, PPI''s'!K66)+IF(L$94=".",0,'Summary, PPI''s'!L66)+IF(M$94=".",0,'Summary, PPI''s'!M66)+IF(B$94=".",0,'Summary, PPI''s'!B66)+IF(C$94=".",0,'Summary, PPI''s'!C66)+IF(D$94=".",0,'Summary, PPI''s'!D66)+IF(N$94=".",0,'Summary, PPI''s'!N66)+IF(O$94=".",0,'Summary, PPI''s'!O66)+IF(P$94=".",0,'Summary, PPI''s'!P66)</f>
        <v>5241449.1409767037</v>
      </c>
      <c r="X66" s="1">
        <f>IF(E$123=".", 0, 'Summary, PPI''s'!E66)+IF(F$123=".", 0, 'Summary, PPI''s'!F66)+IF(G$123=".", 0, 'Summary, PPI''s'!G66)+IF(H$123=".", 0, 'Summary, PPI''s'!H66)+IF(I$123=".", 0, 'Summary, PPI''s'!I66)+IF(J$123=".", 0, 'Summary, PPI''s'!J66)+IF(K$123=".", 0, 'Summary, PPI''s'!K66)+IF(L$123=".", 0, 'Summary, PPI''s'!L66)+IF(M$123=".", 0, 'Summary, PPI''s'!M66)+IF(B$123=".", 0, 'Summary, PPI''s'!B66)+IF(C$123=".", 0, 'Summary, PPI''s'!C66)+IF(D$123=".", 0, 'Summary, PPI''s'!D66)+IF(N$123=".", 0, 'Summary, PPI''s'!N66)+IF(O$123=".", 0, 'Summary, PPI''s'!O66)+IF(P$123=".", 0, 'Summary, PPI''s'!P66)</f>
        <v>4752066.5618367624</v>
      </c>
      <c r="Z66" s="4" t="e">
        <f>Z65*IF(E$26=".", 1, (E66/E65)^(('Summary, PPI''s'!$E66+'Summary, PPI''s'!$E65)/('Predicted PPIs'!R66+'Predicted PPIs'!R65)))*IF(F$26=".", 1, (F66/F65)^(('Summary, PPI''s'!$F66+'Summary, PPI''s'!$F65)/('Predicted PPIs'!R66+'Predicted PPIs'!R65)))*IF(G$26=".", 1, (G66/G65)^(('Summary, PPI''s'!$G66+'Summary, PPI''s'!$G65)/('Predicted PPIs'!R66+'Predicted PPIs'!R65)))*IF(H$26=".", 1, (H66/H65)^(('Summary, PPI''s'!$H66+'Summary, PPI''s'!$H65)/('Predicted PPIs'!R66+'Predicted PPIs'!R65)))*IF(I$26=".", 1, (I66/I65)^(('Summary, PPI''s'!$I66+'Summary, PPI''s'!$I65)/('Predicted PPIs'!R66+'Predicted PPIs'!R65)))*IF(J$26=".", 1, (J66/J65)^(('Summary, PPI''s'!$J66+'Summary, PPI''s'!$J65)/('Predicted PPIs'!R66+'Predicted PPIs'!R65)))*IF(K$26=".", 1, (K66/K65)^(('Summary, PPI''s'!$K66+'Summary, PPI''s'!$K65)/('Predicted PPIs'!R66+'Predicted PPIs'!R65)))*IF(L$26=".", 1, (L66/L65)^(('Summary, PPI''s'!$L66+'Summary, PPI''s'!$L65)/('Predicted PPIs'!R66+'Predicted PPIs'!R65)))*IF(M$26=".", 1, (M66/M65)^(('Summary, PPI''s'!$M66+'Summary, PPI''s'!$M65)/('Predicted PPIs'!R66+'Predicted PPIs'!R65)))*IF(B$26=".", 1, (B66/B65)^(('Summary, PPI''s'!$B66+'Summary, PPI''s'!$B65)/('Predicted PPIs'!R66+'Predicted PPIs'!R65)))*IF(C$26=".", 1, (C66/C65)^(('Summary, PPI''s'!$C66+'Summary, PPI''s'!$C65)/('Predicted PPIs'!R66+'Predicted PPIs'!R65)))*IF(D$26=".", 1, (D66/D65)^(('Summary, PPI''s'!$D66+'Summary, PPI''s'!$D65)/('Predicted PPIs'!R66+'Predicted PPIs'!R65)))*IF(N$26=".", 1, (N66/N65)^(('Summary, PPI''s'!$N66+'Summary, PPI''s'!$N65)/('Predicted PPIs'!R66+'Predicted PPIs'!R65)))*IF(O$26=".", 1, (O66/O65)^(('Summary, PPI''s'!$O66+'Summary, PPI''s'!$O65)/('Predicted PPIs'!R66+'Predicted PPIs'!R65)))*IF(P$26=".", 1, (P66/P65)^(('Summary, PPI''s'!$P66+'Summary, PPI''s'!$P65)/('Predicted PPIs'!R66+'Predicted PPIs'!R65)))</f>
        <v>#VALUE!</v>
      </c>
      <c r="AA66" s="4" t="e">
        <f>AA65*IF(E$36=".", 1, (E66/E65)^(('Summary, PPI''s'!$E66+'Summary, PPI''s'!$E65)/('Predicted PPIs'!S66+'Predicted PPIs'!S65)))*IF(F$36=".", 1, (F66/F65)^(('Summary, PPI''s'!$F66+'Summary, PPI''s'!$F65)/('Predicted PPIs'!S66+'Predicted PPIs'!S65)))*IF(G$36=".", 1, (G66/G65)^(('Summary, PPI''s'!$G66+'Summary, PPI''s'!$G65)/('Predicted PPIs'!S66+'Predicted PPIs'!S65)))*IF(H$36=".", 1, (H66/H65)^(('Summary, PPI''s'!$H66+'Summary, PPI''s'!$H65)/('Predicted PPIs'!S66+'Predicted PPIs'!S65)))*IF(I$36=".", 1, (I66/I65)^(('Summary, PPI''s'!$I66+'Summary, PPI''s'!$I65)/('Predicted PPIs'!S66+'Predicted PPIs'!S65)))*IF(J$36=".", 1, (J66/J65)^(('Summary, PPI''s'!$J66+'Summary, PPI''s'!$J65)/('Predicted PPIs'!S66+'Predicted PPIs'!S65)))*IF(K$36=".", 1, (K66/K65)^(('Summary, PPI''s'!$K66+'Summary, PPI''s'!$K65)/('Predicted PPIs'!S66+'Predicted PPIs'!S65)))*IF(L$36=".", 1, (L66/L65)^(('Summary, PPI''s'!$L66+'Summary, PPI''s'!$L65)/('Predicted PPIs'!S66+'Predicted PPIs'!S65)))*IF(M$36=".", 1, (M66/M65)^(('Summary, PPI''s'!$M66+'Summary, PPI''s'!$M65)/('Predicted PPIs'!S66+'Predicted PPIs'!S65)))*IF(B$36=".", 1, (B66/B65)^(('Summary, PPI''s'!$B66+'Summary, PPI''s'!$B65)/('Predicted PPIs'!S66+'Predicted PPIs'!S65)))*IF(C$36=".", 1, (C66/C65)^(('Summary, PPI''s'!$C66+'Summary, PPI''s'!$C65)/('Predicted PPIs'!S66+'Predicted PPIs'!S65)))*IF(D$36=".", 1, (D66/D65)^(('Summary, PPI''s'!$D66+'Summary, PPI''s'!$D65)/('Predicted PPIs'!S66+'Predicted PPIs'!S65)))*IF(N$36=".", 1, (N66/N65)^(('Summary, PPI''s'!$N66+'Summary, PPI''s'!$N65)/('Predicted PPIs'!S66+'Predicted PPIs'!S65)))*IF(O$36=".", 1, (O66/O65)^(('Summary, PPI''s'!$O66+'Summary, PPI''s'!$O65)/('Predicted PPIs'!S66+'Predicted PPIs'!S65)))*IF(P$36=".", 1, (P66/P65)^(('Summary, PPI''s'!$P66+'Summary, PPI''s'!$P65)/('Predicted PPIs'!S66+'Predicted PPIs'!S65)))</f>
        <v>#VALUE!</v>
      </c>
      <c r="AB66" s="4" t="e">
        <f>AB65*IF(E$46=".", 1, (E66/E65)^(('Summary, PPI''s'!$E66+'Summary, PPI''s'!$E65)/('Predicted PPIs'!T66+'Predicted PPIs'!T65)))*IF(F$46=".", 1, (F66/F65)^(('Summary, PPI''s'!$F66+'Summary, PPI''s'!$F65)/('Predicted PPIs'!T66+'Predicted PPIs'!T65)))*IF(G$46=".", 1, (G66/G65)^(('Summary, PPI''s'!$G66+'Summary, PPI''s'!$G65)/('Predicted PPIs'!T66+'Predicted PPIs'!T65)))*IF(H$46=".", 1, (H66/H65)^(('Summary, PPI''s'!$H66+'Summary, PPI''s'!$H65)/('Predicted PPIs'!T66+'Predicted PPIs'!T65)))*IF(I$46=".", 1, (I66/I65)^(('Summary, PPI''s'!$I66+'Summary, PPI''s'!$I65)/('Predicted PPIs'!T66+'Predicted PPIs'!T65)))*IF(J$46=".", 1, (J66/J65)^(('Summary, PPI''s'!$J66+'Summary, PPI''s'!$J65)/('Predicted PPIs'!T66+'Predicted PPIs'!T65)))*IF(K$46=".", 1, (K66/K65)^(('Summary, PPI''s'!$K66+'Summary, PPI''s'!$K65)/('Predicted PPIs'!T66+'Predicted PPIs'!T65)))*IF(L$46=".", 1, (L66/L65)^(('Summary, PPI''s'!$L66+'Summary, PPI''s'!$L65)/('Predicted PPIs'!T66+'Predicted PPIs'!T65)))*IF(M$46=".", 1, (M66/M65)^(('Summary, PPI''s'!$M66+'Summary, PPI''s'!$M65)/('Predicted PPIs'!T66+'Predicted PPIs'!T65)))*IF(B$46=".", 1, (B66/B65)^(('Summary, PPI''s'!$B66+'Summary, PPI''s'!$B65)/('Predicted PPIs'!T66+'Predicted PPIs'!T65)))*IF(C$46=".", 1, (C66/C65)^(('Summary, PPI''s'!$C66+'Summary, PPI''s'!$C65)/('Predicted PPIs'!T66+'Predicted PPIs'!T65)))*IF(D$46=".", 1, (D66/D65)^(('Summary, PPI''s'!$D66+'Summary, PPI''s'!$D65)/('Predicted PPIs'!T66+'Predicted PPIs'!T65)))*IF(N$46=".", 1, (N66/N65)^(('Summary, PPI''s'!$N66+'Summary, PPI''s'!$N65)/('Predicted PPIs'!T66+'Predicted PPIs'!T65)))*IF(O$46=".", 1, (O66/O65)^(('Summary, PPI''s'!$O66+'Summary, PPI''s'!$O65)/('Predicted PPIs'!T66+'Predicted PPIs'!T65)))*IF(P$46=".", 1, (P66/P65)^(('Summary, PPI''s'!$P66+'Summary, PPI''s'!$P65)/('Predicted PPIs'!T66+'Predicted PPIs'!T65)))</f>
        <v>#VALUE!</v>
      </c>
      <c r="AC66" s="4" t="e">
        <f>AC65*IF(E$60=".",1,(E66/E65)^(('Summary, PPI''s'!$E66+'Summary, PPI''s'!$E65)/('Predicted PPIs'!U66+'Predicted PPIs'!U65)))*IF(F$60=".",1,(F66/F65)^(('Summary, PPI''s'!$F66+'Summary, PPI''s'!$F65)/('Predicted PPIs'!U66+'Predicted PPIs'!U65)))*IF(G$60=".",1,(G66/G65)^(('Summary, PPI''s'!$G66+'Summary, PPI''s'!$G65)/('Predicted PPIs'!U66+'Predicted PPIs'!U65)))*IF(H$60=".",1,(H66/H65)^(('Summary, PPI''s'!$H66+'Summary, PPI''s'!$H65)/('Predicted PPIs'!U66+'Predicted PPIs'!U65)))*IF(I$60=".",1,(I66/I65)^(('Summary, PPI''s'!$I66+'Summary, PPI''s'!$I65)/('Predicted PPIs'!U66+'Predicted PPIs'!U65)))*IF(J$60=".",1,(J66/J65)^(('Summary, PPI''s'!$J66+'Summary, PPI''s'!$J65)/('Predicted PPIs'!U66+'Predicted PPIs'!U65)))*IF(K$60=".",1,(K66/K65)^(('Summary, PPI''s'!$K66+'Summary, PPI''s'!$K65)/('Predicted PPIs'!U66+'Predicted PPIs'!U65)))*IF(L$60=".",1,(L66/L65)^(('Summary, PPI''s'!$L66+'Summary, PPI''s'!$L65)/('Predicted PPIs'!U66+'Predicted PPIs'!U65)))*IF(M$60=".",1,(M66/M65)^(('Summary, PPI''s'!$M66+'Summary, PPI''s'!$M65)/('Predicted PPIs'!U66+'Predicted PPIs'!U65)))*IF(B$60=".",1,(B66/B65)^(('Summary, PPI''s'!$B66+'Summary, PPI''s'!$B65)/('Predicted PPIs'!U66+'Predicted PPIs'!U65)))*IF(C$60=".",1,(C66/C65)^(('Summary, PPI''s'!$C66+'Summary, PPI''s'!$C65)/('Predicted PPIs'!U66+'Predicted PPIs'!U65)))*IF(D$60=".",1,(D66/D65)^(('Summary, PPI''s'!$D66+'Summary, PPI''s'!$D65)/('Predicted PPIs'!U66+'Predicted PPIs'!U65)))*IF(N$60=".",1,(N66/N65)^(('Summary, PPI''s'!$N66+'Summary, PPI''s'!$N65)/('Predicted PPIs'!U66+'Predicted PPIs'!U65)))*IF(O$60=".",1,(O66/O65)^(('Summary, PPI''s'!$O66+'Summary, PPI''s'!$O65)/('Predicted PPIs'!U66+'Predicted PPIs'!U65)))*IF(P$60=".",1,(P66/P65)^(('Summary, PPI''s'!$P66+'Summary, PPI''s'!$P65)/('Predicted PPIs'!U66+'Predicted PPIs'!U65)))</f>
        <v>#VALUE!</v>
      </c>
      <c r="AD66" s="4">
        <f>AD65*IF(E$73=".", 1, (E66/E65)^(('Summary, PPI''s'!$E66+'Summary, PPI''s'!$E65)/('Predicted PPIs'!V66+'Predicted PPIs'!V65)))*IF(F$73=".", 1, (F66/F65)^(('Summary, PPI''s'!$F66+'Summary, PPI''s'!$F65)/('Predicted PPIs'!V66+'Predicted PPIs'!V65)))*IF(G$73=".", 1, (G66/G65)^(('Summary, PPI''s'!$G66+'Summary, PPI''s'!$G65)/('Predicted PPIs'!V66+'Predicted PPIs'!V65)))*IF(H$73=".", 1, (H66/H65)^(('Summary, PPI''s'!$H66+'Summary, PPI''s'!$H65)/('Predicted PPIs'!V66+'Predicted PPIs'!V65)))*IF(I$73=".", 1, (I66/I65)^(('Summary, PPI''s'!$I66+'Summary, PPI''s'!$I65)/('Predicted PPIs'!V66+'Predicted PPIs'!V65)))*IF(J$73=".", 1, (J66/J65)^(('Summary, PPI''s'!$J66+'Summary, PPI''s'!$J65)/('Predicted PPIs'!V66+'Predicted PPIs'!V65)))*IF(K$73=".", 1, (K66/K65)^(('Summary, PPI''s'!$K66+'Summary, PPI''s'!$K65)/('Predicted PPIs'!V66+'Predicted PPIs'!V65)))*IF(L$73=".", 1, (L66/L65)^(('Summary, PPI''s'!$L66+'Summary, PPI''s'!$L65)/('Predicted PPIs'!V66+'Predicted PPIs'!V65)))*IF(M$73=".", 1, (M66/M65)^(('Summary, PPI''s'!$M66+'Summary, PPI''s'!$M65)/('Predicted PPIs'!V66+'Predicted PPIs'!V65)))*IF(B$73=".", 1, (B66/B65)^(('Summary, PPI''s'!$B66+'Summary, PPI''s'!$B65)/('Predicted PPIs'!V66+'Predicted PPIs'!V65)))*IF(C$73=".", 1, (C66/C65)^(('Summary, PPI''s'!$C66+'Summary, PPI''s'!$C65)/('Predicted PPIs'!V66+'Predicted PPIs'!V65)))*IF(D$73=".", 1, (D66/D65)^(('Summary, PPI''s'!$D66+'Summary, PPI''s'!$D65)/('Predicted PPIs'!V66+'Predicted PPIs'!V65)))*IF(N$73=".", 1, (N66/N65)^(('Summary, PPI''s'!$N66+'Summary, PPI''s'!$N65)/('Predicted PPIs'!V66+'Predicted PPIs'!V65)))*IF(O$73=".", 1, (O66/O65)^(('Summary, PPI''s'!$O66+'Summary, PPI''s'!$O65)/('Predicted PPIs'!V66+'Predicted PPIs'!V65)))*IF(P$73=".", 1, (P66/P65)^(('Summary, PPI''s'!$P66+'Summary, PPI''s'!$P65)/('Predicted PPIs'!V66+'Predicted PPIs'!V65)))</f>
        <v>9.5594938291534692</v>
      </c>
      <c r="AE66" s="4">
        <f>AE65*IF(E$94=".", 1, (E66/E65)^(('Summary, PPI''s'!$E66+'Summary, PPI''s'!$E65)/('Predicted PPIs'!W66+'Predicted PPIs'!W65)))*IF(F$94=".", 1, (F66/F65)^(('Summary, PPI''s'!$F66+'Summary, PPI''s'!$F65)/('Predicted PPIs'!W66+'Predicted PPIs'!W65)))*IF(G$94=".", 1, (G66/G65)^(('Summary, PPI''s'!$G66+'Summary, PPI''s'!$G65)/('Predicted PPIs'!W66+'Predicted PPIs'!W65)))*IF(H$94=".", 1, (H66/H65)^(('Summary, PPI''s'!$H66+'Summary, PPI''s'!$H65)/('Predicted PPIs'!W66+'Predicted PPIs'!W65)))*IF(I$94=".", 1, (I66/I65)^(('Summary, PPI''s'!$I66+'Summary, PPI''s'!$I65)/('Predicted PPIs'!W66+'Predicted PPIs'!W65)))*IF(J$94=".", 1, (J66/J65)^(('Summary, PPI''s'!$J66+'Summary, PPI''s'!$J65)/('Predicted PPIs'!W66+'Predicted PPIs'!W65)))*IF(K$94=".", 1, (K66/K65)^(('Summary, PPI''s'!$K66+'Summary, PPI''s'!$K65)/('Predicted PPIs'!W66+'Predicted PPIs'!W65)))*IF(L$94=".", 1, (L66/L65)^(('Summary, PPI''s'!$L66+'Summary, PPI''s'!$L65)/('Predicted PPIs'!W66+'Predicted PPIs'!W65)))*IF(M$94=".", 1, (M66/M65)^(('Summary, PPI''s'!$M66+'Summary, PPI''s'!$M65)/('Predicted PPIs'!W66+'Predicted PPIs'!W65)))*IF(B$94=".", 1, (B66/B65)^(('Summary, PPI''s'!$B66+'Summary, PPI''s'!$B65)/('Predicted PPIs'!W66+'Predicted PPIs'!W65)))*IF(C$94=".", 1, (C66/C65)^(('Summary, PPI''s'!$C66+'Summary, PPI''s'!$C65)/('Predicted PPIs'!W66+'Predicted PPIs'!W65)))*IF(D$94=".", 1, (D66/D65)^(('Summary, PPI''s'!$D66+'Summary, PPI''s'!$D65)/('Predicted PPIs'!W66+'Predicted PPIs'!W65)))*IF(N$94=".", 1, (N66/N65)^(('Summary, PPI''s'!$N66+'Summary, PPI''s'!$N65)/('Predicted PPIs'!W66+'Predicted PPIs'!W65)))*IF(O$94=".", 1, (O66/O65)^(('Summary, PPI''s'!$O66+'Summary, PPI''s'!$O65)/('Predicted PPIs'!W66+'Predicted PPIs'!W65)))*IF(P$94=".", 1, (P66/P65)^(('Summary, PPI''s'!$P66+'Summary, PPI''s'!$P65)/('Predicted PPIs'!W66+'Predicted PPIs'!W65)))</f>
        <v>8.6888507571887601</v>
      </c>
      <c r="AF66" s="4">
        <f>AF65*IF(E$123=".", 1, (E66/E65)^(('Summary, PPI''s'!$E66+'Summary, PPI''s'!$E65)/('Predicted PPIs'!X66+'Predicted PPIs'!X65)))*IF(F$123=".", 1, (F66/F65)^(('Summary, PPI''s'!$F66+'Summary, PPI''s'!$F65)/('Predicted PPIs'!X66+'Predicted PPIs'!X65)))*IF(G$123=".", 1, (G66/G65)^(('Summary, PPI''s'!$G66+'Summary, PPI''s'!$G65)/('Predicted PPIs'!X66+'Predicted PPIs'!X65)))*IF(H$123=".", 1, (H66/H65)^(('Summary, PPI''s'!$H66+'Summary, PPI''s'!$H65)/('Predicted PPIs'!X66+'Predicted PPIs'!X65)))*IF(I$123=".", 1, (I66/I65)^(('Summary, PPI''s'!$I66+'Summary, PPI''s'!$I65)/('Predicted PPIs'!X66+'Predicted PPIs'!X65)))*IF(J$123=".", 1, (J66/J65)^(('Summary, PPI''s'!$J66+'Summary, PPI''s'!$J65)/('Predicted PPIs'!X66+'Predicted PPIs'!X65)))*IF(K$123=".", 1, (K66/K65)^(('Summary, PPI''s'!$K66+'Summary, PPI''s'!$K65)/('Predicted PPIs'!X66+'Predicted PPIs'!X65)))*IF(L$123=".", 1, (L66/L65)^(('Summary, PPI''s'!$L66+'Summary, PPI''s'!$L65)/('Predicted PPIs'!X66+'Predicted PPIs'!X65)))*IF(M$123=".", 1, (M66/M65)^(('Summary, PPI''s'!$M66+'Summary, PPI''s'!$M65)/('Predicted PPIs'!X66+'Predicted PPIs'!X65)))*IF(B$123=".", 1, (B66/B65)^(('Summary, PPI''s'!$B66+'Summary, PPI''s'!$B65)/('Predicted PPIs'!X66+'Predicted PPIs'!X65)))*IF(C$123=".", 1, (C66/C65)^(('Summary, PPI''s'!$C66+'Summary, PPI''s'!$C65)/('Predicted PPIs'!X66+'Predicted PPIs'!X65)))*IF(D$123=".", 1, (D66/D65)^(('Summary, PPI''s'!$D66+'Summary, PPI''s'!$D65)/('Predicted PPIs'!X66+'Predicted PPIs'!X65)))*IF(N$123=".", 1, (N66/N65)^(('Summary, PPI''s'!$N66+'Summary, PPI''s'!$N65)/('Predicted PPIs'!X66+'Predicted PPIs'!X65)))*IF(O$123=".", 1, (O66/O65)^(('Summary, PPI''s'!$O66+'Summary, PPI''s'!$O65)/('Predicted PPIs'!X66+'Predicted PPIs'!X65)))*IF(P$123=".", 1, (P66/P65)^(('Summary, PPI''s'!$P66+'Summary, PPI''s'!$P65)/('Predicted PPIs'!X66+'Predicted PPIs'!X65)))</f>
        <v>8.4225798856006513</v>
      </c>
      <c r="AH66" s="13">
        <f t="shared" si="91"/>
        <v>11.080430421671178</v>
      </c>
      <c r="AJ66" s="4">
        <v>286.3</v>
      </c>
      <c r="AK66" s="4">
        <v>-1.484</v>
      </c>
      <c r="AL66" s="4">
        <v>-25.036000000000001</v>
      </c>
      <c r="AM66" s="4">
        <v>-1.7869999999999999</v>
      </c>
      <c r="AN66" s="4">
        <v>377.3</v>
      </c>
      <c r="AO66" s="4">
        <v>75.5</v>
      </c>
      <c r="AP66" s="4">
        <f>('[4]1957'!$I$14+'[4]1957'!$I$51+'[4]1957'!$I$53-'[4]1957'!$I$55)*0.001</f>
        <v>-7.3289999999999997</v>
      </c>
      <c r="AQ66" s="4">
        <f>('[4]1957'!$AK$42+'[4]1957'!$AK$51+'[4]1957'!$AK$53-'[4]1957'!$AK$55)*0.001</f>
        <v>-13.744</v>
      </c>
      <c r="AR66" s="4">
        <f t="shared" si="148"/>
        <v>-5.286029869931666E-3</v>
      </c>
      <c r="AS66" s="4">
        <v>-1.8620000000000001</v>
      </c>
      <c r="AT66" s="4">
        <v>15.57</v>
      </c>
      <c r="AU66" s="4">
        <v>22.53</v>
      </c>
      <c r="AV66" s="4">
        <v>13.695</v>
      </c>
      <c r="AW66" s="4">
        <v>11.263999999999999</v>
      </c>
      <c r="AX66" s="4">
        <v>15.768000000000001</v>
      </c>
      <c r="AY66" s="4">
        <v>23.082000000000001</v>
      </c>
      <c r="AZ66" s="4">
        <v>8.92</v>
      </c>
      <c r="BA66" s="4">
        <v>18.713000000000001</v>
      </c>
      <c r="BB66" s="4">
        <f t="shared" ref="BB66:BB94" si="150">BB65*BA66/BA65</f>
        <v>107.03374722574621</v>
      </c>
      <c r="BC66" s="4">
        <v>15.981</v>
      </c>
      <c r="BG66" s="4">
        <f t="shared" si="50"/>
        <v>17.864234065653804</v>
      </c>
      <c r="BI66" s="4">
        <f>BI$13*'[2]Ordinary Experience'!$D$360/'[2]Ordinary Experience'!$D$413</f>
        <v>170353517.35551539</v>
      </c>
      <c r="BJ66" s="4">
        <f>'[2]Ordinary Experience'!$E$360</f>
        <v>29.775424123200445</v>
      </c>
      <c r="BL66" s="4">
        <f t="shared" si="90"/>
        <v>37.677310896639533</v>
      </c>
      <c r="BM66" s="4">
        <f t="shared" si="34"/>
        <v>-1.0195489470465668E-2</v>
      </c>
      <c r="BO66" s="4" t="str">
        <f>IF(OR('Summary, hourly ad costs'!R66=-9999,'Summary, PPI''s'!R66="."),".",(('Summary, hourly ad costs'!B66/'Summary, hourly ad costs'!R66)*100/('Summary, hourly ad costs'!B$11/'Summary, hourly ad costs'!R$11))/('Summary, PPI''s'!R66))</f>
        <v>.</v>
      </c>
      <c r="BP66" s="4" t="str">
        <f>IF(OR('Summary, hourly ad costs'!S66=-9999,'Summary, PPI''s'!S66="."),".",(('Summary, hourly ad costs'!C66/'Summary, hourly ad costs'!S66)*100/('Summary, hourly ad costs'!C$11/'Summary, hourly ad costs'!S$11))/('Summary, PPI''s'!S66))</f>
        <v>.</v>
      </c>
      <c r="BQ66" s="4" t="str">
        <f>IF(OR('Summary, hourly ad costs'!T66=-9999,'Summary, PPI''s'!T66="."),".",(('Summary, hourly ad costs'!D66/'Summary, hourly ad costs'!T66)*100/('Summary, hourly ad costs'!D$11/'Summary, hourly ad costs'!T$11))/('Summary, PPI''s'!T66))</f>
        <v>.</v>
      </c>
      <c r="BR66" s="4" t="str">
        <f>IF(OR('Summary, hourly ad costs'!U66=-9999,'Summary, PPI''s'!U66="."),".",(('Summary, hourly ad costs'!E66/'Summary, hourly ad costs'!U66)*100/('Summary, hourly ad costs'!E$11/'Summary, hourly ad costs'!U$11))/('Summary, PPI''s'!U66))</f>
        <v>.</v>
      </c>
      <c r="BS66" s="4" t="str">
        <f>IF(OR('Summary, hourly ad costs'!V66=-9999,'Summary, PPI''s'!V66="."),".",(('Summary, hourly ad costs'!F66/'Summary, hourly ad costs'!V66)*100/('Summary, hourly ad costs'!F$11/'Summary, hourly ad costs'!V$11))/('Summary, PPI''s'!V66))</f>
        <v>.</v>
      </c>
      <c r="BT66" s="4" t="str">
        <f>IF(OR('Summary, hourly ad costs'!W66=-9999,'Summary, PPI''s'!W66="."),".",(('Summary, hourly ad costs'!G66/'Summary, hourly ad costs'!W66)*100/('Summary, hourly ad costs'!G$11/'Summary, hourly ad costs'!W$11))/('Summary, PPI''s'!W66))</f>
        <v>.</v>
      </c>
      <c r="BU66" s="4" t="str">
        <f>IF(OR('Summary, hourly ad costs'!X66=-9999,'Summary, PPI''s'!X66="."),".",(('Summary, hourly ad costs'!H66/'Summary, hourly ad costs'!X66)*100/('Summary, hourly ad costs'!H$11/'Summary, hourly ad costs'!X$11))/('Summary, PPI''s'!X66))</f>
        <v>.</v>
      </c>
      <c r="BV66" s="4" t="str">
        <f>IF(OR('Summary, hourly ad costs'!Y66=-9999,'Summary, PPI''s'!Y66="."),".",(('Summary, hourly ad costs'!I66/'Summary, hourly ad costs'!Y66)*100/('Summary, hourly ad costs'!I$11/'Summary, hourly ad costs'!Y$11))/('Summary, PPI''s'!Y66))</f>
        <v>.</v>
      </c>
      <c r="BW66" s="4" t="str">
        <f>IF(OR('Summary, hourly ad costs'!Z66=-9999,'Summary, PPI''s'!Z66="."),".",(('Summary, hourly ad costs'!J66/'Summary, hourly ad costs'!Z66)*100/('Summary, hourly ad costs'!J$11/'Summary, hourly ad costs'!Z$11))/('Summary, PPI''s'!Z66))</f>
        <v>.</v>
      </c>
      <c r="BX66" s="4" t="str">
        <f>IF(OR('Summary, hourly ad costs'!AA66=-9999,'Summary, PPI''s'!AA66="."),".",(('Summary, hourly ad costs'!K66/'Summary, hourly ad costs'!AA66)*100/('Summary, hourly ad costs'!K$11/'Summary, hourly ad costs'!AA$11))/('Summary, PPI''s'!AA66))</f>
        <v>.</v>
      </c>
      <c r="BY66" s="4" t="str">
        <f>IF(OR('Summary, hourly ad costs'!AB66=-9999,'Summary, PPI''s'!AB66="."),".",(('Summary, hourly ad costs'!L66/'Summary, hourly ad costs'!AB66)*100/('Summary, hourly ad costs'!L$11/'Summary, hourly ad costs'!AB$11))/('Summary, PPI''s'!AB66))</f>
        <v>.</v>
      </c>
      <c r="BZ66" s="4" t="str">
        <f>IF(OR('Summary, hourly ad costs'!AC66=-9999,'Summary, PPI''s'!AC66="."),".",(('Summary, hourly ad costs'!M66/'Summary, hourly ad costs'!AC66)*100/('Summary, hourly ad costs'!M$11/'Summary, hourly ad costs'!AC$11))/('Summary, PPI''s'!AC66))</f>
        <v>.</v>
      </c>
      <c r="CA66" s="4" t="str">
        <f>IF(OR('Summary, hourly ad costs'!AD66=-9999,'Summary, PPI''s'!AD66="."),".",(('Summary, hourly ad costs'!N66/'Summary, hourly ad costs'!AD66)*100/('Summary, hourly ad costs'!N$11/'Summary, hourly ad costs'!AD$11))/('Summary, PPI''s'!AD66))</f>
        <v>.</v>
      </c>
      <c r="CB66" s="4" t="str">
        <f>IF(OR('Summary, hourly ad costs'!AE66=-9999,'Summary, PPI''s'!AE66="."),".",(('Summary, hourly ad costs'!O66/'Summary, hourly ad costs'!AE66)*100/('Summary, hourly ad costs'!O$11/'Summary, hourly ad costs'!AE$11))/('Summary, PPI''s'!AE66))</f>
        <v>.</v>
      </c>
      <c r="CC66" s="4" t="str">
        <f>IF(OR('Summary, hourly ad costs'!AF66=-9999,'Summary, PPI''s'!AF66="."),".",(('Summary, hourly ad costs'!P66/'Summary, hourly ad costs'!AF66)*100/('Summary, hourly ad costs'!P$11/'Summary, hourly ad costs'!AF$11))/('Summary, PPI''s'!AF66))</f>
        <v>.</v>
      </c>
      <c r="CE66" s="4">
        <f t="shared" si="134"/>
        <v>-4.1549786286685868E-2</v>
      </c>
      <c r="CF66" s="4" t="str">
        <f t="shared" si="135"/>
        <v>.</v>
      </c>
      <c r="CG66" s="4" t="str">
        <f t="shared" si="136"/>
        <v>.</v>
      </c>
      <c r="CH66" s="4">
        <f t="shared" si="145"/>
        <v>-3.4394560833391548E-2</v>
      </c>
      <c r="CI66" s="4">
        <f t="shared" si="145"/>
        <v>-3.7358704993852902E-2</v>
      </c>
      <c r="CJ66" s="4" t="str">
        <f t="shared" si="147"/>
        <v>.</v>
      </c>
      <c r="CK66" s="4">
        <f t="shared" si="149"/>
        <v>5.115238448653657E-3</v>
      </c>
      <c r="CL66" s="4">
        <f t="shared" si="130"/>
        <v>-2.6394600161788007E-2</v>
      </c>
      <c r="CM66" s="4">
        <f t="shared" si="130"/>
        <v>5.7604805603724638E-3</v>
      </c>
      <c r="CN66" s="4">
        <f t="shared" si="89"/>
        <v>-4.1019956980039116E-2</v>
      </c>
      <c r="CO66" s="4">
        <f t="shared" si="120"/>
        <v>-7.2837781664377516E-2</v>
      </c>
      <c r="CP66" s="4">
        <f t="shared" si="120"/>
        <v>0.21788800956282472</v>
      </c>
      <c r="CQ66" s="4" t="str">
        <f t="shared" si="110"/>
        <v>.</v>
      </c>
      <c r="CR66" s="4" t="str">
        <f t="shared" si="111"/>
        <v>.</v>
      </c>
      <c r="CS66" s="4" t="str">
        <f t="shared" si="112"/>
        <v>.</v>
      </c>
      <c r="CU66" s="5">
        <f>IF(CU65=".", ".", IF('Summary, PPI''s'!R66=".",IF(OR('Summary, hourly ad costs'!R66=-9999,'Summary, hourly ad costs'!R66=0), ".", 'Predicted PPIs'!CU65*('Summary, hourly ad costs'!B66/'Summary, hourly ad costs'!R66)/('Summary, hourly ad costs'!B65/'Summary, hourly ad costs'!R65)/(1-CE65)), 'Summary, PPI''s'!R66))</f>
        <v>22.693102182218098</v>
      </c>
      <c r="CV66" s="5" t="str">
        <f>IF(CV65=".", ".", IF('Summary, PPI''s'!S66=".",IF(OR('Summary, hourly ad costs'!S66=-9999,'Summary, hourly ad costs'!S66=0), ".", 'Predicted PPIs'!CV65*('Summary, hourly ad costs'!C66/'Summary, hourly ad costs'!S66)/('Summary, hourly ad costs'!C65/'Summary, hourly ad costs'!S65)/(1-CF65)), 'Summary, PPI''s'!S66))</f>
        <v>.</v>
      </c>
      <c r="CW66" s="5" t="str">
        <f>IF(CW65=".", ".", IF('Summary, PPI''s'!T66=".",IF(OR('Summary, hourly ad costs'!T66=-9999,'Summary, hourly ad costs'!T66=0), ".", 'Predicted PPIs'!CW65*('Summary, hourly ad costs'!D66/'Summary, hourly ad costs'!T66)/('Summary, hourly ad costs'!D65/'Summary, hourly ad costs'!T65)/(1-CG65)), 'Summary, PPI''s'!T66))</f>
        <v>.</v>
      </c>
      <c r="CX66" s="5">
        <f>IF(CX65=".", ".", IF('Summary, PPI''s'!U66=".",IF(OR('Summary, hourly ad costs'!U66=-9999,'Summary, hourly ad costs'!U66=0), ".", 'Predicted PPIs'!CX65*('Summary, hourly ad costs'!E66/'Summary, hourly ad costs'!U66)/('Summary, hourly ad costs'!E65/'Summary, hourly ad costs'!U65)/(1-CH65)), 'Summary, PPI''s'!U66))</f>
        <v>6.3036941397211663</v>
      </c>
      <c r="CY66" s="5">
        <f>IF(CY65=".", ".", IF('Summary, PPI''s'!V66=".",IF(OR('Summary, hourly ad costs'!V66=-9999,'Summary, hourly ad costs'!V66=0), ".", 'Predicted PPIs'!CY65*('Summary, hourly ad costs'!F66/'Summary, hourly ad costs'!V66)/('Summary, hourly ad costs'!F65/'Summary, hourly ad costs'!V65)/(1-CI65)), 'Summary, PPI''s'!V66))</f>
        <v>11.767949158930671</v>
      </c>
      <c r="CZ66" s="5" t="str">
        <f>IF(CZ65=".", ".", IF('Summary, PPI''s'!W66=".",IF(OR('Summary, hourly ad costs'!W66=-9999,'Summary, hourly ad costs'!W66=0), ".", 'Predicted PPIs'!CZ65*('Summary, hourly ad costs'!G66/'Summary, hourly ad costs'!W66)/('Summary, hourly ad costs'!G65/'Summary, hourly ad costs'!W65)/(1-CJ65)), 'Summary, PPI''s'!W66))</f>
        <v>.</v>
      </c>
      <c r="DA66" s="5">
        <f>IF(DA65=".", ".", IF('Summary, PPI''s'!X66=".",IF(OR('Summary, hourly ad costs'!X66=-9999,'Summary, hourly ad costs'!X66=0), ".", 'Predicted PPIs'!DA65*('Summary, hourly ad costs'!H66/'Summary, hourly ad costs'!X66)/('Summary, hourly ad costs'!H65/'Summary, hourly ad costs'!X65)/(1-CK65)), 'Summary, PPI''s'!X66))</f>
        <v>5.2345291465254942</v>
      </c>
      <c r="DB66" s="5">
        <f>IF(DB65=".", ".", IF('Summary, PPI''s'!Y66=".",IF(OR('Summary, hourly ad costs'!Y66=-9999,'Summary, hourly ad costs'!Y66=0), ".", 'Predicted PPIs'!DB65*('Summary, hourly ad costs'!I66/'Summary, hourly ad costs'!Y66)/('Summary, hourly ad costs'!I65/'Summary, hourly ad costs'!Y65)/(1-CL65)), 'Summary, PPI''s'!Y66))</f>
        <v>8.5774454247028888</v>
      </c>
      <c r="DC66" s="5">
        <f>IF(DC65=".", ".", IF('Summary, PPI''s'!Z66=".",IF(OR('Summary, hourly ad costs'!Z66=-9999,'Summary, hourly ad costs'!Z66=0), ".", 'Predicted PPIs'!DC65*('Summary, hourly ad costs'!J66/'Summary, hourly ad costs'!Z66)/('Summary, hourly ad costs'!J65/'Summary, hourly ad costs'!Z65)/(1-CM65)), 'Summary, PPI''s'!Z66))</f>
        <v>16.381601043268269</v>
      </c>
      <c r="DD66" s="5" t="str">
        <f>IF(DD65=".", ".", IF('Summary, PPI''s'!AA66=".",IF(OR('Summary, hourly ad costs'!AA66=-9999,'Summary, hourly ad costs'!AA66=0), ".", 'Predicted PPIs'!DD65*('Summary, hourly ad costs'!K66/'Summary, hourly ad costs'!AA66)/('Summary, hourly ad costs'!K65/'Summary, hourly ad costs'!AA65)/(1-CN65)), 'Summary, PPI''s'!AA66))</f>
        <v>.</v>
      </c>
      <c r="DE66" s="5" t="str">
        <f>IF(DE65=".", ".", IF('Summary, PPI''s'!AB66=".",IF(OR('Summary, hourly ad costs'!AB66=-9999,'Summary, hourly ad costs'!AB66=0), ".", 'Predicted PPIs'!DE65*('Summary, hourly ad costs'!L66/'Summary, hourly ad costs'!AB66)/('Summary, hourly ad costs'!L65/'Summary, hourly ad costs'!AB65)/(1-CO65)), 'Summary, PPI''s'!AB66))</f>
        <v>.</v>
      </c>
      <c r="DF66" s="5" t="str">
        <f>IF(DF65=".", ".", IF('Summary, PPI''s'!AC66=".",IF(OR('Summary, hourly ad costs'!AC66=-9999,'Summary, hourly ad costs'!AC66=0), ".", 'Predicted PPIs'!DF65*('Summary, hourly ad costs'!M66/'Summary, hourly ad costs'!AC66)/('Summary, hourly ad costs'!M65/'Summary, hourly ad costs'!AC65)/(1-CP65)), 'Summary, PPI''s'!AC66))</f>
        <v>.</v>
      </c>
      <c r="DG66" s="5" t="str">
        <f>IF(DG65=".", ".", IF('Summary, PPI''s'!AD66=".",IF(OR('Summary, hourly ad costs'!AD66=-9999,'Summary, hourly ad costs'!AD66=0), ".", 'Predicted PPIs'!DG65*('Summary, hourly ad costs'!N66/'Summary, hourly ad costs'!AD66)/('Summary, hourly ad costs'!N65/'Summary, hourly ad costs'!AD65)/(1-CQ65)), 'Summary, PPI''s'!AD66))</f>
        <v>.</v>
      </c>
      <c r="DH66" s="5" t="str">
        <f>IF(DH65=".", ".", IF('Summary, PPI''s'!AE66=".",IF(OR('Summary, hourly ad costs'!AE66=-9999,'Summary, hourly ad costs'!AE66=0), ".", 'Predicted PPIs'!DH65*('Summary, hourly ad costs'!O66/'Summary, hourly ad costs'!AE66)/('Summary, hourly ad costs'!O65/'Summary, hourly ad costs'!AE65)/(1-CR65)), 'Summary, PPI''s'!AE66))</f>
        <v>.</v>
      </c>
      <c r="DI66" s="5" t="str">
        <f>IF(DI65=".", ".", IF('Summary, PPI''s'!AF66=".",IF(OR('Summary, hourly ad costs'!AF66=-9999,'Summary, hourly ad costs'!AF66=0), ".", 'Predicted PPIs'!DI65*('Summary, hourly ad costs'!P66/'Summary, hourly ad costs'!AF66)/('Summary, hourly ad costs'!P65/'Summary, hourly ad costs'!AF65)/(1-CS65)), 'Summary, PPI''s'!AF66))</f>
        <v>.</v>
      </c>
      <c r="DK66" s="4">
        <v>5.7539999999999996</v>
      </c>
      <c r="DM66" s="5">
        <f t="shared" si="138"/>
        <v>-5.2021173619810068E-2</v>
      </c>
      <c r="DN66" s="4">
        <f t="shared" si="139"/>
        <v>-1.766965356772714E-2</v>
      </c>
      <c r="DO66" s="4">
        <f t="shared" si="123"/>
        <v>-2.2914645902448381E-2</v>
      </c>
      <c r="DP66" s="5">
        <f t="shared" si="140"/>
        <v>2.0645796720466514E-2</v>
      </c>
      <c r="DQ66" s="5">
        <f t="shared" si="141"/>
        <v>0.10513786577956918</v>
      </c>
      <c r="DR66" s="4">
        <f t="shared" si="146"/>
        <v>-1.2699546027196787E-2</v>
      </c>
      <c r="DS66" s="5">
        <f t="shared" si="142"/>
        <v>0.37725346761120138</v>
      </c>
      <c r="DT66" s="5">
        <f t="shared" si="143"/>
        <v>3.1317891574182299E-2</v>
      </c>
      <c r="DU66" s="5">
        <f t="shared" si="144"/>
        <v>-7.2645781686805022E-2</v>
      </c>
      <c r="DV66" s="4">
        <f t="shared" si="131"/>
        <v>1.2324112133807329E-3</v>
      </c>
      <c r="DW66" s="4">
        <f t="shared" si="133"/>
        <v>1.156057515184495E-2</v>
      </c>
      <c r="DX66" s="4">
        <f t="shared" si="133"/>
        <v>-0.19732875157161192</v>
      </c>
      <c r="DY66" s="4">
        <f t="shared" si="108"/>
        <v>-2.1487629267195069E-2</v>
      </c>
      <c r="DZ66" s="4">
        <f t="shared" si="132"/>
        <v>-1.5230686626348697E-2</v>
      </c>
      <c r="EA66" s="4">
        <f t="shared" si="109"/>
        <v>-1.2811836601734312E-2</v>
      </c>
      <c r="EC66" s="1">
        <f t="shared" si="93"/>
        <v>22.693102182218098</v>
      </c>
      <c r="ED66" s="1">
        <f t="shared" si="94"/>
        <v>15.952280471972193</v>
      </c>
      <c r="EE66" s="1">
        <f t="shared" si="95"/>
        <v>8.9286598604029628</v>
      </c>
      <c r="EF66" s="1">
        <f t="shared" si="96"/>
        <v>6.3036941397211663</v>
      </c>
      <c r="EG66" s="1">
        <f t="shared" si="97"/>
        <v>11.767949158930671</v>
      </c>
      <c r="EH66" s="1">
        <f t="shared" si="98"/>
        <v>7.2409686048196038</v>
      </c>
      <c r="EI66" s="1">
        <f t="shared" si="99"/>
        <v>5.2345291465254942</v>
      </c>
      <c r="EJ66" s="1">
        <f t="shared" si="100"/>
        <v>8.5774454247028888</v>
      </c>
      <c r="EK66" s="1">
        <f t="shared" si="101"/>
        <v>16.381601043268269</v>
      </c>
      <c r="EL66" s="1">
        <f t="shared" si="102"/>
        <v>4.696344564725524</v>
      </c>
      <c r="EM66" s="1">
        <f t="shared" si="103"/>
        <v>1.7628255208010917</v>
      </c>
      <c r="EN66" s="1">
        <f t="shared" si="104"/>
        <v>4.648525576370929</v>
      </c>
      <c r="EO66" s="1">
        <f t="shared" si="105"/>
        <v>5.5034339013967415</v>
      </c>
      <c r="EP66" s="1">
        <f t="shared" si="106"/>
        <v>7.5563848722332319</v>
      </c>
      <c r="EQ66" s="1">
        <f t="shared" si="107"/>
        <v>5.8118306844726879</v>
      </c>
      <c r="ES66" s="1">
        <f>IF(EF$26=".", 0, 'Summary, PPI''s'!E66)+IF(EG$26=".", 0, 'Summary, PPI''s'!F66)+IF(EH$26=".", 0, 'Summary, PPI''s'!G66)+IF(EI$26=".", 0, 'Summary, PPI''s'!H66)+IF(EJ$26=".", 0, 'Summary, PPI''s'!I66)+IF(EK$26=".", 0, 'Summary, PPI''s'!J66)+IF(EL$26=".", 0, 'Summary, PPI''s'!K66)+IF(EM$26=".", 0, 'Summary, PPI''s'!L66)+IF(EN$26=".", 0, 'Summary, PPI''s'!M66)+IF(EC$26=".", 0, 'Summary, PPI''s'!B66)+IF(ED$26=".", 0, 'Summary, PPI''s'!C66)+IF(EE$26=".", 0, 'Summary, PPI''s'!D66)+IF(EO$26=".", 0, 'Summary, PPI''s'!N66)+IF(EP$26=".", 0, 'Summary, PPI''s'!O66)+IF(EQ$26=".", 0, 'Summary, PPI''s'!P66)</f>
        <v>10760499.51927828</v>
      </c>
      <c r="ET66" s="1">
        <f>'Summary, hourly ad costs'!E66+'Summary, hourly ad costs'!F66+'Summary, hourly ad costs'!H66+'Summary, hourly ad costs'!I66+'Summary, hourly ad costs'!J66+'Summary, hourly ad costs'!K66+'Summary, hourly ad costs'!L66+'Summary, hourly ad costs'!M66+'Summary, hourly ad costs'!B66</f>
        <v>6204413.0850303536</v>
      </c>
      <c r="EV66" s="13">
        <f>EV65*IF(EF$26=".", 1, (EF66/EF65)^(('Summary, PPI''s'!$E66+'Summary, PPI''s'!$E65)/('Predicted PPIs'!ES66+'Predicted PPIs'!ES65)))*IF(EG$26=".", 1, (EG66/EG65)^(('Summary, PPI''s'!$F66+'Summary, PPI''s'!$F65)/('Predicted PPIs'!ES66+'Predicted PPIs'!ES65)))*IF(EH$26=".", 1, (EH66/EH65)^(('Summary, PPI''s'!$G66+'Summary, PPI''s'!$G65)/('Predicted PPIs'!ES66+'Predicted PPIs'!ES65)))*IF(EI$26=".", 1, (EI66/EI65)^(('Summary, PPI''s'!$H66+'Summary, PPI''s'!$H65)/('Predicted PPIs'!ES66+'Predicted PPIs'!ES65)))*IF(EJ$26=".", 1, (EJ66/EJ65)^(('Summary, PPI''s'!$I66+'Summary, PPI''s'!$I65)/('Predicted PPIs'!ES66+'Predicted PPIs'!ES65)))*IF(EK$26=".", 1, (EK66/EK65)^(('Summary, PPI''s'!$J66+'Summary, PPI''s'!$J65)/('Predicted PPIs'!ES66+'Predicted PPIs'!ES65)))*IF(EL$26=".", 1, (EL66/EL65)^(('Summary, PPI''s'!$K66+'Summary, PPI''s'!$K65)/('Predicted PPIs'!ES66+'Predicted PPIs'!ES65)))*IF(EM$26=".", 1, (EM66/EM65)^(('Summary, PPI''s'!$L66+'Summary, PPI''s'!$L65)/('Predicted PPIs'!ES66+'Predicted PPIs'!ES65)))*IF(EN$26=".", 1, (EN66/EN65)^(('Summary, PPI''s'!$M66+'Summary, PPI''s'!$M65)/('Predicted PPIs'!ES66+'Predicted PPIs'!ES65)))*IF(EC$26=".", 1, (EC66/EC65)^(('Summary, PPI''s'!$B66+'Summary, PPI''s'!$B65)/('Predicted PPIs'!ES66+'Predicted PPIs'!ES65)))*IF(ED$26=".", 1, (ED66/ED65)^(('Summary, PPI''s'!$C66+'Summary, PPI''s'!$C65)/('Predicted PPIs'!ES66+'Predicted PPIs'!ES65)))*IF(EE$26=".", 1, (EE66/EE65)^(('Summary, PPI''s'!$D66+'Summary, PPI''s'!$D65)/('Predicted PPIs'!ES66+'Predicted PPIs'!ES65)))*IF(EO$26=".", 1, (EO66/EO65)^(('Summary, PPI''s'!$N66+'Summary, PPI''s'!$N65)/('Predicted PPIs'!ES66+'Predicted PPIs'!ES65)))*IF(EP$26=".", 1, (EP66/EP65)^(('Summary, PPI''s'!$O66+'Summary, PPI''s'!$O65)/('Predicted PPIs'!ES66+'Predicted PPIs'!ES65)))*IF(EQ$26=".", 1, (EQ66/EQ65)^(('Summary, PPI''s'!$P66+'Summary, PPI''s'!$P65)/('Predicted PPIs'!ES66+'Predicted PPIs'!ES65)))</f>
        <v>9.7749941188553784</v>
      </c>
      <c r="EW66" s="13">
        <f>EW65*IF(EF$26=".", 1, (EF66/EF65)^(('Summary, PPI''s'!$E66+'Summary, PPI''s'!$E65)/('Predicted PPIs'!ET66+'Predicted PPIs'!ET65)))*IF(EG$26=".", 1, (EG66/EG65)^(('Summary, PPI''s'!$F66+'Summary, PPI''s'!$F65)/('Predicted PPIs'!ET66+'Predicted PPIs'!ET65)))*IF(EH$26=".", 1, (EH66/EH65)^(('Summary, PPI''s'!$G66+'Summary, PPI''s'!$G65)/('Predicted PPIs'!ET66+'Predicted PPIs'!ET65)))*IF(EK$26=".", 1, (EK66/EK65)^(('Summary, PPI''s'!$J66+'Summary, PPI''s'!$J65)/('Predicted PPIs'!ET66+'Predicted PPIs'!ET65)))*IF(EL$26=".", 1, (EL66/EL65)^(('Summary, PPI''s'!$K66+'Summary, PPI''s'!$K65)/('Predicted PPIs'!ET66+'Predicted PPIs'!ET65)))*IF(EM$26=".", 1, (EM66/EM65)^(('Summary, PPI''s'!$L66+'Summary, PPI''s'!$L65)/('Predicted PPIs'!ET66+'Predicted PPIs'!ET65)))*IF(EN$26=".", 1, (EN66/EN65)^(('Summary, PPI''s'!$M66+'Summary, PPI''s'!$M65)/('Predicted PPIs'!ET66+'Predicted PPIs'!ET65)))*IF(EC$26=".", 1, (EC66/EC65)^(('Summary, PPI''s'!$B66+'Summary, PPI''s'!$B65)/('Predicted PPIs'!ET66+'Predicted PPIs'!ET65)))</f>
        <v>13.273458578900513</v>
      </c>
      <c r="EY66" s="2"/>
    </row>
    <row r="67" spans="1:155" x14ac:dyDescent="0.3">
      <c r="A67" s="4">
        <v>1956</v>
      </c>
      <c r="B67" s="10">
        <f>IF(B66=".", ".", IF('Summary, PPI''s'!R67=".",IF(OR('Summary, hourly ad costs'!R67=-9999,'Summary, hourly ad costs'!R67=0), ".", 'Predicted PPIs'!B66*('Summary, hourly ad costs'!B67/'Summary, hourly ad costs'!R67)/('Summary, hourly ad costs'!B66/'Summary, hourly ad costs'!R66)), 'Summary, PPI''s'!R67))</f>
        <v>25.429780564350661</v>
      </c>
      <c r="C67" s="10" t="str">
        <f>IF(C66=".", ".", IF('Summary, PPI''s'!S67=".",IF(OR('Summary, hourly ad costs'!S67=-9999,'Summary, hourly ad costs'!S67=0), ".", 'Predicted PPIs'!C66*('Summary, hourly ad costs'!C67/'Summary, hourly ad costs'!S67)/('Summary, hourly ad costs'!C66/'Summary, hourly ad costs'!S66)), 'Summary, PPI''s'!S67))</f>
        <v>.</v>
      </c>
      <c r="D67" s="10" t="str">
        <f>IF(D66=".", ".", IF('Summary, PPI''s'!T67=".",IF(OR('Summary, hourly ad costs'!T67=-9999,'Summary, hourly ad costs'!T67=0), ".", 'Predicted PPIs'!D66*('Summary, hourly ad costs'!D67/'Summary, hourly ad costs'!T67)/('Summary, hourly ad costs'!D66/'Summary, hourly ad costs'!T66)), 'Summary, PPI''s'!T67))</f>
        <v>.</v>
      </c>
      <c r="E67" s="10">
        <f>IF(E66=".", ".", IF('Summary, PPI''s'!U67=".",IF(OR('Summary, hourly ad costs'!U67=-9999,'Summary, hourly ad costs'!U67=0), ".", 'Predicted PPIs'!E66*('Summary, hourly ad costs'!E67/'Summary, hourly ad costs'!U67)/('Summary, hourly ad costs'!E66/'Summary, hourly ad costs'!U66)), 'Summary, PPI''s'!U67))</f>
        <v>5.8359239010911699</v>
      </c>
      <c r="F67" s="10">
        <f>IF(F66=".", ".", IF('Summary, PPI''s'!V67=".",IF(OR('Summary, hourly ad costs'!V67=-9999,'Summary, hourly ad costs'!V67=0), ".", 'Predicted PPIs'!F66*('Summary, hourly ad costs'!F67/'Summary, hourly ad costs'!V67)/('Summary, hourly ad costs'!F66/'Summary, hourly ad costs'!V66)), 'Summary, PPI''s'!V67))</f>
        <v>9.9228631103842719</v>
      </c>
      <c r="G67" s="10" t="str">
        <f>IF(G66=".", ".", IF('Summary, PPI''s'!W67=".",IF(OR('Summary, hourly ad costs'!W67=-9999,'Summary, hourly ad costs'!W67=0), ".", 'Predicted PPIs'!G66*('Summary, hourly ad costs'!G67/'Summary, hourly ad costs'!W67)/('Summary, hourly ad costs'!G66/'Summary, hourly ad costs'!W66)), 'Summary, PPI''s'!W67))</f>
        <v>.</v>
      </c>
      <c r="H67" s="10">
        <f>IF(H66=".", ".", IF('Summary, PPI''s'!X67=".",IF(OR('Summary, hourly ad costs'!X67=-9999,'Summary, hourly ad costs'!X67=0), ".", 'Predicted PPIs'!H66*('Summary, hourly ad costs'!H67/'Summary, hourly ad costs'!X67)/('Summary, hourly ad costs'!H66/'Summary, hourly ad costs'!X66)), 'Summary, PPI''s'!X67))</f>
        <v>3.583658508994592</v>
      </c>
      <c r="I67" s="10">
        <f>IF(I66=".", ".", IF('Summary, PPI''s'!Y67=".",IF(OR('Summary, hourly ad costs'!Y67=-9999,'Summary, hourly ad costs'!Y67=0), ".", 'Predicted PPIs'!I66*('Summary, hourly ad costs'!I67/'Summary, hourly ad costs'!Y67)/('Summary, hourly ad costs'!I66/'Summary, hourly ad costs'!Y66)), 'Summary, PPI''s'!Y67))</f>
        <v>6.9422589730729651</v>
      </c>
      <c r="J67" s="10">
        <f>IF(J66=".", ".", IF('Summary, PPI''s'!Z67=".",IF(OR('Summary, hourly ad costs'!Z67=-9999,'Summary, hourly ad costs'!Z67=0), ".", 'Predicted PPIs'!J66*('Summary, hourly ad costs'!J67/'Summary, hourly ad costs'!Z67)/('Summary, hourly ad costs'!J66/'Summary, hourly ad costs'!Z66)), 'Summary, PPI''s'!Z67))</f>
        <v>11.312312909945755</v>
      </c>
      <c r="K67" s="10" t="str">
        <f>IF(K66=".", ".", IF('Summary, PPI''s'!AA67=".",IF(OR('Summary, hourly ad costs'!AA67=-9999,'Summary, hourly ad costs'!AA67=0), ".", 'Predicted PPIs'!K66*('Summary, hourly ad costs'!K67/'Summary, hourly ad costs'!AA67)/('Summary, hourly ad costs'!K66/'Summary, hourly ad costs'!AA66)), 'Summary, PPI''s'!AA67))</f>
        <v>.</v>
      </c>
      <c r="L67" s="10" t="str">
        <f>IF(L66=".", ".", IF('Summary, PPI''s'!AB67=".",IF(OR('Summary, hourly ad costs'!AB67=-9999,'Summary, hourly ad costs'!AB67=0), ".", 'Predicted PPIs'!L66*('Summary, hourly ad costs'!L67/'Summary, hourly ad costs'!AB67)/('Summary, hourly ad costs'!L66/'Summary, hourly ad costs'!AB66)), 'Summary, PPI''s'!AB67))</f>
        <v>.</v>
      </c>
      <c r="M67" s="10" t="str">
        <f>IF(M66=".", ".", IF('Summary, PPI''s'!AC67=".",IF(OR('Summary, hourly ad costs'!AC67=-9999,'Summary, hourly ad costs'!AC67=0), ".", 'Predicted PPIs'!M66*('Summary, hourly ad costs'!M67/'Summary, hourly ad costs'!AC67)/('Summary, hourly ad costs'!M66/'Summary, hourly ad costs'!AC66)), 'Summary, PPI''s'!AC67))</f>
        <v>.</v>
      </c>
      <c r="N67" s="10" t="str">
        <f>IF(N66=".", ".", IF('Summary, PPI''s'!AD67=".",IF(OR('Summary, hourly ad costs'!AD67=-9999,'Summary, hourly ad costs'!AD67=0), ".", 'Predicted PPIs'!N66*('Summary, hourly ad costs'!N67/'Summary, hourly ad costs'!AD67)/('Summary, hourly ad costs'!N66/'Summary, hourly ad costs'!AD66)), 'Summary, PPI''s'!AD67))</f>
        <v>.</v>
      </c>
      <c r="O67" s="10" t="str">
        <f>IF(O66=".", ".", IF('Summary, PPI''s'!AE67=".",IF(OR('Summary, hourly ad costs'!AE67=-9999,'Summary, hourly ad costs'!AE67=0), ".", 'Predicted PPIs'!O66*('Summary, hourly ad costs'!O67/'Summary, hourly ad costs'!AE67)/('Summary, hourly ad costs'!O66/'Summary, hourly ad costs'!AE66)), 'Summary, PPI''s'!AE67))</f>
        <v>.</v>
      </c>
      <c r="P67" s="10" t="str">
        <f>IF(P66=".", ".", IF('Summary, PPI''s'!AF67=".",IF(OR('Summary, hourly ad costs'!AF67=-9999,'Summary, hourly ad costs'!AF67=0), ".", 'Predicted PPIs'!P66*('Summary, hourly ad costs'!P67/'Summary, hourly ad costs'!AF67)/('Summary, hourly ad costs'!P66/'Summary, hourly ad costs'!AF66)), 'Summary, PPI''s'!AF67))</f>
        <v>.</v>
      </c>
      <c r="R67" s="1">
        <f>IF(E$26=".", 0, 'Summary, PPI''s'!E67)+IF(F$26=".", 0, 'Summary, PPI''s'!F67)+IF(G$26=".", 0, 'Summary, PPI''s'!G67)+IF(H$26=".", 0, 'Summary, PPI''s'!H67)+IF(I$26=".", 0, 'Summary, PPI''s'!I67)+IF(J$26=".", 0, 'Summary, PPI''s'!J67)+IF(K$26=".", 0, 'Summary, PPI''s'!K67)+IF(L$26=".", 0, 'Summary, PPI''s'!L67)+IF(M$26=".", 0, 'Summary, PPI''s'!M67)+IF(B$26=".", 0, 'Summary, PPI''s'!B67)+IF(C$26=".", 0, 'Summary, PPI''s'!C67)+IF(D$26=".", 0, 'Summary, PPI''s'!D67)+IF(N$26=".", 0, 'Summary, PPI''s'!N67)+IF(O$26=".", 0, 'Summary, PPI''s'!O67)+IF(P$26=".", 0, 'Summary, PPI''s'!P67)</f>
        <v>10139911.892117197</v>
      </c>
      <c r="S67" s="1">
        <f>IF(E$36=".", 0, 'Summary, PPI''s'!E67)+IF(F$36=".", 0, 'Summary, PPI''s'!F67)+IF(G$36=".", 0, 'Summary, PPI''s'!G67)+IF(H$36=".", 0, 'Summary, PPI''s'!H67)+IF(I$36=".", 0, 'Summary, PPI''s'!I67)+IF(J$36=".", 0, 'Summary, PPI''s'!J67)+IF(K$36=".", 0, 'Summary, PPI''s'!K67)+IF(L$36=".", 0, 'Summary, PPI''s'!L67)+IF(M$36=".", 0, 'Summary, PPI''s'!M67)+IF(B$36=".", 0, 'Summary, PPI''s'!B67)+IF(C$36=".", 0, 'Summary, PPI''s'!C67)+IF(D$36=".", 0, 'Summary, PPI''s'!D67)+IF(N$36=".", 0, 'Summary, PPI''s'!N67)+IF(O$36=".", 0, 'Summary, PPI''s'!O67)+IF(P$36=".", 0, 'Summary, PPI''s'!P67)</f>
        <v>10139911.892117197</v>
      </c>
      <c r="T67" s="1">
        <f>IF(E$46=".", 0, 'Summary, PPI''s'!E67)+IF(F$46=".", 0, 'Summary, PPI''s'!F67)+IF(G$46=".", 0, 'Summary, PPI''s'!G67)+IF(H$46=".", 0, 'Summary, PPI''s'!H67)+IF(I$46=".", 0, 'Summary, PPI''s'!I67)+IF(J$46=".", 0, 'Summary, PPI''s'!J67)+IF(K$46=".", 0, 'Summary, PPI''s'!K67)+IF(L$46=".", 0, 'Summary, PPI''s'!L67)+IF(M$46=".", 0, 'Summary, PPI''s'!M67)+IF(B$46=".", 0, 'Summary, PPI''s'!B67)+IF(C$46=".", 0, 'Summary, PPI''s'!C67)+IF(D$46=".", 0, 'Summary, PPI''s'!D67)+IF(N$46=".", 0, 'Summary, PPI''s'!N67)+IF(O$46=".", 0, 'Summary, PPI''s'!O67)+IF(P$46=".", 0, 'Summary, PPI''s'!P67)</f>
        <v>7526471.0827371692</v>
      </c>
      <c r="U67" s="1">
        <f>IF(E$60=".", 0, 'Summary, PPI''s'!E67)+IF(F$60=".", 0, 'Summary, PPI''s'!F67)+IF(G$60=".", 0, 'Summary, PPI''s'!G67)+IF(H$60=".", 0, 'Summary, PPI''s'!H67)+IF(I$60=".", 0, 'Summary, PPI''s'!I67)+IF(J$60=".", 0, 'Summary, PPI''s'!J67)+IF(K$60=".", 0, 'Summary, PPI''s'!K67)+IF(L$60=".", 0, 'Summary, PPI''s'!L67)+IF(M$60=".", 0, 'Summary, PPI''s'!M67)+IF(B$60=".", 0, 'Summary, PPI''s'!B67)+IF(C$60=".", 0, 'Summary, PPI''s'!C67)+IF(D$60=".", 0, 'Summary, PPI''s'!D67)+IF(N$60=".", 0, 'Summary, PPI''s'!N67)+IF(O$60=".", 0, 'Summary, PPI''s'!O67)+IF(P$60=".", 0, 'Summary, PPI''s'!P67)</f>
        <v>6841947.8535015099</v>
      </c>
      <c r="V67" s="1">
        <f>IF(E$73=".", 0, 'Summary, PPI''s'!E67)+IF(F$73=".", 0, 'Summary, PPI''s'!F67)+IF(G$73=".", 0, 'Summary, PPI''s'!G67)+IF(H$73=".", 0, 'Summary, PPI''s'!H67)+IF(I$73=".", 0, 'Summary, PPI''s'!I67)+IF(J$73=".", 0, 'Summary, PPI''s'!J67)+IF(K$73=".", 0, 'Summary, PPI''s'!K67)+IF(L$73=".", 0, 'Summary, PPI''s'!L67)+IF(M$73=".", 0, 'Summary, PPI''s'!M67)+IF(B$73=".", 0, 'Summary, PPI''s'!B67)+IF(C$73=".", 0, 'Summary, PPI''s'!C67)+IF(D$73=".", 0, 'Summary, PPI''s'!D67)+IF(N$73=".", 0, 'Summary, PPI''s'!N67)+IF(O$73=".", 0, 'Summary, PPI''s'!O67)+IF(P$73=".", 0, 'Summary, PPI''s'!P67)</f>
        <v>5984489.0265365876</v>
      </c>
      <c r="W67" s="1">
        <f>IF(E$94=".",0,'Summary, PPI''s'!E67)+IF(F$94=".",0,'Summary, PPI''s'!F67)+IF(G$94=".",0,'Summary, PPI''s'!G67)+IF(H$94=".",0,'Summary, PPI''s'!H67)+IF(I$94=".",0,'Summary, PPI''s'!I67)+IF(J$94=".",0,'Summary, PPI''s'!J67)+IF(K$94=".",0,'Summary, PPI''s'!K67)+IF(L$94=".",0,'Summary, PPI''s'!L67)+IF(M$94=".",0,'Summary, PPI''s'!M67)+IF(B$94=".",0,'Summary, PPI''s'!B67)+IF(C$94=".",0,'Summary, PPI''s'!C67)+IF(D$94=".",0,'Summary, PPI''s'!D67)+IF(N$94=".",0,'Summary, PPI''s'!N67)+IF(O$94=".",0,'Summary, PPI''s'!O67)+IF(P$94=".",0,'Summary, PPI''s'!P67)</f>
        <v>5067202.2213532897</v>
      </c>
      <c r="X67" s="1">
        <f>IF(E$123=".", 0, 'Summary, PPI''s'!E67)+IF(F$123=".", 0, 'Summary, PPI''s'!F67)+IF(G$123=".", 0, 'Summary, PPI''s'!G67)+IF(H$123=".", 0, 'Summary, PPI''s'!H67)+IF(I$123=".", 0, 'Summary, PPI''s'!I67)+IF(J$123=".", 0, 'Summary, PPI''s'!J67)+IF(K$123=".", 0, 'Summary, PPI''s'!K67)+IF(L$123=".", 0, 'Summary, PPI''s'!L67)+IF(M$123=".", 0, 'Summary, PPI''s'!M67)+IF(B$123=".", 0, 'Summary, PPI''s'!B67)+IF(C$123=".", 0, 'Summary, PPI''s'!C67)+IF(D$123=".", 0, 'Summary, PPI''s'!D67)+IF(N$123=".", 0, 'Summary, PPI''s'!N67)+IF(O$123=".", 0, 'Summary, PPI''s'!O67)+IF(P$123=".", 0, 'Summary, PPI''s'!P67)</f>
        <v>4610033.2946723318</v>
      </c>
      <c r="Z67" s="4" t="e">
        <f>Z66*IF(E$26=".", 1, (E67/E66)^(('Summary, PPI''s'!$E67+'Summary, PPI''s'!$E66)/('Predicted PPIs'!R67+'Predicted PPIs'!R66)))*IF(F$26=".", 1, (F67/F66)^(('Summary, PPI''s'!$F67+'Summary, PPI''s'!$F66)/('Predicted PPIs'!R67+'Predicted PPIs'!R66)))*IF(G$26=".", 1, (G67/G66)^(('Summary, PPI''s'!$G67+'Summary, PPI''s'!$G66)/('Predicted PPIs'!R67+'Predicted PPIs'!R66)))*IF(H$26=".", 1, (H67/H66)^(('Summary, PPI''s'!$H67+'Summary, PPI''s'!$H66)/('Predicted PPIs'!R67+'Predicted PPIs'!R66)))*IF(I$26=".", 1, (I67/I66)^(('Summary, PPI''s'!$I67+'Summary, PPI''s'!$I66)/('Predicted PPIs'!R67+'Predicted PPIs'!R66)))*IF(J$26=".", 1, (J67/J66)^(('Summary, PPI''s'!$J67+'Summary, PPI''s'!$J66)/('Predicted PPIs'!R67+'Predicted PPIs'!R66)))*IF(K$26=".", 1, (K67/K66)^(('Summary, PPI''s'!$K67+'Summary, PPI''s'!$K66)/('Predicted PPIs'!R67+'Predicted PPIs'!R66)))*IF(L$26=".", 1, (L67/L66)^(('Summary, PPI''s'!$L67+'Summary, PPI''s'!$L66)/('Predicted PPIs'!R67+'Predicted PPIs'!R66)))*IF(M$26=".", 1, (M67/M66)^(('Summary, PPI''s'!$M67+'Summary, PPI''s'!$M66)/('Predicted PPIs'!R67+'Predicted PPIs'!R66)))*IF(B$26=".", 1, (B67/B66)^(('Summary, PPI''s'!$B67+'Summary, PPI''s'!$B66)/('Predicted PPIs'!R67+'Predicted PPIs'!R66)))*IF(C$26=".", 1, (C67/C66)^(('Summary, PPI''s'!$C67+'Summary, PPI''s'!$C66)/('Predicted PPIs'!R67+'Predicted PPIs'!R66)))*IF(D$26=".", 1, (D67/D66)^(('Summary, PPI''s'!$D67+'Summary, PPI''s'!$D66)/('Predicted PPIs'!R67+'Predicted PPIs'!R66)))*IF(N$26=".", 1, (N67/N66)^(('Summary, PPI''s'!$N67+'Summary, PPI''s'!$N66)/('Predicted PPIs'!R67+'Predicted PPIs'!R66)))*IF(O$26=".", 1, (O67/O66)^(('Summary, PPI''s'!$O67+'Summary, PPI''s'!$O66)/('Predicted PPIs'!R67+'Predicted PPIs'!R66)))*IF(P$26=".", 1, (P67/P66)^(('Summary, PPI''s'!$P67+'Summary, PPI''s'!$P66)/('Predicted PPIs'!R67+'Predicted PPIs'!R66)))</f>
        <v>#VALUE!</v>
      </c>
      <c r="AA67" s="4" t="e">
        <f>AA66*IF(E$36=".", 1, (E67/E66)^(('Summary, PPI''s'!$E67+'Summary, PPI''s'!$E66)/('Predicted PPIs'!S67+'Predicted PPIs'!S66)))*IF(F$36=".", 1, (F67/F66)^(('Summary, PPI''s'!$F67+'Summary, PPI''s'!$F66)/('Predicted PPIs'!S67+'Predicted PPIs'!S66)))*IF(G$36=".", 1, (G67/G66)^(('Summary, PPI''s'!$G67+'Summary, PPI''s'!$G66)/('Predicted PPIs'!S67+'Predicted PPIs'!S66)))*IF(H$36=".", 1, (H67/H66)^(('Summary, PPI''s'!$H67+'Summary, PPI''s'!$H66)/('Predicted PPIs'!S67+'Predicted PPIs'!S66)))*IF(I$36=".", 1, (I67/I66)^(('Summary, PPI''s'!$I67+'Summary, PPI''s'!$I66)/('Predicted PPIs'!S67+'Predicted PPIs'!S66)))*IF(J$36=".", 1, (J67/J66)^(('Summary, PPI''s'!$J67+'Summary, PPI''s'!$J66)/('Predicted PPIs'!S67+'Predicted PPIs'!S66)))*IF(K$36=".", 1, (K67/K66)^(('Summary, PPI''s'!$K67+'Summary, PPI''s'!$K66)/('Predicted PPIs'!S67+'Predicted PPIs'!S66)))*IF(L$36=".", 1, (L67/L66)^(('Summary, PPI''s'!$L67+'Summary, PPI''s'!$L66)/('Predicted PPIs'!S67+'Predicted PPIs'!S66)))*IF(M$36=".", 1, (M67/M66)^(('Summary, PPI''s'!$M67+'Summary, PPI''s'!$M66)/('Predicted PPIs'!S67+'Predicted PPIs'!S66)))*IF(B$36=".", 1, (B67/B66)^(('Summary, PPI''s'!$B67+'Summary, PPI''s'!$B66)/('Predicted PPIs'!S67+'Predicted PPIs'!S66)))*IF(C$36=".", 1, (C67/C66)^(('Summary, PPI''s'!$C67+'Summary, PPI''s'!$C66)/('Predicted PPIs'!S67+'Predicted PPIs'!S66)))*IF(D$36=".", 1, (D67/D66)^(('Summary, PPI''s'!$D67+'Summary, PPI''s'!$D66)/('Predicted PPIs'!S67+'Predicted PPIs'!S66)))*IF(N$36=".", 1, (N67/N66)^(('Summary, PPI''s'!$N67+'Summary, PPI''s'!$N66)/('Predicted PPIs'!S67+'Predicted PPIs'!S66)))*IF(O$36=".", 1, (O67/O66)^(('Summary, PPI''s'!$O67+'Summary, PPI''s'!$O66)/('Predicted PPIs'!S67+'Predicted PPIs'!S66)))*IF(P$36=".", 1, (P67/P66)^(('Summary, PPI''s'!$P67+'Summary, PPI''s'!$P66)/('Predicted PPIs'!S67+'Predicted PPIs'!S66)))</f>
        <v>#VALUE!</v>
      </c>
      <c r="AB67" s="4" t="e">
        <f>AB66*IF(E$46=".", 1, (E67/E66)^(('Summary, PPI''s'!$E67+'Summary, PPI''s'!$E66)/('Predicted PPIs'!T67+'Predicted PPIs'!T66)))*IF(F$46=".", 1, (F67/F66)^(('Summary, PPI''s'!$F67+'Summary, PPI''s'!$F66)/('Predicted PPIs'!T67+'Predicted PPIs'!T66)))*IF(G$46=".", 1, (G67/G66)^(('Summary, PPI''s'!$G67+'Summary, PPI''s'!$G66)/('Predicted PPIs'!T67+'Predicted PPIs'!T66)))*IF(H$46=".", 1, (H67/H66)^(('Summary, PPI''s'!$H67+'Summary, PPI''s'!$H66)/('Predicted PPIs'!T67+'Predicted PPIs'!T66)))*IF(I$46=".", 1, (I67/I66)^(('Summary, PPI''s'!$I67+'Summary, PPI''s'!$I66)/('Predicted PPIs'!T67+'Predicted PPIs'!T66)))*IF(J$46=".", 1, (J67/J66)^(('Summary, PPI''s'!$J67+'Summary, PPI''s'!$J66)/('Predicted PPIs'!T67+'Predicted PPIs'!T66)))*IF(K$46=".", 1, (K67/K66)^(('Summary, PPI''s'!$K67+'Summary, PPI''s'!$K66)/('Predicted PPIs'!T67+'Predicted PPIs'!T66)))*IF(L$46=".", 1, (L67/L66)^(('Summary, PPI''s'!$L67+'Summary, PPI''s'!$L66)/('Predicted PPIs'!T67+'Predicted PPIs'!T66)))*IF(M$46=".", 1, (M67/M66)^(('Summary, PPI''s'!$M67+'Summary, PPI''s'!$M66)/('Predicted PPIs'!T67+'Predicted PPIs'!T66)))*IF(B$46=".", 1, (B67/B66)^(('Summary, PPI''s'!$B67+'Summary, PPI''s'!$B66)/('Predicted PPIs'!T67+'Predicted PPIs'!T66)))*IF(C$46=".", 1, (C67/C66)^(('Summary, PPI''s'!$C67+'Summary, PPI''s'!$C66)/('Predicted PPIs'!T67+'Predicted PPIs'!T66)))*IF(D$46=".", 1, (D67/D66)^(('Summary, PPI''s'!$D67+'Summary, PPI''s'!$D66)/('Predicted PPIs'!T67+'Predicted PPIs'!T66)))*IF(N$46=".", 1, (N67/N66)^(('Summary, PPI''s'!$N67+'Summary, PPI''s'!$N66)/('Predicted PPIs'!T67+'Predicted PPIs'!T66)))*IF(O$46=".", 1, (O67/O66)^(('Summary, PPI''s'!$O67+'Summary, PPI''s'!$O66)/('Predicted PPIs'!T67+'Predicted PPIs'!T66)))*IF(P$46=".", 1, (P67/P66)^(('Summary, PPI''s'!$P67+'Summary, PPI''s'!$P66)/('Predicted PPIs'!T67+'Predicted PPIs'!T66)))</f>
        <v>#VALUE!</v>
      </c>
      <c r="AC67" s="4" t="e">
        <f>AC66*IF(E$60=".",1,(E67/E66)^(('Summary, PPI''s'!$E67+'Summary, PPI''s'!$E66)/('Predicted PPIs'!U67+'Predicted PPIs'!U66)))*IF(F$60=".",1,(F67/F66)^(('Summary, PPI''s'!$F67+'Summary, PPI''s'!$F66)/('Predicted PPIs'!U67+'Predicted PPIs'!U66)))*IF(G$60=".",1,(G67/G66)^(('Summary, PPI''s'!$G67+'Summary, PPI''s'!$G66)/('Predicted PPIs'!U67+'Predicted PPIs'!U66)))*IF(H$60=".",1,(H67/H66)^(('Summary, PPI''s'!$H67+'Summary, PPI''s'!$H66)/('Predicted PPIs'!U67+'Predicted PPIs'!U66)))*IF(I$60=".",1,(I67/I66)^(('Summary, PPI''s'!$I67+'Summary, PPI''s'!$I66)/('Predicted PPIs'!U67+'Predicted PPIs'!U66)))*IF(J$60=".",1,(J67/J66)^(('Summary, PPI''s'!$J67+'Summary, PPI''s'!$J66)/('Predicted PPIs'!U67+'Predicted PPIs'!U66)))*IF(K$60=".",1,(K67/K66)^(('Summary, PPI''s'!$K67+'Summary, PPI''s'!$K66)/('Predicted PPIs'!U67+'Predicted PPIs'!U66)))*IF(L$60=".",1,(L67/L66)^(('Summary, PPI''s'!$L67+'Summary, PPI''s'!$L66)/('Predicted PPIs'!U67+'Predicted PPIs'!U66)))*IF(M$60=".",1,(M67/M66)^(('Summary, PPI''s'!$M67+'Summary, PPI''s'!$M66)/('Predicted PPIs'!U67+'Predicted PPIs'!U66)))*IF(B$60=".",1,(B67/B66)^(('Summary, PPI''s'!$B67+'Summary, PPI''s'!$B66)/('Predicted PPIs'!U67+'Predicted PPIs'!U66)))*IF(C$60=".",1,(C67/C66)^(('Summary, PPI''s'!$C67+'Summary, PPI''s'!$C66)/('Predicted PPIs'!U67+'Predicted PPIs'!U66)))*IF(D$60=".",1,(D67/D66)^(('Summary, PPI''s'!$D67+'Summary, PPI''s'!$D66)/('Predicted PPIs'!U67+'Predicted PPIs'!U66)))*IF(N$60=".",1,(N67/N66)^(('Summary, PPI''s'!$N67+'Summary, PPI''s'!$N66)/('Predicted PPIs'!U67+'Predicted PPIs'!U66)))*IF(O$60=".",1,(O67/O66)^(('Summary, PPI''s'!$O67+'Summary, PPI''s'!$O66)/('Predicted PPIs'!U67+'Predicted PPIs'!U66)))*IF(P$60=".",1,(P67/P66)^(('Summary, PPI''s'!$P67+'Summary, PPI''s'!$P66)/('Predicted PPIs'!U67+'Predicted PPIs'!U66)))</f>
        <v>#VALUE!</v>
      </c>
      <c r="AD67" s="4">
        <f>AD66*IF(E$73=".", 1, (E67/E66)^(('Summary, PPI''s'!$E67+'Summary, PPI''s'!$E66)/('Predicted PPIs'!V67+'Predicted PPIs'!V66)))*IF(F$73=".", 1, (F67/F66)^(('Summary, PPI''s'!$F67+'Summary, PPI''s'!$F66)/('Predicted PPIs'!V67+'Predicted PPIs'!V66)))*IF(G$73=".", 1, (G67/G66)^(('Summary, PPI''s'!$G67+'Summary, PPI''s'!$G66)/('Predicted PPIs'!V67+'Predicted PPIs'!V66)))*IF(H$73=".", 1, (H67/H66)^(('Summary, PPI''s'!$H67+'Summary, PPI''s'!$H66)/('Predicted PPIs'!V67+'Predicted PPIs'!V66)))*IF(I$73=".", 1, (I67/I66)^(('Summary, PPI''s'!$I67+'Summary, PPI''s'!$I66)/('Predicted PPIs'!V67+'Predicted PPIs'!V66)))*IF(J$73=".", 1, (J67/J66)^(('Summary, PPI''s'!$J67+'Summary, PPI''s'!$J66)/('Predicted PPIs'!V67+'Predicted PPIs'!V66)))*IF(K$73=".", 1, (K67/K66)^(('Summary, PPI''s'!$K67+'Summary, PPI''s'!$K66)/('Predicted PPIs'!V67+'Predicted PPIs'!V66)))*IF(L$73=".", 1, (L67/L66)^(('Summary, PPI''s'!$L67+'Summary, PPI''s'!$L66)/('Predicted PPIs'!V67+'Predicted PPIs'!V66)))*IF(M$73=".", 1, (M67/M66)^(('Summary, PPI''s'!$M67+'Summary, PPI''s'!$M66)/('Predicted PPIs'!V67+'Predicted PPIs'!V66)))*IF(B$73=".", 1, (B67/B66)^(('Summary, PPI''s'!$B67+'Summary, PPI''s'!$B66)/('Predicted PPIs'!V67+'Predicted PPIs'!V66)))*IF(C$73=".", 1, (C67/C66)^(('Summary, PPI''s'!$C67+'Summary, PPI''s'!$C66)/('Predicted PPIs'!V67+'Predicted PPIs'!V66)))*IF(D$73=".", 1, (D67/D66)^(('Summary, PPI''s'!$D67+'Summary, PPI''s'!$D66)/('Predicted PPIs'!V67+'Predicted PPIs'!V66)))*IF(N$73=".", 1, (N67/N66)^(('Summary, PPI''s'!$N67+'Summary, PPI''s'!$N66)/('Predicted PPIs'!V67+'Predicted PPIs'!V66)))*IF(O$73=".", 1, (O67/O66)^(('Summary, PPI''s'!$O67+'Summary, PPI''s'!$O66)/('Predicted PPIs'!V67+'Predicted PPIs'!V66)))*IF(P$73=".", 1, (P67/P66)^(('Summary, PPI''s'!$P67+'Summary, PPI''s'!$P66)/('Predicted PPIs'!V67+'Predicted PPIs'!V66)))</f>
        <v>9.1648908387899155</v>
      </c>
      <c r="AE67" s="4">
        <f>AE66*IF(E$94=".", 1, (E67/E66)^(('Summary, PPI''s'!$E67+'Summary, PPI''s'!$E66)/('Predicted PPIs'!W67+'Predicted PPIs'!W66)))*IF(F$94=".", 1, (F67/F66)^(('Summary, PPI''s'!$F67+'Summary, PPI''s'!$F66)/('Predicted PPIs'!W67+'Predicted PPIs'!W66)))*IF(G$94=".", 1, (G67/G66)^(('Summary, PPI''s'!$G67+'Summary, PPI''s'!$G66)/('Predicted PPIs'!W67+'Predicted PPIs'!W66)))*IF(H$94=".", 1, (H67/H66)^(('Summary, PPI''s'!$H67+'Summary, PPI''s'!$H66)/('Predicted PPIs'!W67+'Predicted PPIs'!W66)))*IF(I$94=".", 1, (I67/I66)^(('Summary, PPI''s'!$I67+'Summary, PPI''s'!$I66)/('Predicted PPIs'!W67+'Predicted PPIs'!W66)))*IF(J$94=".", 1, (J67/J66)^(('Summary, PPI''s'!$J67+'Summary, PPI''s'!$J66)/('Predicted PPIs'!W67+'Predicted PPIs'!W66)))*IF(K$94=".", 1, (K67/K66)^(('Summary, PPI''s'!$K67+'Summary, PPI''s'!$K66)/('Predicted PPIs'!W67+'Predicted PPIs'!W66)))*IF(L$94=".", 1, (L67/L66)^(('Summary, PPI''s'!$L67+'Summary, PPI''s'!$L66)/('Predicted PPIs'!W67+'Predicted PPIs'!W66)))*IF(M$94=".", 1, (M67/M66)^(('Summary, PPI''s'!$M67+'Summary, PPI''s'!$M66)/('Predicted PPIs'!W67+'Predicted PPIs'!W66)))*IF(B$94=".", 1, (B67/B66)^(('Summary, PPI''s'!$B67+'Summary, PPI''s'!$B66)/('Predicted PPIs'!W67+'Predicted PPIs'!W66)))*IF(C$94=".", 1, (C67/C66)^(('Summary, PPI''s'!$C67+'Summary, PPI''s'!$C66)/('Predicted PPIs'!W67+'Predicted PPIs'!W66)))*IF(D$94=".", 1, (D67/D66)^(('Summary, PPI''s'!$D67+'Summary, PPI''s'!$D66)/('Predicted PPIs'!W67+'Predicted PPIs'!W66)))*IF(N$94=".", 1, (N67/N66)^(('Summary, PPI''s'!$N67+'Summary, PPI''s'!$N66)/('Predicted PPIs'!W67+'Predicted PPIs'!W66)))*IF(O$94=".", 1, (O67/O66)^(('Summary, PPI''s'!$O67+'Summary, PPI''s'!$O66)/('Predicted PPIs'!W67+'Predicted PPIs'!W66)))*IF(P$94=".", 1, (P67/P66)^(('Summary, PPI''s'!$P67+'Summary, PPI''s'!$P66)/('Predicted PPIs'!W67+'Predicted PPIs'!W66)))</f>
        <v>8.2341803646162521</v>
      </c>
      <c r="AF67" s="4">
        <f>AF66*IF(E$123=".", 1, (E67/E66)^(('Summary, PPI''s'!$E67+'Summary, PPI''s'!$E66)/('Predicted PPIs'!X67+'Predicted PPIs'!X66)))*IF(F$123=".", 1, (F67/F66)^(('Summary, PPI''s'!$F67+'Summary, PPI''s'!$F66)/('Predicted PPIs'!X67+'Predicted PPIs'!X66)))*IF(G$123=".", 1, (G67/G66)^(('Summary, PPI''s'!$G67+'Summary, PPI''s'!$G66)/('Predicted PPIs'!X67+'Predicted PPIs'!X66)))*IF(H$123=".", 1, (H67/H66)^(('Summary, PPI''s'!$H67+'Summary, PPI''s'!$H66)/('Predicted PPIs'!X67+'Predicted PPIs'!X66)))*IF(I$123=".", 1, (I67/I66)^(('Summary, PPI''s'!$I67+'Summary, PPI''s'!$I66)/('Predicted PPIs'!X67+'Predicted PPIs'!X66)))*IF(J$123=".", 1, (J67/J66)^(('Summary, PPI''s'!$J67+'Summary, PPI''s'!$J66)/('Predicted PPIs'!X67+'Predicted PPIs'!X66)))*IF(K$123=".", 1, (K67/K66)^(('Summary, PPI''s'!$K67+'Summary, PPI''s'!$K66)/('Predicted PPIs'!X67+'Predicted PPIs'!X66)))*IF(L$123=".", 1, (L67/L66)^(('Summary, PPI''s'!$L67+'Summary, PPI''s'!$L66)/('Predicted PPIs'!X67+'Predicted PPIs'!X66)))*IF(M$123=".", 1, (M67/M66)^(('Summary, PPI''s'!$M67+'Summary, PPI''s'!$M66)/('Predicted PPIs'!X67+'Predicted PPIs'!X66)))*IF(B$123=".", 1, (B67/B66)^(('Summary, PPI''s'!$B67+'Summary, PPI''s'!$B66)/('Predicted PPIs'!X67+'Predicted PPIs'!X66)))*IF(C$123=".", 1, (C67/C66)^(('Summary, PPI''s'!$C67+'Summary, PPI''s'!$C66)/('Predicted PPIs'!X67+'Predicted PPIs'!X66)))*IF(D$123=".", 1, (D67/D66)^(('Summary, PPI''s'!$D67+'Summary, PPI''s'!$D66)/('Predicted PPIs'!X67+'Predicted PPIs'!X66)))*IF(N$123=".", 1, (N67/N66)^(('Summary, PPI''s'!$N67+'Summary, PPI''s'!$N66)/('Predicted PPIs'!X67+'Predicted PPIs'!X66)))*IF(O$123=".", 1, (O67/O66)^(('Summary, PPI''s'!$O67+'Summary, PPI''s'!$O66)/('Predicted PPIs'!X67+'Predicted PPIs'!X66)))*IF(P$123=".", 1, (P67/P66)^(('Summary, PPI''s'!$P67+'Summary, PPI''s'!$P66)/('Predicted PPIs'!X67+'Predicted PPIs'!X66)))</f>
        <v>7.9812628964467844</v>
      </c>
      <c r="AH67" s="13">
        <f t="shared" si="91"/>
        <v>10.623045223558243</v>
      </c>
      <c r="AJ67" s="4">
        <v>271.10000000000002</v>
      </c>
      <c r="AK67" s="4">
        <v>-1.585</v>
      </c>
      <c r="AL67" s="4">
        <v>-23.233000000000001</v>
      </c>
      <c r="AM67" s="4">
        <v>-1.734</v>
      </c>
      <c r="AN67" s="4">
        <v>371.1</v>
      </c>
      <c r="AO67" s="4">
        <v>73.400000000000006</v>
      </c>
      <c r="AP67" s="4">
        <f>('[4]1956'!$I$14+'[4]1956'!$I$51+'[4]1956'!$I$53-'[4]1956'!$I$55)*0.001</f>
        <v>-6.9720000000000004</v>
      </c>
      <c r="AQ67" s="4">
        <f>('[4]1956'!$AK$42+'[4]1956'!$AK$51+'[4]1956'!$AK$53-'[4]1956'!$AK$55)*0.001</f>
        <v>-13.075000000000001</v>
      </c>
      <c r="AR67" s="4">
        <f t="shared" si="148"/>
        <v>-5.4264977965452349E-3</v>
      </c>
      <c r="AS67" s="4">
        <v>-1.653</v>
      </c>
      <c r="AT67" s="4">
        <v>15.111000000000001</v>
      </c>
      <c r="AU67" s="4">
        <v>21.736000000000001</v>
      </c>
      <c r="AV67" s="4">
        <v>13.452</v>
      </c>
      <c r="AW67" s="4">
        <v>10.967000000000001</v>
      </c>
      <c r="AX67" s="4">
        <v>15.345000000000001</v>
      </c>
      <c r="AY67" s="4">
        <v>22.318000000000001</v>
      </c>
      <c r="AZ67" s="4">
        <v>8.5530000000000008</v>
      </c>
      <c r="BA67" s="4">
        <v>18.297000000000001</v>
      </c>
      <c r="BB67" s="4">
        <f t="shared" si="150"/>
        <v>104.65432977018534</v>
      </c>
      <c r="BC67" s="4">
        <v>15.209</v>
      </c>
      <c r="BG67" s="4">
        <f t="shared" si="50"/>
        <v>17.845392496284642</v>
      </c>
      <c r="BI67" s="4">
        <f>BI$13*'[2]Ordinary Experience'!$D$359/'[2]Ordinary Experience'!$D$413</f>
        <v>167416411.11856377</v>
      </c>
      <c r="BJ67" s="4">
        <f>'[2]Ordinary Experience'!$E$359</f>
        <v>29.346556269529504</v>
      </c>
      <c r="BL67" s="4">
        <f t="shared" ref="BL67:BL98" si="151">(BG67/(BI67*(100-BJ67))*100/(BG$11/(BI$11*(100-BJ$11))))</f>
        <v>38.065406346231534</v>
      </c>
      <c r="BM67" s="4">
        <f t="shared" si="34"/>
        <v>5.2828436557830205E-3</v>
      </c>
      <c r="BO67" s="4" t="str">
        <f>IF(OR('Summary, hourly ad costs'!R67=-9999,'Summary, PPI''s'!R67="."),".",(('Summary, hourly ad costs'!B67/'Summary, hourly ad costs'!R67)*100/('Summary, hourly ad costs'!B$11/'Summary, hourly ad costs'!R$11))/('Summary, PPI''s'!R67))</f>
        <v>.</v>
      </c>
      <c r="BP67" s="4" t="str">
        <f>IF(OR('Summary, hourly ad costs'!S67=-9999,'Summary, PPI''s'!S67="."),".",(('Summary, hourly ad costs'!C67/'Summary, hourly ad costs'!S67)*100/('Summary, hourly ad costs'!C$11/'Summary, hourly ad costs'!S$11))/('Summary, PPI''s'!S67))</f>
        <v>.</v>
      </c>
      <c r="BQ67" s="4" t="str">
        <f>IF(OR('Summary, hourly ad costs'!T67=-9999,'Summary, PPI''s'!T67="."),".",(('Summary, hourly ad costs'!D67/'Summary, hourly ad costs'!T67)*100/('Summary, hourly ad costs'!D$11/'Summary, hourly ad costs'!T$11))/('Summary, PPI''s'!T67))</f>
        <v>.</v>
      </c>
      <c r="BR67" s="4" t="str">
        <f>IF(OR('Summary, hourly ad costs'!U67=-9999,'Summary, PPI''s'!U67="."),".",(('Summary, hourly ad costs'!E67/'Summary, hourly ad costs'!U67)*100/('Summary, hourly ad costs'!E$11/'Summary, hourly ad costs'!U$11))/('Summary, PPI''s'!U67))</f>
        <v>.</v>
      </c>
      <c r="BS67" s="4" t="str">
        <f>IF(OR('Summary, hourly ad costs'!V67=-9999,'Summary, PPI''s'!V67="."),".",(('Summary, hourly ad costs'!F67/'Summary, hourly ad costs'!V67)*100/('Summary, hourly ad costs'!F$11/'Summary, hourly ad costs'!V$11))/('Summary, PPI''s'!V67))</f>
        <v>.</v>
      </c>
      <c r="BT67" s="4" t="str">
        <f>IF(OR('Summary, hourly ad costs'!W67=-9999,'Summary, PPI''s'!W67="."),".",(('Summary, hourly ad costs'!G67/'Summary, hourly ad costs'!W67)*100/('Summary, hourly ad costs'!G$11/'Summary, hourly ad costs'!W$11))/('Summary, PPI''s'!W67))</f>
        <v>.</v>
      </c>
      <c r="BU67" s="4" t="str">
        <f>IF(OR('Summary, hourly ad costs'!X67=-9999,'Summary, PPI''s'!X67="."),".",(('Summary, hourly ad costs'!H67/'Summary, hourly ad costs'!X67)*100/('Summary, hourly ad costs'!H$11/'Summary, hourly ad costs'!X$11))/('Summary, PPI''s'!X67))</f>
        <v>.</v>
      </c>
      <c r="BV67" s="4" t="str">
        <f>IF(OR('Summary, hourly ad costs'!Y67=-9999,'Summary, PPI''s'!Y67="."),".",(('Summary, hourly ad costs'!I67/'Summary, hourly ad costs'!Y67)*100/('Summary, hourly ad costs'!I$11/'Summary, hourly ad costs'!Y$11))/('Summary, PPI''s'!Y67))</f>
        <v>.</v>
      </c>
      <c r="BW67" s="4" t="str">
        <f>IF(OR('Summary, hourly ad costs'!Z67=-9999,'Summary, PPI''s'!Z67="."),".",(('Summary, hourly ad costs'!J67/'Summary, hourly ad costs'!Z67)*100/('Summary, hourly ad costs'!J$11/'Summary, hourly ad costs'!Z$11))/('Summary, PPI''s'!Z67))</f>
        <v>.</v>
      </c>
      <c r="BX67" s="4" t="str">
        <f>IF(OR('Summary, hourly ad costs'!AA67=-9999,'Summary, PPI''s'!AA67="."),".",(('Summary, hourly ad costs'!K67/'Summary, hourly ad costs'!AA67)*100/('Summary, hourly ad costs'!K$11/'Summary, hourly ad costs'!AA$11))/('Summary, PPI''s'!AA67))</f>
        <v>.</v>
      </c>
      <c r="BY67" s="4" t="str">
        <f>IF(OR('Summary, hourly ad costs'!AB67=-9999,'Summary, PPI''s'!AB67="."),".",(('Summary, hourly ad costs'!L67/'Summary, hourly ad costs'!AB67)*100/('Summary, hourly ad costs'!L$11/'Summary, hourly ad costs'!AB$11))/('Summary, PPI''s'!AB67))</f>
        <v>.</v>
      </c>
      <c r="BZ67" s="4" t="str">
        <f>IF(OR('Summary, hourly ad costs'!AC67=-9999,'Summary, PPI''s'!AC67="."),".",(('Summary, hourly ad costs'!M67/'Summary, hourly ad costs'!AC67)*100/('Summary, hourly ad costs'!M$11/'Summary, hourly ad costs'!AC$11))/('Summary, PPI''s'!AC67))</f>
        <v>.</v>
      </c>
      <c r="CA67" s="4" t="str">
        <f>IF(OR('Summary, hourly ad costs'!AD67=-9999,'Summary, PPI''s'!AD67="."),".",(('Summary, hourly ad costs'!N67/'Summary, hourly ad costs'!AD67)*100/('Summary, hourly ad costs'!N$11/'Summary, hourly ad costs'!AD$11))/('Summary, PPI''s'!AD67))</f>
        <v>.</v>
      </c>
      <c r="CB67" s="4" t="str">
        <f>IF(OR('Summary, hourly ad costs'!AE67=-9999,'Summary, PPI''s'!AE67="."),".",(('Summary, hourly ad costs'!O67/'Summary, hourly ad costs'!AE67)*100/('Summary, hourly ad costs'!O$11/'Summary, hourly ad costs'!AE$11))/('Summary, PPI''s'!AE67))</f>
        <v>.</v>
      </c>
      <c r="CC67" s="4" t="str">
        <f>IF(OR('Summary, hourly ad costs'!AF67=-9999,'Summary, PPI''s'!AF67="."),".",(('Summary, hourly ad costs'!P67/'Summary, hourly ad costs'!AF67)*100/('Summary, hourly ad costs'!P$11/'Summary, hourly ad costs'!AF$11))/('Summary, PPI''s'!AF67))</f>
        <v>.</v>
      </c>
      <c r="CE67" s="4">
        <f t="shared" si="134"/>
        <v>-2.6912282196832515E-2</v>
      </c>
      <c r="CF67" s="4" t="str">
        <f t="shared" si="135"/>
        <v>.</v>
      </c>
      <c r="CG67" s="4" t="str">
        <f t="shared" si="136"/>
        <v>.</v>
      </c>
      <c r="CH67" s="4">
        <f t="shared" si="145"/>
        <v>-1.4393204960265308E-2</v>
      </c>
      <c r="CI67" s="4">
        <f t="shared" si="145"/>
        <v>-1.4642642828528372E-2</v>
      </c>
      <c r="CJ67" s="4" t="str">
        <f t="shared" si="147"/>
        <v>.</v>
      </c>
      <c r="CK67" s="4">
        <f t="shared" si="149"/>
        <v>4.2389334639268729E-3</v>
      </c>
      <c r="CL67" s="4">
        <f t="shared" si="130"/>
        <v>-1.0515343521549664E-2</v>
      </c>
      <c r="CM67" s="4">
        <f t="shared" si="130"/>
        <v>1.2136333731787361E-2</v>
      </c>
      <c r="CN67" s="4">
        <f t="shared" si="89"/>
        <v>-2.5001849482117179E-2</v>
      </c>
      <c r="CO67" s="4">
        <f t="shared" si="120"/>
        <v>2.8857341846562599E-2</v>
      </c>
      <c r="CP67" s="4">
        <f t="shared" si="120"/>
        <v>0.17690163217889729</v>
      </c>
      <c r="CQ67" s="4" t="str">
        <f t="shared" si="110"/>
        <v>.</v>
      </c>
      <c r="CR67" s="4" t="str">
        <f t="shared" si="111"/>
        <v>.</v>
      </c>
      <c r="CS67" s="4" t="str">
        <f t="shared" si="112"/>
        <v>.</v>
      </c>
      <c r="CU67" s="5">
        <f>IF(CU66=".", ".", IF('Summary, PPI''s'!R67=".",IF(OR('Summary, hourly ad costs'!R67=-9999,'Summary, hourly ad costs'!R67=0), ".", 'Predicted PPIs'!CU66*('Summary, hourly ad costs'!B67/'Summary, hourly ad costs'!R67)/('Summary, hourly ad costs'!B66/'Summary, hourly ad costs'!R66)/(1-CE66)), 'Summary, PPI''s'!R67))</f>
        <v>22.810962983253312</v>
      </c>
      <c r="CV67" s="5" t="str">
        <f>IF(CV66=".", ".", IF('Summary, PPI''s'!S67=".",IF(OR('Summary, hourly ad costs'!S67=-9999,'Summary, hourly ad costs'!S67=0), ".", 'Predicted PPIs'!CV66*('Summary, hourly ad costs'!C67/'Summary, hourly ad costs'!S67)/('Summary, hourly ad costs'!C66/'Summary, hourly ad costs'!S66)/(1-CF66)), 'Summary, PPI''s'!S67))</f>
        <v>.</v>
      </c>
      <c r="CW67" s="5" t="str">
        <f>IF(CW66=".", ".", IF('Summary, PPI''s'!T67=".",IF(OR('Summary, hourly ad costs'!T67=-9999,'Summary, hourly ad costs'!T67=0), ".", 'Predicted PPIs'!CW66*('Summary, hourly ad costs'!D67/'Summary, hourly ad costs'!T67)/('Summary, hourly ad costs'!D66/'Summary, hourly ad costs'!T66)/(1-CG66)), 'Summary, PPI''s'!T67))</f>
        <v>.</v>
      </c>
      <c r="CX67" s="5">
        <f>IF(CX66=".", ".", IF('Summary, PPI''s'!U67=".",IF(OR('Summary, hourly ad costs'!U67=-9999,'Summary, hourly ad costs'!U67=0), ".", 'Predicted PPIs'!CX66*('Summary, hourly ad costs'!E67/'Summary, hourly ad costs'!U67)/('Summary, hourly ad costs'!E66/'Summary, hourly ad costs'!U66)/(1-CH66)), 'Summary, PPI''s'!U67))</f>
        <v>5.8852981564977256</v>
      </c>
      <c r="CY67" s="5">
        <f>IF(CY66=".", ".", IF('Summary, PPI''s'!V67=".",IF(OR('Summary, hourly ad costs'!V67=-9999,'Summary, hourly ad costs'!V67=0), ".", 'Predicted PPIs'!CY66*('Summary, hourly ad costs'!F67/'Summary, hourly ad costs'!V67)/('Summary, hourly ad costs'!F66/'Summary, hourly ad costs'!V66)/(1-CI66)), 'Summary, PPI''s'!V67))</f>
        <v>10.146884389856892</v>
      </c>
      <c r="CZ67" s="5" t="str">
        <f>IF(CZ66=".", ".", IF('Summary, PPI''s'!W67=".",IF(OR('Summary, hourly ad costs'!W67=-9999,'Summary, hourly ad costs'!W67=0), ".", 'Predicted PPIs'!CZ66*('Summary, hourly ad costs'!G67/'Summary, hourly ad costs'!W67)/('Summary, hourly ad costs'!G66/'Summary, hourly ad costs'!W66)/(1-CJ66)), 'Summary, PPI''s'!W67))</f>
        <v>.</v>
      </c>
      <c r="DA67" s="5">
        <f>IF(DA66=".", ".", IF('Summary, PPI''s'!X67=".",IF(OR('Summary, hourly ad costs'!X67=-9999,'Summary, hourly ad costs'!X67=0), ".", 'Predicted PPIs'!DA66*('Summary, hourly ad costs'!H67/'Summary, hourly ad costs'!X67)/('Summary, hourly ad costs'!H66/'Summary, hourly ad costs'!X66)/(1-CK66)), 'Summary, PPI''s'!X67))</f>
        <v>3.6216971902958934</v>
      </c>
      <c r="DB67" s="5">
        <f>IF(DB66=".", ".", IF('Summary, PPI''s'!Y67=".",IF(OR('Summary, hourly ad costs'!Y67=-9999,'Summary, hourly ad costs'!Y67=0), ".", 'Predicted PPIs'!DB66*('Summary, hourly ad costs'!I67/'Summary, hourly ad costs'!Y67)/('Summary, hourly ad costs'!I66/'Summary, hourly ad costs'!Y66)/(1-CL66)), 'Summary, PPI''s'!Y67))</f>
        <v>7.9252651265507339</v>
      </c>
      <c r="DC67" s="5">
        <f>IF(DC66=".", ".", IF('Summary, PPI''s'!Z67=".",IF(OR('Summary, hourly ad costs'!Z67=-9999,'Summary, hourly ad costs'!Z67=0), ".", 'Predicted PPIs'!DC66*('Summary, hourly ad costs'!J67/'Summary, hourly ad costs'!Z67)/('Summary, hourly ad costs'!J66/'Summary, hourly ad costs'!Z66)/(1-CM66)), 'Summary, PPI''s'!Z67))</f>
        <v>16.832905351137669</v>
      </c>
      <c r="DD67" s="5" t="str">
        <f>IF(DD66=".", ".", IF('Summary, PPI''s'!AA67=".",IF(OR('Summary, hourly ad costs'!AA67=-9999,'Summary, hourly ad costs'!AA67=0), ".", 'Predicted PPIs'!DD66*('Summary, hourly ad costs'!K67/'Summary, hourly ad costs'!AA67)/('Summary, hourly ad costs'!K66/'Summary, hourly ad costs'!AA66)/(1-CN66)), 'Summary, PPI''s'!AA67))</f>
        <v>.</v>
      </c>
      <c r="DE67" s="5" t="str">
        <f>IF(DE66=".", ".", IF('Summary, PPI''s'!AB67=".",IF(OR('Summary, hourly ad costs'!AB67=-9999,'Summary, hourly ad costs'!AB67=0), ".", 'Predicted PPIs'!DE66*('Summary, hourly ad costs'!L67/'Summary, hourly ad costs'!AB67)/('Summary, hourly ad costs'!L66/'Summary, hourly ad costs'!AB66)/(1-CO66)), 'Summary, PPI''s'!AB67))</f>
        <v>.</v>
      </c>
      <c r="DF67" s="5" t="str">
        <f>IF(DF66=".", ".", IF('Summary, PPI''s'!AC67=".",IF(OR('Summary, hourly ad costs'!AC67=-9999,'Summary, hourly ad costs'!AC67=0), ".", 'Predicted PPIs'!DF66*('Summary, hourly ad costs'!M67/'Summary, hourly ad costs'!AC67)/('Summary, hourly ad costs'!M66/'Summary, hourly ad costs'!AC66)/(1-CP66)), 'Summary, PPI''s'!AC67))</f>
        <v>.</v>
      </c>
      <c r="DG67" s="5" t="str">
        <f>IF(DG66=".", ".", IF('Summary, PPI''s'!AD67=".",IF(OR('Summary, hourly ad costs'!AD67=-9999,'Summary, hourly ad costs'!AD67=0), ".", 'Predicted PPIs'!DG66*('Summary, hourly ad costs'!N67/'Summary, hourly ad costs'!AD67)/('Summary, hourly ad costs'!N66/'Summary, hourly ad costs'!AD66)/(1-CQ66)), 'Summary, PPI''s'!AD67))</f>
        <v>.</v>
      </c>
      <c r="DH67" s="5" t="str">
        <f>IF(DH66=".", ".", IF('Summary, PPI''s'!AE67=".",IF(OR('Summary, hourly ad costs'!AE67=-9999,'Summary, hourly ad costs'!AE67=0), ".", 'Predicted PPIs'!DH66*('Summary, hourly ad costs'!O67/'Summary, hourly ad costs'!AE67)/('Summary, hourly ad costs'!O66/'Summary, hourly ad costs'!AE66)/(1-CR66)), 'Summary, PPI''s'!AE67))</f>
        <v>.</v>
      </c>
      <c r="DI67" s="5" t="str">
        <f>IF(DI66=".", ".", IF('Summary, PPI''s'!AF67=".",IF(OR('Summary, hourly ad costs'!AF67=-9999,'Summary, hourly ad costs'!AF67=0), ".", 'Predicted PPIs'!DI66*('Summary, hourly ad costs'!P67/'Summary, hourly ad costs'!AF67)/('Summary, hourly ad costs'!P66/'Summary, hourly ad costs'!AF66)/(1-CS66)), 'Summary, PPI''s'!AF67))</f>
        <v>.</v>
      </c>
      <c r="DK67" s="4">
        <v>5.4829999999999997</v>
      </c>
      <c r="DM67" s="5">
        <f t="shared" si="138"/>
        <v>3.0404254093795213E-2</v>
      </c>
      <c r="DN67" s="4">
        <f t="shared" si="139"/>
        <v>-2.0668780222216816E-2</v>
      </c>
      <c r="DO67" s="4">
        <f t="shared" si="123"/>
        <v>-2.2807914992894765E-2</v>
      </c>
      <c r="DP67" s="5">
        <f t="shared" si="140"/>
        <v>2.3323754188837809E-2</v>
      </c>
      <c r="DQ67" s="5">
        <f t="shared" si="141"/>
        <v>0.11000223838274703</v>
      </c>
      <c r="DR67" s="4">
        <f t="shared" si="146"/>
        <v>-1.0557192499956758E-2</v>
      </c>
      <c r="DS67" s="5">
        <f t="shared" si="142"/>
        <v>-0.30673719342464689</v>
      </c>
      <c r="DT67" s="5">
        <f t="shared" si="143"/>
        <v>-8.606271467119897E-3</v>
      </c>
      <c r="DU67" s="5">
        <f t="shared" si="144"/>
        <v>3.5748085521408735E-2</v>
      </c>
      <c r="DV67" s="4">
        <f t="shared" si="131"/>
        <v>6.5491890317792166E-4</v>
      </c>
      <c r="DW67" s="4">
        <f t="shared" si="133"/>
        <v>-3.3342762922152512E-2</v>
      </c>
      <c r="DX67" s="4">
        <f t="shared" si="133"/>
        <v>-0.11402059402302703</v>
      </c>
      <c r="DY67" s="4">
        <f t="shared" si="108"/>
        <v>-1.9497125181534392E-2</v>
      </c>
      <c r="DZ67" s="4">
        <f t="shared" si="132"/>
        <v>-1.3060076385806422E-2</v>
      </c>
      <c r="EA67" s="4">
        <f t="shared" si="109"/>
        <v>-1.1568204252108737E-2</v>
      </c>
      <c r="EC67" s="1">
        <f t="shared" si="93"/>
        <v>22.810962983253312</v>
      </c>
      <c r="ED67" s="1">
        <f t="shared" si="94"/>
        <v>14.937033012979118</v>
      </c>
      <c r="EE67" s="1">
        <f t="shared" si="95"/>
        <v>8.3175471269809584</v>
      </c>
      <c r="EF67" s="1">
        <f t="shared" si="96"/>
        <v>5.8852981564977256</v>
      </c>
      <c r="EG67" s="1">
        <f t="shared" si="97"/>
        <v>10.146884389856892</v>
      </c>
      <c r="EH67" s="1">
        <f t="shared" si="98"/>
        <v>6.8134086496585615</v>
      </c>
      <c r="EI67" s="1">
        <f t="shared" si="99"/>
        <v>3.6216971902958934</v>
      </c>
      <c r="EJ67" s="1">
        <f t="shared" si="100"/>
        <v>7.9252651265507339</v>
      </c>
      <c r="EK67" s="1">
        <f t="shared" si="101"/>
        <v>16.832905351137669</v>
      </c>
      <c r="EL67" s="1">
        <f t="shared" si="102"/>
        <v>4.4806797125647186</v>
      </c>
      <c r="EM67" s="1">
        <f t="shared" si="103"/>
        <v>1.6994471303322056</v>
      </c>
      <c r="EN67" s="1">
        <f t="shared" si="104"/>
        <v>3.6995610783291171</v>
      </c>
      <c r="EO67" s="1">
        <f t="shared" si="105"/>
        <v>5.1339192280586827</v>
      </c>
      <c r="EP67" s="1">
        <f t="shared" si="106"/>
        <v>7.0924735008740063</v>
      </c>
      <c r="EQ67" s="1">
        <f t="shared" si="107"/>
        <v>5.4680512152117675</v>
      </c>
      <c r="ES67" s="1">
        <f>IF(EF$26=".", 0, 'Summary, PPI''s'!E67)+IF(EG$26=".", 0, 'Summary, PPI''s'!F67)+IF(EH$26=".", 0, 'Summary, PPI''s'!G67)+IF(EI$26=".", 0, 'Summary, PPI''s'!H67)+IF(EJ$26=".", 0, 'Summary, PPI''s'!I67)+IF(EK$26=".", 0, 'Summary, PPI''s'!J67)+IF(EL$26=".", 0, 'Summary, PPI''s'!K67)+IF(EM$26=".", 0, 'Summary, PPI''s'!L67)+IF(EN$26=".", 0, 'Summary, PPI''s'!M67)+IF(EC$26=".", 0, 'Summary, PPI''s'!B67)+IF(ED$26=".", 0, 'Summary, PPI''s'!C67)+IF(EE$26=".", 0, 'Summary, PPI''s'!D67)+IF(EO$26=".", 0, 'Summary, PPI''s'!N67)+IF(EP$26=".", 0, 'Summary, PPI''s'!O67)+IF(EQ$26=".", 0, 'Summary, PPI''s'!P67)</f>
        <v>10139911.892117197</v>
      </c>
      <c r="ET67" s="1">
        <f>'Summary, hourly ad costs'!E67+'Summary, hourly ad costs'!F67+'Summary, hourly ad costs'!H67+'Summary, hourly ad costs'!I67+'Summary, hourly ad costs'!J67+'Summary, hourly ad costs'!K67+'Summary, hourly ad costs'!L67+'Summary, hourly ad costs'!M67+'Summary, hourly ad costs'!B67</f>
        <v>5984489.0265365876</v>
      </c>
      <c r="EV67" s="13">
        <f>EV66*IF(EF$26=".", 1, (EF67/EF66)^(('Summary, PPI''s'!$E67+'Summary, PPI''s'!$E66)/('Predicted PPIs'!ES67+'Predicted PPIs'!ES66)))*IF(EG$26=".", 1, (EG67/EG66)^(('Summary, PPI''s'!$F67+'Summary, PPI''s'!$F66)/('Predicted PPIs'!ES67+'Predicted PPIs'!ES66)))*IF(EH$26=".", 1, (EH67/EH66)^(('Summary, PPI''s'!$G67+'Summary, PPI''s'!$G66)/('Predicted PPIs'!ES67+'Predicted PPIs'!ES66)))*IF(EI$26=".", 1, (EI67/EI66)^(('Summary, PPI''s'!$H67+'Summary, PPI''s'!$H66)/('Predicted PPIs'!ES67+'Predicted PPIs'!ES66)))*IF(EJ$26=".", 1, (EJ67/EJ66)^(('Summary, PPI''s'!$I67+'Summary, PPI''s'!$I66)/('Predicted PPIs'!ES67+'Predicted PPIs'!ES66)))*IF(EK$26=".", 1, (EK67/EK66)^(('Summary, PPI''s'!$J67+'Summary, PPI''s'!$J66)/('Predicted PPIs'!ES67+'Predicted PPIs'!ES66)))*IF(EL$26=".", 1, (EL67/EL66)^(('Summary, PPI''s'!$K67+'Summary, PPI''s'!$K66)/('Predicted PPIs'!ES67+'Predicted PPIs'!ES66)))*IF(EM$26=".", 1, (EM67/EM66)^(('Summary, PPI''s'!$L67+'Summary, PPI''s'!$L66)/('Predicted PPIs'!ES67+'Predicted PPIs'!ES66)))*IF(EN$26=".", 1, (EN67/EN66)^(('Summary, PPI''s'!$M67+'Summary, PPI''s'!$M66)/('Predicted PPIs'!ES67+'Predicted PPIs'!ES66)))*IF(EC$26=".", 1, (EC67/EC66)^(('Summary, PPI''s'!$B67+'Summary, PPI''s'!$B66)/('Predicted PPIs'!ES67+'Predicted PPIs'!ES66)))*IF(ED$26=".", 1, (ED67/ED66)^(('Summary, PPI''s'!$C67+'Summary, PPI''s'!$C66)/('Predicted PPIs'!ES67+'Predicted PPIs'!ES66)))*IF(EE$26=".", 1, (EE67/EE66)^(('Summary, PPI''s'!$D67+'Summary, PPI''s'!$D66)/('Predicted PPIs'!ES67+'Predicted PPIs'!ES66)))*IF(EO$26=".", 1, (EO67/EO66)^(('Summary, PPI''s'!$N67+'Summary, PPI''s'!$N66)/('Predicted PPIs'!ES67+'Predicted PPIs'!ES66)))*IF(EP$26=".", 1, (EP67/EP66)^(('Summary, PPI''s'!$O67+'Summary, PPI''s'!$O66)/('Predicted PPIs'!ES67+'Predicted PPIs'!ES66)))*IF(EQ$26=".", 1, (EQ67/EQ66)^(('Summary, PPI''s'!$P67+'Summary, PPI''s'!$P66)/('Predicted PPIs'!ES67+'Predicted PPIs'!ES66)))</f>
        <v>9.1185662647755024</v>
      </c>
      <c r="EW67" s="13">
        <f>EW66*IF(EF$26=".", 1, (EF67/EF66)^(('Summary, PPI''s'!$E67+'Summary, PPI''s'!$E66)/('Predicted PPIs'!ET67+'Predicted PPIs'!ET66)))*IF(EG$26=".", 1, (EG67/EG66)^(('Summary, PPI''s'!$F67+'Summary, PPI''s'!$F66)/('Predicted PPIs'!ET67+'Predicted PPIs'!ET66)))*IF(EH$26=".", 1, (EH67/EH66)^(('Summary, PPI''s'!$G67+'Summary, PPI''s'!$G66)/('Predicted PPIs'!ET67+'Predicted PPIs'!ET66)))*IF(EK$26=".", 1, (EK67/EK66)^(('Summary, PPI''s'!$J67+'Summary, PPI''s'!$J66)/('Predicted PPIs'!ET67+'Predicted PPIs'!ET66)))*IF(EL$26=".", 1, (EL67/EL66)^(('Summary, PPI''s'!$K67+'Summary, PPI''s'!$K66)/('Predicted PPIs'!ET67+'Predicted PPIs'!ET66)))*IF(EM$26=".", 1, (EM67/EM66)^(('Summary, PPI''s'!$L67+'Summary, PPI''s'!$L66)/('Predicted PPIs'!ET67+'Predicted PPIs'!ET66)))*IF(EN$26=".", 1, (EN67/EN66)^(('Summary, PPI''s'!$M67+'Summary, PPI''s'!$M66)/('Predicted PPIs'!ET67+'Predicted PPIs'!ET66)))*IF(EC$26=".", 1, (EC67/EC66)^(('Summary, PPI''s'!$B67+'Summary, PPI''s'!$B66)/('Predicted PPIs'!ET67+'Predicted PPIs'!ET66)))</f>
        <v>12.409214661588706</v>
      </c>
      <c r="EY67" s="2"/>
    </row>
    <row r="68" spans="1:155" x14ac:dyDescent="0.3">
      <c r="A68" s="4">
        <v>1955</v>
      </c>
      <c r="B68" s="10">
        <f>IF(B67=".", ".", IF('Summary, PPI''s'!R68=".",IF(OR('Summary, hourly ad costs'!R68=-9999,'Summary, hourly ad costs'!R68=0), ".", 'Predicted PPIs'!B67*('Summary, hourly ad costs'!B68/'Summary, hourly ad costs'!R68)/('Summary, hourly ad costs'!B67/'Summary, hourly ad costs'!R67)), 'Summary, PPI''s'!R68))</f>
        <v>24.109469515094823</v>
      </c>
      <c r="C68" s="10" t="str">
        <f>IF(C67=".", ".", IF('Summary, PPI''s'!S68=".",IF(OR('Summary, hourly ad costs'!S68=-9999,'Summary, hourly ad costs'!S68=0), ".", 'Predicted PPIs'!C67*('Summary, hourly ad costs'!C68/'Summary, hourly ad costs'!S68)/('Summary, hourly ad costs'!C67/'Summary, hourly ad costs'!S67)), 'Summary, PPI''s'!S68))</f>
        <v>.</v>
      </c>
      <c r="D68" s="10" t="str">
        <f>IF(D67=".", ".", IF('Summary, PPI''s'!T68=".",IF(OR('Summary, hourly ad costs'!T68=-9999,'Summary, hourly ad costs'!T68=0), ".", 'Predicted PPIs'!D67*('Summary, hourly ad costs'!D68/'Summary, hourly ad costs'!T68)/('Summary, hourly ad costs'!D67/'Summary, hourly ad costs'!T67)), 'Summary, PPI''s'!T68))</f>
        <v>.</v>
      </c>
      <c r="E68" s="10">
        <f>IF(E67=".", ".", IF('Summary, PPI''s'!U68=".",IF(OR('Summary, hourly ad costs'!U68=-9999,'Summary, hourly ad costs'!U68=0), ".", 'Predicted PPIs'!E67*('Summary, hourly ad costs'!E68/'Summary, hourly ad costs'!U68)/('Summary, hourly ad costs'!E67/'Summary, hourly ad costs'!U67)), 'Summary, PPI''s'!U68))</f>
        <v>5.5032878973751567</v>
      </c>
      <c r="F68" s="10">
        <f>IF(F67=".", ".", IF('Summary, PPI''s'!V68=".",IF(OR('Summary, hourly ad costs'!V68=-9999,'Summary, hourly ad costs'!V68=0), ".", 'Predicted PPIs'!F67*('Summary, hourly ad costs'!F68/'Summary, hourly ad costs'!V68)/('Summary, hourly ad costs'!F67/'Summary, hourly ad costs'!V67)), 'Summary, PPI''s'!V68))</f>
        <v>8.6287044351907962</v>
      </c>
      <c r="G68" s="10" t="str">
        <f>IF(G67=".", ".", IF('Summary, PPI''s'!W68=".",IF(OR('Summary, hourly ad costs'!W68=-9999,'Summary, hourly ad costs'!W68=0), ".", 'Predicted PPIs'!G67*('Summary, hourly ad costs'!G68/'Summary, hourly ad costs'!W68)/('Summary, hourly ad costs'!G67/'Summary, hourly ad costs'!W67)), 'Summary, PPI''s'!W68))</f>
        <v>.</v>
      </c>
      <c r="H68" s="10">
        <f>IF(H67=".", ".", IF('Summary, PPI''s'!X68=".",IF(OR('Summary, hourly ad costs'!X68=-9999,'Summary, hourly ad costs'!X68=0), ".", 'Predicted PPIs'!H67*('Summary, hourly ad costs'!H68/'Summary, hourly ad costs'!X68)/('Summary, hourly ad costs'!H67/'Summary, hourly ad costs'!X67)), 'Summary, PPI''s'!X68))</f>
        <v>4.8966966018986771</v>
      </c>
      <c r="I68" s="10">
        <f>IF(I67=".", ".", IF('Summary, PPI''s'!Y68=".",IF(OR('Summary, hourly ad costs'!Y68=-9999,'Summary, hourly ad costs'!Y68=0), ".", 'Predicted PPIs'!I67*('Summary, hourly ad costs'!I68/'Summary, hourly ad costs'!Y68)/('Summary, hourly ad costs'!I67/'Summary, hourly ad costs'!Y67)), 'Summary, PPI''s'!Y68))</f>
        <v>6.7315781523822036</v>
      </c>
      <c r="J68" s="10">
        <f>IF(J67=".", ".", IF('Summary, PPI''s'!Z68=".",IF(OR('Summary, hourly ad costs'!Z68=-9999,'Summary, hourly ad costs'!Z68=0), ".", 'Predicted PPIs'!J67*('Summary, hourly ad costs'!J68/'Summary, hourly ad costs'!Z68)/('Summary, hourly ad costs'!J67/'Summary, hourly ad costs'!Z67)), 'Summary, PPI''s'!Z68))</f>
        <v>10.263928537076465</v>
      </c>
      <c r="K68" s="10" t="str">
        <f>IF(K67=".", ".", IF('Summary, PPI''s'!AA68=".",IF(OR('Summary, hourly ad costs'!AA68=-9999,'Summary, hourly ad costs'!AA68=0), ".", 'Predicted PPIs'!K67*('Summary, hourly ad costs'!K68/'Summary, hourly ad costs'!AA68)/('Summary, hourly ad costs'!K67/'Summary, hourly ad costs'!AA67)), 'Summary, PPI''s'!AA68))</f>
        <v>.</v>
      </c>
      <c r="L68" s="10" t="str">
        <f>IF(L67=".", ".", IF('Summary, PPI''s'!AB68=".",IF(OR('Summary, hourly ad costs'!AB68=-9999,'Summary, hourly ad costs'!AB68=0), ".", 'Predicted PPIs'!L67*('Summary, hourly ad costs'!L68/'Summary, hourly ad costs'!AB68)/('Summary, hourly ad costs'!L67/'Summary, hourly ad costs'!AB67)), 'Summary, PPI''s'!AB68))</f>
        <v>.</v>
      </c>
      <c r="M68" s="10" t="str">
        <f>IF(M67=".", ".", IF('Summary, PPI''s'!AC68=".",IF(OR('Summary, hourly ad costs'!AC68=-9999,'Summary, hourly ad costs'!AC68=0), ".", 'Predicted PPIs'!M67*('Summary, hourly ad costs'!M68/'Summary, hourly ad costs'!AC68)/('Summary, hourly ad costs'!M67/'Summary, hourly ad costs'!AC67)), 'Summary, PPI''s'!AC68))</f>
        <v>.</v>
      </c>
      <c r="N68" s="10" t="str">
        <f>IF(N67=".", ".", IF('Summary, PPI''s'!AD68=".",IF(OR('Summary, hourly ad costs'!AD68=-9999,'Summary, hourly ad costs'!AD68=0), ".", 'Predicted PPIs'!N67*('Summary, hourly ad costs'!N68/'Summary, hourly ad costs'!AD68)/('Summary, hourly ad costs'!N67/'Summary, hourly ad costs'!AD67)), 'Summary, PPI''s'!AD68))</f>
        <v>.</v>
      </c>
      <c r="O68" s="10" t="str">
        <f>IF(O67=".", ".", IF('Summary, PPI''s'!AE68=".",IF(OR('Summary, hourly ad costs'!AE68=-9999,'Summary, hourly ad costs'!AE68=0), ".", 'Predicted PPIs'!O67*('Summary, hourly ad costs'!O68/'Summary, hourly ad costs'!AE68)/('Summary, hourly ad costs'!O67/'Summary, hourly ad costs'!AE67)), 'Summary, PPI''s'!AE68))</f>
        <v>.</v>
      </c>
      <c r="P68" s="10" t="str">
        <f>IF(P67=".", ".", IF('Summary, PPI''s'!AF68=".",IF(OR('Summary, hourly ad costs'!AF68=-9999,'Summary, hourly ad costs'!AF68=0), ".", 'Predicted PPIs'!P67*('Summary, hourly ad costs'!P68/'Summary, hourly ad costs'!AF68)/('Summary, hourly ad costs'!P67/'Summary, hourly ad costs'!AF67)), 'Summary, PPI''s'!AF68))</f>
        <v>.</v>
      </c>
      <c r="R68" s="1">
        <f>IF(E$26=".", 0, 'Summary, PPI''s'!E68)+IF(F$26=".", 0, 'Summary, PPI''s'!F68)+IF(G$26=".", 0, 'Summary, PPI''s'!G68)+IF(H$26=".", 0, 'Summary, PPI''s'!H68)+IF(I$26=".", 0, 'Summary, PPI''s'!I68)+IF(J$26=".", 0, 'Summary, PPI''s'!J68)+IF(K$26=".", 0, 'Summary, PPI''s'!K68)+IF(L$26=".", 0, 'Summary, PPI''s'!L68)+IF(M$26=".", 0, 'Summary, PPI''s'!M68)+IF(B$26=".", 0, 'Summary, PPI''s'!B68)+IF(C$26=".", 0, 'Summary, PPI''s'!C68)+IF(D$26=".", 0, 'Summary, PPI''s'!D68)+IF(N$26=".", 0, 'Summary, PPI''s'!N68)+IF(O$26=".", 0, 'Summary, PPI''s'!O68)+IF(P$26=".", 0, 'Summary, PPI''s'!P68)</f>
        <v>9222821.0082504656</v>
      </c>
      <c r="S68" s="1">
        <f>IF(E$36=".", 0, 'Summary, PPI''s'!E68)+IF(F$36=".", 0, 'Summary, PPI''s'!F68)+IF(G$36=".", 0, 'Summary, PPI''s'!G68)+IF(H$36=".", 0, 'Summary, PPI''s'!H68)+IF(I$36=".", 0, 'Summary, PPI''s'!I68)+IF(J$36=".", 0, 'Summary, PPI''s'!J68)+IF(K$36=".", 0, 'Summary, PPI''s'!K68)+IF(L$36=".", 0, 'Summary, PPI''s'!L68)+IF(M$36=".", 0, 'Summary, PPI''s'!M68)+IF(B$36=".", 0, 'Summary, PPI''s'!B68)+IF(C$36=".", 0, 'Summary, PPI''s'!C68)+IF(D$36=".", 0, 'Summary, PPI''s'!D68)+IF(N$36=".", 0, 'Summary, PPI''s'!N68)+IF(O$36=".", 0, 'Summary, PPI''s'!O68)+IF(P$36=".", 0, 'Summary, PPI''s'!P68)</f>
        <v>9222821.0082504656</v>
      </c>
      <c r="T68" s="1">
        <f>IF(E$46=".", 0, 'Summary, PPI''s'!E68)+IF(F$46=".", 0, 'Summary, PPI''s'!F68)+IF(G$46=".", 0, 'Summary, PPI''s'!G68)+IF(H$46=".", 0, 'Summary, PPI''s'!H68)+IF(I$46=".", 0, 'Summary, PPI''s'!I68)+IF(J$46=".", 0, 'Summary, PPI''s'!J68)+IF(K$46=".", 0, 'Summary, PPI''s'!K68)+IF(L$46=".", 0, 'Summary, PPI''s'!L68)+IF(M$46=".", 0, 'Summary, PPI''s'!M68)+IF(B$46=".", 0, 'Summary, PPI''s'!B68)+IF(C$46=".", 0, 'Summary, PPI''s'!C68)+IF(D$46=".", 0, 'Summary, PPI''s'!D68)+IF(N$46=".", 0, 'Summary, PPI''s'!N68)+IF(O$46=".", 0, 'Summary, PPI''s'!O68)+IF(P$46=".", 0, 'Summary, PPI''s'!P68)</f>
        <v>6980929.4331533238</v>
      </c>
      <c r="U68" s="1">
        <f>IF(E$60=".", 0, 'Summary, PPI''s'!E68)+IF(F$60=".", 0, 'Summary, PPI''s'!F68)+IF(G$60=".", 0, 'Summary, PPI''s'!G68)+IF(H$60=".", 0, 'Summary, PPI''s'!H68)+IF(I$60=".", 0, 'Summary, PPI''s'!I68)+IF(J$60=".", 0, 'Summary, PPI''s'!J68)+IF(K$60=".", 0, 'Summary, PPI''s'!K68)+IF(L$60=".", 0, 'Summary, PPI''s'!L68)+IF(M$60=".", 0, 'Summary, PPI''s'!M68)+IF(B$60=".", 0, 'Summary, PPI''s'!B68)+IF(C$60=".", 0, 'Summary, PPI''s'!C68)+IF(D$60=".", 0, 'Summary, PPI''s'!D68)+IF(N$60=".", 0, 'Summary, PPI''s'!N68)+IF(O$60=".", 0, 'Summary, PPI''s'!O68)+IF(P$60=".", 0, 'Summary, PPI''s'!P68)</f>
        <v>6340839.6985756131</v>
      </c>
      <c r="V68" s="1">
        <f>IF(E$73=".", 0, 'Summary, PPI''s'!E68)+IF(F$73=".", 0, 'Summary, PPI''s'!F68)+IF(G$73=".", 0, 'Summary, PPI''s'!G68)+IF(H$73=".", 0, 'Summary, PPI''s'!H68)+IF(I$73=".", 0, 'Summary, PPI''s'!I68)+IF(J$73=".", 0, 'Summary, PPI''s'!J68)+IF(K$73=".", 0, 'Summary, PPI''s'!K68)+IF(L$73=".", 0, 'Summary, PPI''s'!L68)+IF(M$73=".", 0, 'Summary, PPI''s'!M68)+IF(B$73=".", 0, 'Summary, PPI''s'!B68)+IF(C$73=".", 0, 'Summary, PPI''s'!C68)+IF(D$73=".", 0, 'Summary, PPI''s'!D68)+IF(N$73=".", 0, 'Summary, PPI''s'!N68)+IF(O$73=".", 0, 'Summary, PPI''s'!O68)+IF(P$73=".", 0, 'Summary, PPI''s'!P68)</f>
        <v>5545893.7363026617</v>
      </c>
      <c r="W68" s="1">
        <f>IF(E$94=".",0,'Summary, PPI''s'!E68)+IF(F$94=".",0,'Summary, PPI''s'!F68)+IF(G$94=".",0,'Summary, PPI''s'!G68)+IF(H$94=".",0,'Summary, PPI''s'!H68)+IF(I$94=".",0,'Summary, PPI''s'!I68)+IF(J$94=".",0,'Summary, PPI''s'!J68)+IF(K$94=".",0,'Summary, PPI''s'!K68)+IF(L$94=".",0,'Summary, PPI''s'!L68)+IF(M$94=".",0,'Summary, PPI''s'!M68)+IF(B$94=".",0,'Summary, PPI''s'!B68)+IF(C$94=".",0,'Summary, PPI''s'!C68)+IF(D$94=".",0,'Summary, PPI''s'!D68)+IF(N$94=".",0,'Summary, PPI''s'!N68)+IF(O$94=".",0,'Summary, PPI''s'!O68)+IF(P$94=".",0,'Summary, PPI''s'!P68)</f>
        <v>4770879.9866171815</v>
      </c>
      <c r="X68" s="1">
        <f>IF(E$123=".", 0, 'Summary, PPI''s'!E68)+IF(F$123=".", 0, 'Summary, PPI''s'!F68)+IF(G$123=".", 0, 'Summary, PPI''s'!G68)+IF(H$123=".", 0, 'Summary, PPI''s'!H68)+IF(I$123=".", 0, 'Summary, PPI''s'!I68)+IF(J$123=".", 0, 'Summary, PPI''s'!J68)+IF(K$123=".", 0, 'Summary, PPI''s'!K68)+IF(L$123=".", 0, 'Summary, PPI''s'!L68)+IF(M$123=".", 0, 'Summary, PPI''s'!M68)+IF(B$123=".", 0, 'Summary, PPI''s'!B68)+IF(C$123=".", 0, 'Summary, PPI''s'!C68)+IF(D$123=".", 0, 'Summary, PPI''s'!D68)+IF(N$123=".", 0, 'Summary, PPI''s'!N68)+IF(O$123=".", 0, 'Summary, PPI''s'!O68)+IF(P$123=".", 0, 'Summary, PPI''s'!P68)</f>
        <v>4334070.9252552325</v>
      </c>
      <c r="Z68" s="4" t="e">
        <f>Z67*IF(E$26=".", 1, (E68/E67)^(('Summary, PPI''s'!$E68+'Summary, PPI''s'!$E67)/('Predicted PPIs'!R68+'Predicted PPIs'!R67)))*IF(F$26=".", 1, (F68/F67)^(('Summary, PPI''s'!$F68+'Summary, PPI''s'!$F67)/('Predicted PPIs'!R68+'Predicted PPIs'!R67)))*IF(G$26=".", 1, (G68/G67)^(('Summary, PPI''s'!$G68+'Summary, PPI''s'!$G67)/('Predicted PPIs'!R68+'Predicted PPIs'!R67)))*IF(H$26=".", 1, (H68/H67)^(('Summary, PPI''s'!$H68+'Summary, PPI''s'!$H67)/('Predicted PPIs'!R68+'Predicted PPIs'!R67)))*IF(I$26=".", 1, (I68/I67)^(('Summary, PPI''s'!$I68+'Summary, PPI''s'!$I67)/('Predicted PPIs'!R68+'Predicted PPIs'!R67)))*IF(J$26=".", 1, (J68/J67)^(('Summary, PPI''s'!$J68+'Summary, PPI''s'!$J67)/('Predicted PPIs'!R68+'Predicted PPIs'!R67)))*IF(K$26=".", 1, (K68/K67)^(('Summary, PPI''s'!$K68+'Summary, PPI''s'!$K67)/('Predicted PPIs'!R68+'Predicted PPIs'!R67)))*IF(L$26=".", 1, (L68/L67)^(('Summary, PPI''s'!$L68+'Summary, PPI''s'!$L67)/('Predicted PPIs'!R68+'Predicted PPIs'!R67)))*IF(M$26=".", 1, (M68/M67)^(('Summary, PPI''s'!$M68+'Summary, PPI''s'!$M67)/('Predicted PPIs'!R68+'Predicted PPIs'!R67)))*IF(B$26=".", 1, (B68/B67)^(('Summary, PPI''s'!$B68+'Summary, PPI''s'!$B67)/('Predicted PPIs'!R68+'Predicted PPIs'!R67)))*IF(C$26=".", 1, (C68/C67)^(('Summary, PPI''s'!$C68+'Summary, PPI''s'!$C67)/('Predicted PPIs'!R68+'Predicted PPIs'!R67)))*IF(D$26=".", 1, (D68/D67)^(('Summary, PPI''s'!$D68+'Summary, PPI''s'!$D67)/('Predicted PPIs'!R68+'Predicted PPIs'!R67)))*IF(N$26=".", 1, (N68/N67)^(('Summary, PPI''s'!$N68+'Summary, PPI''s'!$N67)/('Predicted PPIs'!R68+'Predicted PPIs'!R67)))*IF(O$26=".", 1, (O68/O67)^(('Summary, PPI''s'!$O68+'Summary, PPI''s'!$O67)/('Predicted PPIs'!R68+'Predicted PPIs'!R67)))*IF(P$26=".", 1, (P68/P67)^(('Summary, PPI''s'!$P68+'Summary, PPI''s'!$P67)/('Predicted PPIs'!R68+'Predicted PPIs'!R67)))</f>
        <v>#VALUE!</v>
      </c>
      <c r="AA68" s="4" t="e">
        <f>AA67*IF(E$36=".", 1, (E68/E67)^(('Summary, PPI''s'!$E68+'Summary, PPI''s'!$E67)/('Predicted PPIs'!S68+'Predicted PPIs'!S67)))*IF(F$36=".", 1, (F68/F67)^(('Summary, PPI''s'!$F68+'Summary, PPI''s'!$F67)/('Predicted PPIs'!S68+'Predicted PPIs'!S67)))*IF(G$36=".", 1, (G68/G67)^(('Summary, PPI''s'!$G68+'Summary, PPI''s'!$G67)/('Predicted PPIs'!S68+'Predicted PPIs'!S67)))*IF(H$36=".", 1, (H68/H67)^(('Summary, PPI''s'!$H68+'Summary, PPI''s'!$H67)/('Predicted PPIs'!S68+'Predicted PPIs'!S67)))*IF(I$36=".", 1, (I68/I67)^(('Summary, PPI''s'!$I68+'Summary, PPI''s'!$I67)/('Predicted PPIs'!S68+'Predicted PPIs'!S67)))*IF(J$36=".", 1, (J68/J67)^(('Summary, PPI''s'!$J68+'Summary, PPI''s'!$J67)/('Predicted PPIs'!S68+'Predicted PPIs'!S67)))*IF(K$36=".", 1, (K68/K67)^(('Summary, PPI''s'!$K68+'Summary, PPI''s'!$K67)/('Predicted PPIs'!S68+'Predicted PPIs'!S67)))*IF(L$36=".", 1, (L68/L67)^(('Summary, PPI''s'!$L68+'Summary, PPI''s'!$L67)/('Predicted PPIs'!S68+'Predicted PPIs'!S67)))*IF(M$36=".", 1, (M68/M67)^(('Summary, PPI''s'!$M68+'Summary, PPI''s'!$M67)/('Predicted PPIs'!S68+'Predicted PPIs'!S67)))*IF(B$36=".", 1, (B68/B67)^(('Summary, PPI''s'!$B68+'Summary, PPI''s'!$B67)/('Predicted PPIs'!S68+'Predicted PPIs'!S67)))*IF(C$36=".", 1, (C68/C67)^(('Summary, PPI''s'!$C68+'Summary, PPI''s'!$C67)/('Predicted PPIs'!S68+'Predicted PPIs'!S67)))*IF(D$36=".", 1, (D68/D67)^(('Summary, PPI''s'!$D68+'Summary, PPI''s'!$D67)/('Predicted PPIs'!S68+'Predicted PPIs'!S67)))*IF(N$36=".", 1, (N68/N67)^(('Summary, PPI''s'!$N68+'Summary, PPI''s'!$N67)/('Predicted PPIs'!S68+'Predicted PPIs'!S67)))*IF(O$36=".", 1, (O68/O67)^(('Summary, PPI''s'!$O68+'Summary, PPI''s'!$O67)/('Predicted PPIs'!S68+'Predicted PPIs'!S67)))*IF(P$36=".", 1, (P68/P67)^(('Summary, PPI''s'!$P68+'Summary, PPI''s'!$P67)/('Predicted PPIs'!S68+'Predicted PPIs'!S67)))</f>
        <v>#VALUE!</v>
      </c>
      <c r="AB68" s="4" t="e">
        <f>AB67*IF(E$46=".", 1, (E68/E67)^(('Summary, PPI''s'!$E68+'Summary, PPI''s'!$E67)/('Predicted PPIs'!T68+'Predicted PPIs'!T67)))*IF(F$46=".", 1, (F68/F67)^(('Summary, PPI''s'!$F68+'Summary, PPI''s'!$F67)/('Predicted PPIs'!T68+'Predicted PPIs'!T67)))*IF(G$46=".", 1, (G68/G67)^(('Summary, PPI''s'!$G68+'Summary, PPI''s'!$G67)/('Predicted PPIs'!T68+'Predicted PPIs'!T67)))*IF(H$46=".", 1, (H68/H67)^(('Summary, PPI''s'!$H68+'Summary, PPI''s'!$H67)/('Predicted PPIs'!T68+'Predicted PPIs'!T67)))*IF(I$46=".", 1, (I68/I67)^(('Summary, PPI''s'!$I68+'Summary, PPI''s'!$I67)/('Predicted PPIs'!T68+'Predicted PPIs'!T67)))*IF(J$46=".", 1, (J68/J67)^(('Summary, PPI''s'!$J68+'Summary, PPI''s'!$J67)/('Predicted PPIs'!T68+'Predicted PPIs'!T67)))*IF(K$46=".", 1, (K68/K67)^(('Summary, PPI''s'!$K68+'Summary, PPI''s'!$K67)/('Predicted PPIs'!T68+'Predicted PPIs'!T67)))*IF(L$46=".", 1, (L68/L67)^(('Summary, PPI''s'!$L68+'Summary, PPI''s'!$L67)/('Predicted PPIs'!T68+'Predicted PPIs'!T67)))*IF(M$46=".", 1, (M68/M67)^(('Summary, PPI''s'!$M68+'Summary, PPI''s'!$M67)/('Predicted PPIs'!T68+'Predicted PPIs'!T67)))*IF(B$46=".", 1, (B68/B67)^(('Summary, PPI''s'!$B68+'Summary, PPI''s'!$B67)/('Predicted PPIs'!T68+'Predicted PPIs'!T67)))*IF(C$46=".", 1, (C68/C67)^(('Summary, PPI''s'!$C68+'Summary, PPI''s'!$C67)/('Predicted PPIs'!T68+'Predicted PPIs'!T67)))*IF(D$46=".", 1, (D68/D67)^(('Summary, PPI''s'!$D68+'Summary, PPI''s'!$D67)/('Predicted PPIs'!T68+'Predicted PPIs'!T67)))*IF(N$46=".", 1, (N68/N67)^(('Summary, PPI''s'!$N68+'Summary, PPI''s'!$N67)/('Predicted PPIs'!T68+'Predicted PPIs'!T67)))*IF(O$46=".", 1, (O68/O67)^(('Summary, PPI''s'!$O68+'Summary, PPI''s'!$O67)/('Predicted PPIs'!T68+'Predicted PPIs'!T67)))*IF(P$46=".", 1, (P68/P67)^(('Summary, PPI''s'!$P68+'Summary, PPI''s'!$P67)/('Predicted PPIs'!T68+'Predicted PPIs'!T67)))</f>
        <v>#VALUE!</v>
      </c>
      <c r="AC68" s="4" t="e">
        <f>AC67*IF(E$60=".",1,(E68/E67)^(('Summary, PPI''s'!$E68+'Summary, PPI''s'!$E67)/('Predicted PPIs'!U68+'Predicted PPIs'!U67)))*IF(F$60=".",1,(F68/F67)^(('Summary, PPI''s'!$F68+'Summary, PPI''s'!$F67)/('Predicted PPIs'!U68+'Predicted PPIs'!U67)))*IF(G$60=".",1,(G68/G67)^(('Summary, PPI''s'!$G68+'Summary, PPI''s'!$G67)/('Predicted PPIs'!U68+'Predicted PPIs'!U67)))*IF(H$60=".",1,(H68/H67)^(('Summary, PPI''s'!$H68+'Summary, PPI''s'!$H67)/('Predicted PPIs'!U68+'Predicted PPIs'!U67)))*IF(I$60=".",1,(I68/I67)^(('Summary, PPI''s'!$I68+'Summary, PPI''s'!$I67)/('Predicted PPIs'!U68+'Predicted PPIs'!U67)))*IF(J$60=".",1,(J68/J67)^(('Summary, PPI''s'!$J68+'Summary, PPI''s'!$J67)/('Predicted PPIs'!U68+'Predicted PPIs'!U67)))*IF(K$60=".",1,(K68/K67)^(('Summary, PPI''s'!$K68+'Summary, PPI''s'!$K67)/('Predicted PPIs'!U68+'Predicted PPIs'!U67)))*IF(L$60=".",1,(L68/L67)^(('Summary, PPI''s'!$L68+'Summary, PPI''s'!$L67)/('Predicted PPIs'!U68+'Predicted PPIs'!U67)))*IF(M$60=".",1,(M68/M67)^(('Summary, PPI''s'!$M68+'Summary, PPI''s'!$M67)/('Predicted PPIs'!U68+'Predicted PPIs'!U67)))*IF(B$60=".",1,(B68/B67)^(('Summary, PPI''s'!$B68+'Summary, PPI''s'!$B67)/('Predicted PPIs'!U68+'Predicted PPIs'!U67)))*IF(C$60=".",1,(C68/C67)^(('Summary, PPI''s'!$C68+'Summary, PPI''s'!$C67)/('Predicted PPIs'!U68+'Predicted PPIs'!U67)))*IF(D$60=".",1,(D68/D67)^(('Summary, PPI''s'!$D68+'Summary, PPI''s'!$D67)/('Predicted PPIs'!U68+'Predicted PPIs'!U67)))*IF(N$60=".",1,(N68/N67)^(('Summary, PPI''s'!$N68+'Summary, PPI''s'!$N67)/('Predicted PPIs'!U68+'Predicted PPIs'!U67)))*IF(O$60=".",1,(O68/O67)^(('Summary, PPI''s'!$O68+'Summary, PPI''s'!$O67)/('Predicted PPIs'!U68+'Predicted PPIs'!U67)))*IF(P$60=".",1,(P68/P67)^(('Summary, PPI''s'!$P68+'Summary, PPI''s'!$P67)/('Predicted PPIs'!U68+'Predicted PPIs'!U67)))</f>
        <v>#VALUE!</v>
      </c>
      <c r="AD68" s="4">
        <f>AD67*IF(E$73=".", 1, (E68/E67)^(('Summary, PPI''s'!$E68+'Summary, PPI''s'!$E67)/('Predicted PPIs'!V68+'Predicted PPIs'!V67)))*IF(F$73=".", 1, (F68/F67)^(('Summary, PPI''s'!$F68+'Summary, PPI''s'!$F67)/('Predicted PPIs'!V68+'Predicted PPIs'!V67)))*IF(G$73=".", 1, (G68/G67)^(('Summary, PPI''s'!$G68+'Summary, PPI''s'!$G67)/('Predicted PPIs'!V68+'Predicted PPIs'!V67)))*IF(H$73=".", 1, (H68/H67)^(('Summary, PPI''s'!$H68+'Summary, PPI''s'!$H67)/('Predicted PPIs'!V68+'Predicted PPIs'!V67)))*IF(I$73=".", 1, (I68/I67)^(('Summary, PPI''s'!$I68+'Summary, PPI''s'!$I67)/('Predicted PPIs'!V68+'Predicted PPIs'!V67)))*IF(J$73=".", 1, (J68/J67)^(('Summary, PPI''s'!$J68+'Summary, PPI''s'!$J67)/('Predicted PPIs'!V68+'Predicted PPIs'!V67)))*IF(K$73=".", 1, (K68/K67)^(('Summary, PPI''s'!$K68+'Summary, PPI''s'!$K67)/('Predicted PPIs'!V68+'Predicted PPIs'!V67)))*IF(L$73=".", 1, (L68/L67)^(('Summary, PPI''s'!$L68+'Summary, PPI''s'!$L67)/('Predicted PPIs'!V68+'Predicted PPIs'!V67)))*IF(M$73=".", 1, (M68/M67)^(('Summary, PPI''s'!$M68+'Summary, PPI''s'!$M67)/('Predicted PPIs'!V68+'Predicted PPIs'!V67)))*IF(B$73=".", 1, (B68/B67)^(('Summary, PPI''s'!$B68+'Summary, PPI''s'!$B67)/('Predicted PPIs'!V68+'Predicted PPIs'!V67)))*IF(C$73=".", 1, (C68/C67)^(('Summary, PPI''s'!$C68+'Summary, PPI''s'!$C67)/('Predicted PPIs'!V68+'Predicted PPIs'!V67)))*IF(D$73=".", 1, (D68/D67)^(('Summary, PPI''s'!$D68+'Summary, PPI''s'!$D67)/('Predicted PPIs'!V68+'Predicted PPIs'!V67)))*IF(N$73=".", 1, (N68/N67)^(('Summary, PPI''s'!$N68+'Summary, PPI''s'!$N67)/('Predicted PPIs'!V68+'Predicted PPIs'!V67)))*IF(O$73=".", 1, (O68/O67)^(('Summary, PPI''s'!$O68+'Summary, PPI''s'!$O67)/('Predicted PPIs'!V68+'Predicted PPIs'!V67)))*IF(P$73=".", 1, (P68/P67)^(('Summary, PPI''s'!$P68+'Summary, PPI''s'!$P67)/('Predicted PPIs'!V68+'Predicted PPIs'!V67)))</f>
        <v>8.4376403552877282</v>
      </c>
      <c r="AE68" s="4">
        <f>AE67*IF(E$94=".", 1, (E68/E67)^(('Summary, PPI''s'!$E68+'Summary, PPI''s'!$E67)/('Predicted PPIs'!W68+'Predicted PPIs'!W67)))*IF(F$94=".", 1, (F68/F67)^(('Summary, PPI''s'!$F68+'Summary, PPI''s'!$F67)/('Predicted PPIs'!W68+'Predicted PPIs'!W67)))*IF(G$94=".", 1, (G68/G67)^(('Summary, PPI''s'!$G68+'Summary, PPI''s'!$G67)/('Predicted PPIs'!W68+'Predicted PPIs'!W67)))*IF(H$94=".", 1, (H68/H67)^(('Summary, PPI''s'!$H68+'Summary, PPI''s'!$H67)/('Predicted PPIs'!W68+'Predicted PPIs'!W67)))*IF(I$94=".", 1, (I68/I67)^(('Summary, PPI''s'!$I68+'Summary, PPI''s'!$I67)/('Predicted PPIs'!W68+'Predicted PPIs'!W67)))*IF(J$94=".", 1, (J68/J67)^(('Summary, PPI''s'!$J68+'Summary, PPI''s'!$J67)/('Predicted PPIs'!W68+'Predicted PPIs'!W67)))*IF(K$94=".", 1, (K68/K67)^(('Summary, PPI''s'!$K68+'Summary, PPI''s'!$K67)/('Predicted PPIs'!W68+'Predicted PPIs'!W67)))*IF(L$94=".", 1, (L68/L67)^(('Summary, PPI''s'!$L68+'Summary, PPI''s'!$L67)/('Predicted PPIs'!W68+'Predicted PPIs'!W67)))*IF(M$94=".", 1, (M68/M67)^(('Summary, PPI''s'!$M68+'Summary, PPI''s'!$M67)/('Predicted PPIs'!W68+'Predicted PPIs'!W67)))*IF(B$94=".", 1, (B68/B67)^(('Summary, PPI''s'!$B68+'Summary, PPI''s'!$B67)/('Predicted PPIs'!W68+'Predicted PPIs'!W67)))*IF(C$94=".", 1, (C68/C67)^(('Summary, PPI''s'!$C68+'Summary, PPI''s'!$C67)/('Predicted PPIs'!W68+'Predicted PPIs'!W67)))*IF(D$94=".", 1, (D68/D67)^(('Summary, PPI''s'!$D68+'Summary, PPI''s'!$D67)/('Predicted PPIs'!W68+'Predicted PPIs'!W67)))*IF(N$94=".", 1, (N68/N67)^(('Summary, PPI''s'!$N68+'Summary, PPI''s'!$N67)/('Predicted PPIs'!W68+'Predicted PPIs'!W67)))*IF(O$94=".", 1, (O68/O67)^(('Summary, PPI''s'!$O68+'Summary, PPI''s'!$O67)/('Predicted PPIs'!W68+'Predicted PPIs'!W67)))*IF(P$94=".", 1, (P68/P67)^(('Summary, PPI''s'!$P68+'Summary, PPI''s'!$P67)/('Predicted PPIs'!W68+'Predicted PPIs'!W67)))</f>
        <v>7.5998182241182866</v>
      </c>
      <c r="AF68" s="4">
        <f>AF67*IF(E$123=".", 1, (E68/E67)^(('Summary, PPI''s'!$E68+'Summary, PPI''s'!$E67)/('Predicted PPIs'!X68+'Predicted PPIs'!X67)))*IF(F$123=".", 1, (F68/F67)^(('Summary, PPI''s'!$F68+'Summary, PPI''s'!$F67)/('Predicted PPIs'!X68+'Predicted PPIs'!X67)))*IF(G$123=".", 1, (G68/G67)^(('Summary, PPI''s'!$G68+'Summary, PPI''s'!$G67)/('Predicted PPIs'!X68+'Predicted PPIs'!X67)))*IF(H$123=".", 1, (H68/H67)^(('Summary, PPI''s'!$H68+'Summary, PPI''s'!$H67)/('Predicted PPIs'!X68+'Predicted PPIs'!X67)))*IF(I$123=".", 1, (I68/I67)^(('Summary, PPI''s'!$I68+'Summary, PPI''s'!$I67)/('Predicted PPIs'!X68+'Predicted PPIs'!X67)))*IF(J$123=".", 1, (J68/J67)^(('Summary, PPI''s'!$J68+'Summary, PPI''s'!$J67)/('Predicted PPIs'!X68+'Predicted PPIs'!X67)))*IF(K$123=".", 1, (K68/K67)^(('Summary, PPI''s'!$K68+'Summary, PPI''s'!$K67)/('Predicted PPIs'!X68+'Predicted PPIs'!X67)))*IF(L$123=".", 1, (L68/L67)^(('Summary, PPI''s'!$L68+'Summary, PPI''s'!$L67)/('Predicted PPIs'!X68+'Predicted PPIs'!X67)))*IF(M$123=".", 1, (M68/M67)^(('Summary, PPI''s'!$M68+'Summary, PPI''s'!$M67)/('Predicted PPIs'!X68+'Predicted PPIs'!X67)))*IF(B$123=".", 1, (B68/B67)^(('Summary, PPI''s'!$B68+'Summary, PPI''s'!$B67)/('Predicted PPIs'!X68+'Predicted PPIs'!X67)))*IF(C$123=".", 1, (C68/C67)^(('Summary, PPI''s'!$C68+'Summary, PPI''s'!$C67)/('Predicted PPIs'!X68+'Predicted PPIs'!X67)))*IF(D$123=".", 1, (D68/D67)^(('Summary, PPI''s'!$D68+'Summary, PPI''s'!$D67)/('Predicted PPIs'!X68+'Predicted PPIs'!X67)))*IF(N$123=".", 1, (N68/N67)^(('Summary, PPI''s'!$N68+'Summary, PPI''s'!$N67)/('Predicted PPIs'!X68+'Predicted PPIs'!X67)))*IF(O$123=".", 1, (O68/O67)^(('Summary, PPI''s'!$O68+'Summary, PPI''s'!$O67)/('Predicted PPIs'!X68+'Predicted PPIs'!X67)))*IF(P$123=".", 1, (P68/P67)^(('Summary, PPI''s'!$P68+'Summary, PPI''s'!$P67)/('Predicted PPIs'!X68+'Predicted PPIs'!X67)))</f>
        <v>7.3301380924480917</v>
      </c>
      <c r="AH68" s="13">
        <f t="shared" ref="AH68:AH99" si="152">IF(A68&gt;(A$26-0.01),AH67*Z68/Z67,IF(A68&gt;(A$36-0.01),AH67*AA68/AA67,IF(A68&gt;(A$46-0.01),AH67*AB68/AB67,IF(A68&gt;(A$60-0.01), AH67*AC68/AC67,IF(A68&gt;(A$73-0.01),AH67*AD68/AD67,IF(A68&gt;(A$94-0.01),AH67*AE68/AE67,AH67*AF68/AF67))))))</f>
        <v>9.7800875810732855</v>
      </c>
      <c r="AJ68" s="4">
        <v>258.3</v>
      </c>
      <c r="AK68" s="4">
        <v>-1.6779999999999999</v>
      </c>
      <c r="AL68" s="4">
        <v>-21.407</v>
      </c>
      <c r="AM68" s="4">
        <v>-1.7410000000000001</v>
      </c>
      <c r="AN68" s="4">
        <v>354.5</v>
      </c>
      <c r="AO68" s="4">
        <v>68.400000000000006</v>
      </c>
      <c r="AP68" s="4">
        <f>('[4]1955'!$I$14+'[4]1955'!$I$51+'[4]1955'!$I$53-'[4]1955'!$I$55)*0.001</f>
        <v>-6.516</v>
      </c>
      <c r="AQ68" s="4">
        <f>('[4]1955'!$AK$42+'[4]1955'!$AK$51+'[4]1955'!$AK$53-'[4]1955'!$AK$55)*0.001</f>
        <v>-11.532</v>
      </c>
      <c r="AR68" s="4">
        <f t="shared" si="148"/>
        <v>-4.9161913812409809E-3</v>
      </c>
      <c r="AS68" s="4">
        <v>-1.6319999999999999</v>
      </c>
      <c r="AT68" s="4">
        <v>14.816000000000001</v>
      </c>
      <c r="AU68" s="4">
        <v>22.13</v>
      </c>
      <c r="AV68" s="4">
        <v>13.21</v>
      </c>
      <c r="AW68" s="4">
        <v>11.06</v>
      </c>
      <c r="AX68" s="4">
        <v>14.843</v>
      </c>
      <c r="AY68" s="4">
        <v>21.11</v>
      </c>
      <c r="AZ68" s="4">
        <v>7.8789999999999996</v>
      </c>
      <c r="BA68" s="4">
        <v>17.581</v>
      </c>
      <c r="BB68" s="4">
        <f t="shared" si="150"/>
        <v>100.55898626494115</v>
      </c>
      <c r="BC68" s="4">
        <v>14.724</v>
      </c>
      <c r="BG68" s="4">
        <f t="shared" si="50"/>
        <v>17.54992325205632</v>
      </c>
      <c r="BI68" s="4">
        <f>BI$13*'[2]Ordinary Experience'!$D$358/'[2]Ordinary Experience'!$D$413</f>
        <v>164529944.24134508</v>
      </c>
      <c r="BJ68" s="4">
        <f>'[2]Ordinary Experience'!$E$358</f>
        <v>28.923865578445778</v>
      </c>
      <c r="BL68" s="4">
        <f t="shared" si="151"/>
        <v>37.865369519093711</v>
      </c>
      <c r="BM68" s="4">
        <f t="shared" ref="BM68:BM123" si="153">BL68/BL69-1</f>
        <v>6.465811298063584E-2</v>
      </c>
      <c r="BO68" s="4" t="str">
        <f>IF(OR('Summary, hourly ad costs'!R68=-9999,'Summary, PPI''s'!R68="."),".",(('Summary, hourly ad costs'!B68/'Summary, hourly ad costs'!R68)*100/('Summary, hourly ad costs'!B$11/'Summary, hourly ad costs'!R$11))/('Summary, PPI''s'!R68))</f>
        <v>.</v>
      </c>
      <c r="BP68" s="4" t="str">
        <f>IF(OR('Summary, hourly ad costs'!S68=-9999,'Summary, PPI''s'!S68="."),".",(('Summary, hourly ad costs'!C68/'Summary, hourly ad costs'!S68)*100/('Summary, hourly ad costs'!C$11/'Summary, hourly ad costs'!S$11))/('Summary, PPI''s'!S68))</f>
        <v>.</v>
      </c>
      <c r="BQ68" s="4" t="str">
        <f>IF(OR('Summary, hourly ad costs'!T68=-9999,'Summary, PPI''s'!T68="."),".",(('Summary, hourly ad costs'!D68/'Summary, hourly ad costs'!T68)*100/('Summary, hourly ad costs'!D$11/'Summary, hourly ad costs'!T$11))/('Summary, PPI''s'!T68))</f>
        <v>.</v>
      </c>
      <c r="BR68" s="4" t="str">
        <f>IF(OR('Summary, hourly ad costs'!U68=-9999,'Summary, PPI''s'!U68="."),".",(('Summary, hourly ad costs'!E68/'Summary, hourly ad costs'!U68)*100/('Summary, hourly ad costs'!E$11/'Summary, hourly ad costs'!U$11))/('Summary, PPI''s'!U68))</f>
        <v>.</v>
      </c>
      <c r="BS68" s="4" t="str">
        <f>IF(OR('Summary, hourly ad costs'!V68=-9999,'Summary, PPI''s'!V68="."),".",(('Summary, hourly ad costs'!F68/'Summary, hourly ad costs'!V68)*100/('Summary, hourly ad costs'!F$11/'Summary, hourly ad costs'!V$11))/('Summary, PPI''s'!V68))</f>
        <v>.</v>
      </c>
      <c r="BT68" s="4" t="str">
        <f>IF(OR('Summary, hourly ad costs'!W68=-9999,'Summary, PPI''s'!W68="."),".",(('Summary, hourly ad costs'!G68/'Summary, hourly ad costs'!W68)*100/('Summary, hourly ad costs'!G$11/'Summary, hourly ad costs'!W$11))/('Summary, PPI''s'!W68))</f>
        <v>.</v>
      </c>
      <c r="BU68" s="4" t="str">
        <f>IF(OR('Summary, hourly ad costs'!X68=-9999,'Summary, PPI''s'!X68="."),".",(('Summary, hourly ad costs'!H68/'Summary, hourly ad costs'!X68)*100/('Summary, hourly ad costs'!H$11/'Summary, hourly ad costs'!X$11))/('Summary, PPI''s'!X68))</f>
        <v>.</v>
      </c>
      <c r="BV68" s="4" t="str">
        <f>IF(OR('Summary, hourly ad costs'!Y68=-9999,'Summary, PPI''s'!Y68="."),".",(('Summary, hourly ad costs'!I68/'Summary, hourly ad costs'!Y68)*100/('Summary, hourly ad costs'!I$11/'Summary, hourly ad costs'!Y$11))/('Summary, PPI''s'!Y68))</f>
        <v>.</v>
      </c>
      <c r="BW68" s="4" t="str">
        <f>IF(OR('Summary, hourly ad costs'!Z68=-9999,'Summary, PPI''s'!Z68="."),".",(('Summary, hourly ad costs'!J68/'Summary, hourly ad costs'!Z68)*100/('Summary, hourly ad costs'!J$11/'Summary, hourly ad costs'!Z$11))/('Summary, PPI''s'!Z68))</f>
        <v>.</v>
      </c>
      <c r="BX68" s="4" t="str">
        <f>IF(OR('Summary, hourly ad costs'!AA68=-9999,'Summary, PPI''s'!AA68="."),".",(('Summary, hourly ad costs'!K68/'Summary, hourly ad costs'!AA68)*100/('Summary, hourly ad costs'!K$11/'Summary, hourly ad costs'!AA$11))/('Summary, PPI''s'!AA68))</f>
        <v>.</v>
      </c>
      <c r="BY68" s="4" t="str">
        <f>IF(OR('Summary, hourly ad costs'!AB68=-9999,'Summary, PPI''s'!AB68="."),".",(('Summary, hourly ad costs'!L68/'Summary, hourly ad costs'!AB68)*100/('Summary, hourly ad costs'!L$11/'Summary, hourly ad costs'!AB$11))/('Summary, PPI''s'!AB68))</f>
        <v>.</v>
      </c>
      <c r="BZ68" s="4" t="str">
        <f>IF(OR('Summary, hourly ad costs'!AC68=-9999,'Summary, PPI''s'!AC68="."),".",(('Summary, hourly ad costs'!M68/'Summary, hourly ad costs'!AC68)*100/('Summary, hourly ad costs'!M$11/'Summary, hourly ad costs'!AC$11))/('Summary, PPI''s'!AC68))</f>
        <v>.</v>
      </c>
      <c r="CA68" s="4" t="str">
        <f>IF(OR('Summary, hourly ad costs'!AD68=-9999,'Summary, PPI''s'!AD68="."),".",(('Summary, hourly ad costs'!N68/'Summary, hourly ad costs'!AD68)*100/('Summary, hourly ad costs'!N$11/'Summary, hourly ad costs'!AD$11))/('Summary, PPI''s'!AD68))</f>
        <v>.</v>
      </c>
      <c r="CB68" s="4" t="str">
        <f>IF(OR('Summary, hourly ad costs'!AE68=-9999,'Summary, PPI''s'!AE68="."),".",(('Summary, hourly ad costs'!O68/'Summary, hourly ad costs'!AE68)*100/('Summary, hourly ad costs'!O$11/'Summary, hourly ad costs'!AE$11))/('Summary, PPI''s'!AE68))</f>
        <v>.</v>
      </c>
      <c r="CC68" s="4" t="str">
        <f>IF(OR('Summary, hourly ad costs'!AF68=-9999,'Summary, PPI''s'!AF68="."),".",(('Summary, hourly ad costs'!P68/'Summary, hourly ad costs'!AF68)*100/('Summary, hourly ad costs'!P$11/'Summary, hourly ad costs'!AF$11))/('Summary, PPI''s'!AF68))</f>
        <v>.</v>
      </c>
      <c r="CE68" s="4">
        <f t="shared" si="134"/>
        <v>2.9237546114125455E-2</v>
      </c>
      <c r="CF68" s="4" t="str">
        <f t="shared" si="135"/>
        <v>.</v>
      </c>
      <c r="CG68" s="4" t="str">
        <f t="shared" si="136"/>
        <v>.</v>
      </c>
      <c r="CH68" s="4">
        <f t="shared" si="145"/>
        <v>6.233249167273637E-2</v>
      </c>
      <c r="CI68" s="4">
        <f t="shared" si="145"/>
        <v>7.2496734394135814E-2</v>
      </c>
      <c r="CJ68" s="4" t="str">
        <f t="shared" si="147"/>
        <v>.</v>
      </c>
      <c r="CK68" s="4">
        <f t="shared" si="149"/>
        <v>8.7740583336902477E-4</v>
      </c>
      <c r="CL68" s="4">
        <f t="shared" si="130"/>
        <v>5.0397878335248142E-2</v>
      </c>
      <c r="CM68" s="4">
        <f t="shared" si="130"/>
        <v>3.659426444956522E-2</v>
      </c>
      <c r="CN68" s="4">
        <f t="shared" si="89"/>
        <v>3.64440077045773E-2</v>
      </c>
      <c r="CO68" s="4">
        <f t="shared" si="120"/>
        <v>0.41896235497917805</v>
      </c>
      <c r="CP68" s="4">
        <f t="shared" si="120"/>
        <v>1.9676873157927266E-2</v>
      </c>
      <c r="CQ68" s="4" t="str">
        <f t="shared" si="110"/>
        <v>.</v>
      </c>
      <c r="CR68" s="4" t="str">
        <f t="shared" si="111"/>
        <v>.</v>
      </c>
      <c r="CS68" s="4" t="str">
        <f t="shared" si="112"/>
        <v>.</v>
      </c>
      <c r="CU68" s="5">
        <f>IF(CU67=".", ".", IF('Summary, PPI''s'!R68=".",IF(OR('Summary, hourly ad costs'!R68=-9999,'Summary, hourly ad costs'!R68=0), ".", 'Predicted PPIs'!CU67*('Summary, hourly ad costs'!B68/'Summary, hourly ad costs'!R68)/('Summary, hourly ad costs'!B67/'Summary, hourly ad costs'!R67)/(1-CE67)), 'Summary, PPI''s'!R68))</f>
        <v>21.059851939214781</v>
      </c>
      <c r="CV68" s="5" t="str">
        <f>IF(CV67=".", ".", IF('Summary, PPI''s'!S68=".",IF(OR('Summary, hourly ad costs'!S68=-9999,'Summary, hourly ad costs'!S68=0), ".", 'Predicted PPIs'!CV67*('Summary, hourly ad costs'!C68/'Summary, hourly ad costs'!S68)/('Summary, hourly ad costs'!C67/'Summary, hourly ad costs'!S67)/(1-CF67)), 'Summary, PPI''s'!S68))</f>
        <v>.</v>
      </c>
      <c r="CW68" s="5" t="str">
        <f>IF(CW67=".", ".", IF('Summary, PPI''s'!T68=".",IF(OR('Summary, hourly ad costs'!T68=-9999,'Summary, hourly ad costs'!T68=0), ".", 'Predicted PPIs'!CW67*('Summary, hourly ad costs'!D68/'Summary, hourly ad costs'!T68)/('Summary, hourly ad costs'!D67/'Summary, hourly ad costs'!T67)/(1-CG67)), 'Summary, PPI''s'!T68))</f>
        <v>.</v>
      </c>
      <c r="CX68" s="5">
        <f>IF(CX67=".", ".", IF('Summary, PPI''s'!U68=".",IF(OR('Summary, hourly ad costs'!U68=-9999,'Summary, hourly ad costs'!U68=0), ".", 'Predicted PPIs'!CX67*('Summary, hourly ad costs'!E68/'Summary, hourly ad costs'!U68)/('Summary, hourly ad costs'!E67/'Summary, hourly ad costs'!U67)/(1-CH67)), 'Summary, PPI''s'!U68))</f>
        <v>5.4711012373922108</v>
      </c>
      <c r="CY68" s="5">
        <f>IF(CY67=".", ".", IF('Summary, PPI''s'!V68=".",IF(OR('Summary, hourly ad costs'!V68=-9999,'Summary, hourly ad costs'!V68=0), ".", 'Predicted PPIs'!CY67*('Summary, hourly ad costs'!F68/'Summary, hourly ad costs'!V68)/('Summary, hourly ad costs'!F67/'Summary, hourly ad costs'!V67)/(1-CI67)), 'Summary, PPI''s'!V68))</f>
        <v>8.6961734713026342</v>
      </c>
      <c r="CZ68" s="5" t="str">
        <f>IF(CZ67=".", ".", IF('Summary, PPI''s'!W68=".",IF(OR('Summary, hourly ad costs'!W68=-9999,'Summary, hourly ad costs'!W68=0), ".", 'Predicted PPIs'!CZ67*('Summary, hourly ad costs'!G68/'Summary, hourly ad costs'!W68)/('Summary, hourly ad costs'!G67/'Summary, hourly ad costs'!W67)/(1-CJ67)), 'Summary, PPI''s'!W68))</f>
        <v>.</v>
      </c>
      <c r="DA68" s="5">
        <f>IF(DA67=".", ".", IF('Summary, PPI''s'!X68=".",IF(OR('Summary, hourly ad costs'!X68=-9999,'Summary, hourly ad costs'!X68=0), ".", 'Predicted PPIs'!DA67*('Summary, hourly ad costs'!H68/'Summary, hourly ad costs'!X68)/('Summary, hourly ad costs'!H67/'Summary, hourly ad costs'!X67)/(1-CK67)), 'Summary, PPI''s'!X68))</f>
        <v>4.9697388958542703</v>
      </c>
      <c r="DB68" s="5">
        <f>IF(DB67=".", ".", IF('Summary, PPI''s'!Y68=".",IF(OR('Summary, hourly ad costs'!Y68=-9999,'Summary, hourly ad costs'!Y68=0), ".", 'Predicted PPIs'!DB67*('Summary, hourly ad costs'!I68/'Summary, hourly ad costs'!Y68)/('Summary, hourly ad costs'!I67/'Summary, hourly ad costs'!Y67)/(1-CL67)), 'Summary, PPI''s'!Y68))</f>
        <v>7.6047855073046984</v>
      </c>
      <c r="DC68" s="5">
        <f>IF(DC67=".", ".", IF('Summary, PPI''s'!Z68=".",IF(OR('Summary, hourly ad costs'!Z68=-9999,'Summary, hourly ad costs'!Z68=0), ".", 'Predicted PPIs'!DC67*('Summary, hourly ad costs'!J68/'Summary, hourly ad costs'!Z68)/('Summary, hourly ad costs'!J67/'Summary, hourly ad costs'!Z67)/(1-CM67)), 'Summary, PPI''s'!Z68))</f>
        <v>15.460526484932229</v>
      </c>
      <c r="DD68" s="5" t="str">
        <f>IF(DD67=".", ".", IF('Summary, PPI''s'!AA68=".",IF(OR('Summary, hourly ad costs'!AA68=-9999,'Summary, hourly ad costs'!AA68=0), ".", 'Predicted PPIs'!DD67*('Summary, hourly ad costs'!K68/'Summary, hourly ad costs'!AA68)/('Summary, hourly ad costs'!K67/'Summary, hourly ad costs'!AA67)/(1-CN67)), 'Summary, PPI''s'!AA68))</f>
        <v>.</v>
      </c>
      <c r="DE68" s="5" t="str">
        <f>IF(DE67=".", ".", IF('Summary, PPI''s'!AB68=".",IF(OR('Summary, hourly ad costs'!AB68=-9999,'Summary, hourly ad costs'!AB68=0), ".", 'Predicted PPIs'!DE67*('Summary, hourly ad costs'!L68/'Summary, hourly ad costs'!AB68)/('Summary, hourly ad costs'!L67/'Summary, hourly ad costs'!AB67)/(1-CO67)), 'Summary, PPI''s'!AB68))</f>
        <v>.</v>
      </c>
      <c r="DF68" s="5" t="str">
        <f>IF(DF67=".", ".", IF('Summary, PPI''s'!AC68=".",IF(OR('Summary, hourly ad costs'!AC68=-9999,'Summary, hourly ad costs'!AC68=0), ".", 'Predicted PPIs'!DF67*('Summary, hourly ad costs'!M68/'Summary, hourly ad costs'!AC68)/('Summary, hourly ad costs'!M67/'Summary, hourly ad costs'!AC67)/(1-CP67)), 'Summary, PPI''s'!AC68))</f>
        <v>.</v>
      </c>
      <c r="DG68" s="5" t="str">
        <f>IF(DG67=".", ".", IF('Summary, PPI''s'!AD68=".",IF(OR('Summary, hourly ad costs'!AD68=-9999,'Summary, hourly ad costs'!AD68=0), ".", 'Predicted PPIs'!DG67*('Summary, hourly ad costs'!N68/'Summary, hourly ad costs'!AD68)/('Summary, hourly ad costs'!N67/'Summary, hourly ad costs'!AD67)/(1-CQ67)), 'Summary, PPI''s'!AD68))</f>
        <v>.</v>
      </c>
      <c r="DH68" s="5" t="str">
        <f>IF(DH67=".", ".", IF('Summary, PPI''s'!AE68=".",IF(OR('Summary, hourly ad costs'!AE68=-9999,'Summary, hourly ad costs'!AE68=0), ".", 'Predicted PPIs'!DH67*('Summary, hourly ad costs'!O68/'Summary, hourly ad costs'!AE68)/('Summary, hourly ad costs'!O67/'Summary, hourly ad costs'!AE67)/(1-CR67)), 'Summary, PPI''s'!AE68))</f>
        <v>.</v>
      </c>
      <c r="DI68" s="5" t="str">
        <f>IF(DI67=".", ".", IF('Summary, PPI''s'!AF68=".",IF(OR('Summary, hourly ad costs'!AF68=-9999,'Summary, hourly ad costs'!AF68=0), ".", 'Predicted PPIs'!DI67*('Summary, hourly ad costs'!P68/'Summary, hourly ad costs'!AF68)/('Summary, hourly ad costs'!P67/'Summary, hourly ad costs'!AF67)/(1-CS67)), 'Summary, PPI''s'!AF68))</f>
        <v>.</v>
      </c>
      <c r="DK68" s="4">
        <v>5.2160000000000002</v>
      </c>
      <c r="DM68" s="5">
        <f t="shared" si="138"/>
        <v>-7.4384837484298805E-2</v>
      </c>
      <c r="DN68" s="4">
        <f t="shared" si="139"/>
        <v>-3.2173504367718334E-2</v>
      </c>
      <c r="DO68" s="4">
        <f t="shared" si="123"/>
        <v>-2.2398492579748377E-2</v>
      </c>
      <c r="DP68" s="5">
        <f t="shared" si="140"/>
        <v>4.6833177214708144E-2</v>
      </c>
      <c r="DQ68" s="5">
        <f t="shared" si="141"/>
        <v>1.9081446401823854E-2</v>
      </c>
      <c r="DR68" s="4">
        <f t="shared" si="146"/>
        <v>-2.3390712958582232E-3</v>
      </c>
      <c r="DS68" s="5">
        <f t="shared" si="142"/>
        <v>0.21750539054759988</v>
      </c>
      <c r="DT68" s="5">
        <f t="shared" si="143"/>
        <v>-0.11947852072418486</v>
      </c>
      <c r="DU68" s="5">
        <f t="shared" si="144"/>
        <v>-0.21810457657732074</v>
      </c>
      <c r="DV68" s="4">
        <f t="shared" si="131"/>
        <v>-1.5603559052686871E-3</v>
      </c>
      <c r="DW68" s="4">
        <f t="shared" si="133"/>
        <v>-0.20559308018707634</v>
      </c>
      <c r="DX68" s="4">
        <f t="shared" si="133"/>
        <v>0.20555156216840093</v>
      </c>
      <c r="DY68" s="4">
        <f t="shared" si="108"/>
        <v>-1.1861502197177154E-2</v>
      </c>
      <c r="DZ68" s="4">
        <f t="shared" si="132"/>
        <v>-4.7335617294626455E-3</v>
      </c>
      <c r="EA68" s="4">
        <f t="shared" si="109"/>
        <v>-6.7975997498128261E-3</v>
      </c>
      <c r="EC68" s="1">
        <f t="shared" ref="EC68:EC99" si="154">IF(CU68=".", EC67*$DK68/$DK67/(1-DM67), CU68)</f>
        <v>21.059851939214781</v>
      </c>
      <c r="ED68" s="1">
        <f t="shared" ref="ED68:ED99" si="155">IF(CV68=".", ED67*$DK68/$DK67/(1-DN67), CV68)</f>
        <v>13.921910796525486</v>
      </c>
      <c r="EE68" s="1">
        <f t="shared" ref="EE68:EE99" si="156">IF(CW68=".", EE67*$DK68/$DK67/(1-DO67), CW68)</f>
        <v>7.7360724246951493</v>
      </c>
      <c r="EF68" s="1">
        <f t="shared" ref="EF68:EF99" si="157">IF(CX68=".", EF67*$DK68/$DK67/(1-DP67), CX68)</f>
        <v>5.4711012373922108</v>
      </c>
      <c r="EG68" s="1">
        <f t="shared" ref="EG68:EG99" si="158">IF(CY68=".", EG67*$DK68/$DK67/(1-DQ67), CY68)</f>
        <v>8.6961734713026342</v>
      </c>
      <c r="EH68" s="1">
        <f t="shared" ref="EH68:EH99" si="159">IF(CZ68=".", EH67*$DK68/$DK67/(1-DR67), CZ68)</f>
        <v>6.4139102258865979</v>
      </c>
      <c r="EI68" s="1">
        <f t="shared" ref="EI68:EI99" si="160">IF(DA68=".", EI67*$DK68/$DK67/(1-DS67), DA68)</f>
        <v>4.9697388958542703</v>
      </c>
      <c r="EJ68" s="1">
        <f t="shared" ref="EJ68:EJ99" si="161">IF(DB68=".", EJ67*$DK68/$DK67/(1-DT67), DB68)</f>
        <v>7.6047855073046984</v>
      </c>
      <c r="EK68" s="1">
        <f t="shared" ref="EK68:EK99" si="162">IF(DC68=".", EK67*$DK68/$DK67/(1-DU67), DC68)</f>
        <v>15.460526484932229</v>
      </c>
      <c r="EL68" s="1">
        <f t="shared" ref="EL68:EL99" si="163">IF(DD68=".", EL67*$DK68/$DK67/(1-DV67), DD68)</f>
        <v>4.2652820844348955</v>
      </c>
      <c r="EM68" s="1">
        <f t="shared" ref="EM68:EM99" si="164">IF(DE68=".", EM67*$DK68/$DK67/(1-DW67), DE68)</f>
        <v>1.5645253084979274</v>
      </c>
      <c r="EN68" s="1">
        <f t="shared" ref="EN68:EN99" si="165">IF(DF68=".", EN67*$DK68/$DK67/(1-DX67), DF68)</f>
        <v>3.159194169565954</v>
      </c>
      <c r="EO68" s="1">
        <f t="shared" ref="EO68:EO99" si="166">IF(DG68=".", EO67*$DK68/$DK67/(1-DY67), DG68)</f>
        <v>4.7905167498766641</v>
      </c>
      <c r="EP68" s="1">
        <f t="shared" ref="EP68:EP99" si="167">IF(DH68=".", EP67*$DK68/$DK67/(1-DZ67), DH68)</f>
        <v>6.6601169919368708</v>
      </c>
      <c r="EQ68" s="1">
        <f t="shared" ref="EQ68:EQ99" si="168">IF(DI68=".", EQ67*$DK68/$DK67/(1-EA67), DI68)</f>
        <v>5.1422920757218327</v>
      </c>
      <c r="ES68" s="1">
        <f>IF(EF$26=".", 0, 'Summary, PPI''s'!E68)+IF(EG$26=".", 0, 'Summary, PPI''s'!F68)+IF(EH$26=".", 0, 'Summary, PPI''s'!G68)+IF(EI$26=".", 0, 'Summary, PPI''s'!H68)+IF(EJ$26=".", 0, 'Summary, PPI''s'!I68)+IF(EK$26=".", 0, 'Summary, PPI''s'!J68)+IF(EL$26=".", 0, 'Summary, PPI''s'!K68)+IF(EM$26=".", 0, 'Summary, PPI''s'!L68)+IF(EN$26=".", 0, 'Summary, PPI''s'!M68)+IF(EC$26=".", 0, 'Summary, PPI''s'!B68)+IF(ED$26=".", 0, 'Summary, PPI''s'!C68)+IF(EE$26=".", 0, 'Summary, PPI''s'!D68)+IF(EO$26=".", 0, 'Summary, PPI''s'!N68)+IF(EP$26=".", 0, 'Summary, PPI''s'!O68)+IF(EQ$26=".", 0, 'Summary, PPI''s'!P68)</f>
        <v>9222821.0082504656</v>
      </c>
      <c r="ET68" s="1">
        <f>'Summary, hourly ad costs'!E68+'Summary, hourly ad costs'!F68+'Summary, hourly ad costs'!H68+'Summary, hourly ad costs'!I68+'Summary, hourly ad costs'!J68+'Summary, hourly ad costs'!K68+'Summary, hourly ad costs'!L68+'Summary, hourly ad costs'!M68+'Summary, hourly ad costs'!B68</f>
        <v>5545893.7363026617</v>
      </c>
      <c r="EV68" s="13">
        <f>EV67*IF(EF$26=".", 1, (EF68/EF67)^(('Summary, PPI''s'!$E68+'Summary, PPI''s'!$E67)/('Predicted PPIs'!ES68+'Predicted PPIs'!ES67)))*IF(EG$26=".", 1, (EG68/EG67)^(('Summary, PPI''s'!$F68+'Summary, PPI''s'!$F67)/('Predicted PPIs'!ES68+'Predicted PPIs'!ES67)))*IF(EH$26=".", 1, (EH68/EH67)^(('Summary, PPI''s'!$G68+'Summary, PPI''s'!$G67)/('Predicted PPIs'!ES68+'Predicted PPIs'!ES67)))*IF(EI$26=".", 1, (EI68/EI67)^(('Summary, PPI''s'!$H68+'Summary, PPI''s'!$H67)/('Predicted PPIs'!ES68+'Predicted PPIs'!ES67)))*IF(EJ$26=".", 1, (EJ68/EJ67)^(('Summary, PPI''s'!$I68+'Summary, PPI''s'!$I67)/('Predicted PPIs'!ES68+'Predicted PPIs'!ES67)))*IF(EK$26=".", 1, (EK68/EK67)^(('Summary, PPI''s'!$J68+'Summary, PPI''s'!$J67)/('Predicted PPIs'!ES68+'Predicted PPIs'!ES67)))*IF(EL$26=".", 1, (EL68/EL67)^(('Summary, PPI''s'!$K68+'Summary, PPI''s'!$K67)/('Predicted PPIs'!ES68+'Predicted PPIs'!ES67)))*IF(EM$26=".", 1, (EM68/EM67)^(('Summary, PPI''s'!$L68+'Summary, PPI''s'!$L67)/('Predicted PPIs'!ES68+'Predicted PPIs'!ES67)))*IF(EN$26=".", 1, (EN68/EN67)^(('Summary, PPI''s'!$M68+'Summary, PPI''s'!$M67)/('Predicted PPIs'!ES68+'Predicted PPIs'!ES67)))*IF(EC$26=".", 1, (EC68/EC67)^(('Summary, PPI''s'!$B68+'Summary, PPI''s'!$B67)/('Predicted PPIs'!ES68+'Predicted PPIs'!ES67)))*IF(ED$26=".", 1, (ED68/ED67)^(('Summary, PPI''s'!$C68+'Summary, PPI''s'!$C67)/('Predicted PPIs'!ES68+'Predicted PPIs'!ES67)))*IF(EE$26=".", 1, (EE68/EE67)^(('Summary, PPI''s'!$D68+'Summary, PPI''s'!$D67)/('Predicted PPIs'!ES68+'Predicted PPIs'!ES67)))*IF(EO$26=".", 1, (EO68/EO67)^(('Summary, PPI''s'!$N68+'Summary, PPI''s'!$N67)/('Predicted PPIs'!ES68+'Predicted PPIs'!ES67)))*IF(EP$26=".", 1, (EP68/EP67)^(('Summary, PPI''s'!$O68+'Summary, PPI''s'!$O67)/('Predicted PPIs'!ES68+'Predicted PPIs'!ES67)))*IF(EQ$26=".", 1, (EQ68/EQ67)^(('Summary, PPI''s'!$P68+'Summary, PPI''s'!$P67)/('Predicted PPIs'!ES68+'Predicted PPIs'!ES67)))</f>
        <v>8.3867881730732758</v>
      </c>
      <c r="EW68" s="13">
        <f>EW67*IF(EF$26=".", 1, (EF68/EF67)^(('Summary, PPI''s'!$E68+'Summary, PPI''s'!$E67)/('Predicted PPIs'!ET68+'Predicted PPIs'!ET67)))*IF(EG$26=".", 1, (EG68/EG67)^(('Summary, PPI''s'!$F68+'Summary, PPI''s'!$F67)/('Predicted PPIs'!ET68+'Predicted PPIs'!ET67)))*IF(EH$26=".", 1, (EH68/EH67)^(('Summary, PPI''s'!$G68+'Summary, PPI''s'!$G67)/('Predicted PPIs'!ET68+'Predicted PPIs'!ET67)))*IF(EK$26=".", 1, (EK68/EK67)^(('Summary, PPI''s'!$J68+'Summary, PPI''s'!$J67)/('Predicted PPIs'!ET68+'Predicted PPIs'!ET67)))*IF(EL$26=".", 1, (EL68/EL67)^(('Summary, PPI''s'!$K68+'Summary, PPI''s'!$K67)/('Predicted PPIs'!ET68+'Predicted PPIs'!ET67)))*IF(EM$26=".", 1, (EM68/EM67)^(('Summary, PPI''s'!$L68+'Summary, PPI''s'!$L67)/('Predicted PPIs'!ET68+'Predicted PPIs'!ET67)))*IF(EN$26=".", 1, (EN68/EN67)^(('Summary, PPI''s'!$M68+'Summary, PPI''s'!$M67)/('Predicted PPIs'!ET68+'Predicted PPIs'!ET67)))*IF(EC$26=".", 1, (EC68/EC67)^(('Summary, PPI''s'!$B68+'Summary, PPI''s'!$B67)/('Predicted PPIs'!ET68+'Predicted PPIs'!ET67)))</f>
        <v>11.28780923597151</v>
      </c>
      <c r="EY68" s="2"/>
    </row>
    <row r="69" spans="1:155" x14ac:dyDescent="0.3">
      <c r="A69" s="4">
        <v>1954</v>
      </c>
      <c r="B69" s="10">
        <f>IF(B68=".", ".", IF('Summary, PPI''s'!R69=".",IF(OR('Summary, hourly ad costs'!R69=-9999,'Summary, hourly ad costs'!R69=0), ".", 'Predicted PPIs'!B68*('Summary, hourly ad costs'!B69/'Summary, hourly ad costs'!R69)/('Summary, hourly ad costs'!B68/'Summary, hourly ad costs'!R68)), 'Summary, PPI''s'!R69))</f>
        <v>24.301343662118054</v>
      </c>
      <c r="C69" s="10" t="str">
        <f>IF(C68=".", ".", IF('Summary, PPI''s'!S69=".",IF(OR('Summary, hourly ad costs'!S69=-9999,'Summary, hourly ad costs'!S69=0), ".", 'Predicted PPIs'!C68*('Summary, hourly ad costs'!C69/'Summary, hourly ad costs'!S69)/('Summary, hourly ad costs'!C68/'Summary, hourly ad costs'!S68)), 'Summary, PPI''s'!S69))</f>
        <v>.</v>
      </c>
      <c r="D69" s="10" t="str">
        <f>IF(D68=".", ".", IF('Summary, PPI''s'!T69=".",IF(OR('Summary, hourly ad costs'!T69=-9999,'Summary, hourly ad costs'!T69=0), ".", 'Predicted PPIs'!D68*('Summary, hourly ad costs'!D69/'Summary, hourly ad costs'!T69)/('Summary, hourly ad costs'!D68/'Summary, hourly ad costs'!T68)), 'Summary, PPI''s'!T69))</f>
        <v>.</v>
      </c>
      <c r="E69" s="10">
        <f>IF(E68=".", ".", IF('Summary, PPI''s'!U69=".",IF(OR('Summary, hourly ad costs'!U69=-9999,'Summary, hourly ad costs'!U69=0), ".", 'Predicted PPIs'!E68*('Summary, hourly ad costs'!E69/'Summary, hourly ad costs'!U69)/('Summary, hourly ad costs'!E68/'Summary, hourly ad costs'!U68)), 'Summary, PPI''s'!U69))</f>
        <v>4.7375493163981686</v>
      </c>
      <c r="F69" s="10">
        <f>IF(F68=".", ".", IF('Summary, PPI''s'!V69=".",IF(OR('Summary, hourly ad costs'!V69=-9999,'Summary, hourly ad costs'!V69=0), ".", 'Predicted PPIs'!F68*('Summary, hourly ad costs'!F69/'Summary, hourly ad costs'!V69)/('Summary, hourly ad costs'!F68/'Summary, hourly ad costs'!V68)), 'Summary, PPI''s'!V69))</f>
        <v>7.5476589447832962</v>
      </c>
      <c r="G69" s="10" t="str">
        <f>IF(G68=".", ".", IF('Summary, PPI''s'!W69=".",IF(OR('Summary, hourly ad costs'!W69=-9999,'Summary, hourly ad costs'!W69=0), ".", 'Predicted PPIs'!G68*('Summary, hourly ad costs'!G69/'Summary, hourly ad costs'!W69)/('Summary, hourly ad costs'!G68/'Summary, hourly ad costs'!W68)), 'Summary, PPI''s'!W69))</f>
        <v>.</v>
      </c>
      <c r="H69" s="10">
        <f>IF(H68=".", ".", IF('Summary, PPI''s'!X69=".",IF(OR('Summary, hourly ad costs'!X69=-9999,'Summary, hourly ad costs'!X69=0), ".", 'Predicted PPIs'!H68*('Summary, hourly ad costs'!H69/'Summary, hourly ad costs'!X69)/('Summary, hourly ad costs'!H68/'Summary, hourly ad costs'!X68)), 'Summary, PPI''s'!X69))</f>
        <v>3.8619905382699309</v>
      </c>
      <c r="I69" s="10">
        <f>IF(I68=".", ".", IF('Summary, PPI''s'!Y69=".",IF(OR('Summary, hourly ad costs'!Y69=-9999,'Summary, hourly ad costs'!Y69=0), ".", 'Predicted PPIs'!I68*('Summary, hourly ad costs'!I69/'Summary, hourly ad costs'!Y69)/('Summary, hourly ad costs'!I68/'Summary, hourly ad costs'!Y68)), 'Summary, PPI''s'!Y69))</f>
        <v>6.9771608603501321</v>
      </c>
      <c r="J69" s="10">
        <f>IF(J68=".", ".", IF('Summary, PPI''s'!Z69=".",IF(OR('Summary, hourly ad costs'!Z69=-9999,'Summary, hourly ad costs'!Z69=0), ".", 'Predicted PPIs'!J68*('Summary, hourly ad costs'!J69/'Summary, hourly ad costs'!Z69)/('Summary, hourly ad costs'!J68/'Summary, hourly ad costs'!Z68)), 'Summary, PPI''s'!Z69))</f>
        <v>12.15442163456775</v>
      </c>
      <c r="K69" s="10" t="str">
        <f>IF(K68=".", ".", IF('Summary, PPI''s'!AA69=".",IF(OR('Summary, hourly ad costs'!AA69=-9999,'Summary, hourly ad costs'!AA69=0), ".", 'Predicted PPIs'!K68*('Summary, hourly ad costs'!K69/'Summary, hourly ad costs'!AA69)/('Summary, hourly ad costs'!K68/'Summary, hourly ad costs'!AA68)), 'Summary, PPI''s'!AA69))</f>
        <v>.</v>
      </c>
      <c r="L69" s="10" t="str">
        <f>IF(L68=".", ".", IF('Summary, PPI''s'!AB69=".",IF(OR('Summary, hourly ad costs'!AB69=-9999,'Summary, hourly ad costs'!AB69=0), ".", 'Predicted PPIs'!L68*('Summary, hourly ad costs'!L69/'Summary, hourly ad costs'!AB69)/('Summary, hourly ad costs'!L68/'Summary, hourly ad costs'!AB68)), 'Summary, PPI''s'!AB69))</f>
        <v>.</v>
      </c>
      <c r="M69" s="10" t="str">
        <f>IF(M68=".", ".", IF('Summary, PPI''s'!AC69=".",IF(OR('Summary, hourly ad costs'!AC69=-9999,'Summary, hourly ad costs'!AC69=0), ".", 'Predicted PPIs'!M68*('Summary, hourly ad costs'!M69/'Summary, hourly ad costs'!AC69)/('Summary, hourly ad costs'!M68/'Summary, hourly ad costs'!AC68)), 'Summary, PPI''s'!AC69))</f>
        <v>.</v>
      </c>
      <c r="N69" s="10" t="str">
        <f>IF(N68=".", ".", IF('Summary, PPI''s'!AD69=".",IF(OR('Summary, hourly ad costs'!AD69=-9999,'Summary, hourly ad costs'!AD69=0), ".", 'Predicted PPIs'!N68*('Summary, hourly ad costs'!N69/'Summary, hourly ad costs'!AD69)/('Summary, hourly ad costs'!N68/'Summary, hourly ad costs'!AD68)), 'Summary, PPI''s'!AD69))</f>
        <v>.</v>
      </c>
      <c r="O69" s="10" t="str">
        <f>IF(O68=".", ".", IF('Summary, PPI''s'!AE69=".",IF(OR('Summary, hourly ad costs'!AE69=-9999,'Summary, hourly ad costs'!AE69=0), ".", 'Predicted PPIs'!O68*('Summary, hourly ad costs'!O69/'Summary, hourly ad costs'!AE69)/('Summary, hourly ad costs'!O68/'Summary, hourly ad costs'!AE68)), 'Summary, PPI''s'!AE69))</f>
        <v>.</v>
      </c>
      <c r="P69" s="10" t="str">
        <f>IF(P68=".", ".", IF('Summary, PPI''s'!AF69=".",IF(OR('Summary, hourly ad costs'!AF69=-9999,'Summary, hourly ad costs'!AF69=0), ".", 'Predicted PPIs'!P68*('Summary, hourly ad costs'!P69/'Summary, hourly ad costs'!AF69)/('Summary, hourly ad costs'!P68/'Summary, hourly ad costs'!AF68)), 'Summary, PPI''s'!AF69))</f>
        <v>.</v>
      </c>
      <c r="R69" s="1">
        <f>IF(E$26=".", 0, 'Summary, PPI''s'!E69)+IF(F$26=".", 0, 'Summary, PPI''s'!F69)+IF(G$26=".", 0, 'Summary, PPI''s'!G69)+IF(H$26=".", 0, 'Summary, PPI''s'!H69)+IF(I$26=".", 0, 'Summary, PPI''s'!I69)+IF(J$26=".", 0, 'Summary, PPI''s'!J69)+IF(K$26=".", 0, 'Summary, PPI''s'!K69)+IF(L$26=".", 0, 'Summary, PPI''s'!L69)+IF(M$26=".", 0, 'Summary, PPI''s'!M69)+IF(B$26=".", 0, 'Summary, PPI''s'!B69)+IF(C$26=".", 0, 'Summary, PPI''s'!C69)+IF(D$26=".", 0, 'Summary, PPI''s'!D69)+IF(N$26=".", 0, 'Summary, PPI''s'!N69)+IF(O$26=".", 0, 'Summary, PPI''s'!O69)+IF(P$26=".", 0, 'Summary, PPI''s'!P69)</f>
        <v>8108686.1494629486</v>
      </c>
      <c r="S69" s="1">
        <f>IF(E$36=".", 0, 'Summary, PPI''s'!E69)+IF(F$36=".", 0, 'Summary, PPI''s'!F69)+IF(G$36=".", 0, 'Summary, PPI''s'!G69)+IF(H$36=".", 0, 'Summary, PPI''s'!H69)+IF(I$36=".", 0, 'Summary, PPI''s'!I69)+IF(J$36=".", 0, 'Summary, PPI''s'!J69)+IF(K$36=".", 0, 'Summary, PPI''s'!K69)+IF(L$36=".", 0, 'Summary, PPI''s'!L69)+IF(M$36=".", 0, 'Summary, PPI''s'!M69)+IF(B$36=".", 0, 'Summary, PPI''s'!B69)+IF(C$36=".", 0, 'Summary, PPI''s'!C69)+IF(D$36=".", 0, 'Summary, PPI''s'!D69)+IF(N$36=".", 0, 'Summary, PPI''s'!N69)+IF(O$36=".", 0, 'Summary, PPI''s'!O69)+IF(P$36=".", 0, 'Summary, PPI''s'!P69)</f>
        <v>8108686.1494629486</v>
      </c>
      <c r="T69" s="1">
        <f>IF(E$46=".", 0, 'Summary, PPI''s'!E69)+IF(F$46=".", 0, 'Summary, PPI''s'!F69)+IF(G$46=".", 0, 'Summary, PPI''s'!G69)+IF(H$46=".", 0, 'Summary, PPI''s'!H69)+IF(I$46=".", 0, 'Summary, PPI''s'!I69)+IF(J$46=".", 0, 'Summary, PPI''s'!J69)+IF(K$46=".", 0, 'Summary, PPI''s'!K69)+IF(L$46=".", 0, 'Summary, PPI''s'!L69)+IF(M$46=".", 0, 'Summary, PPI''s'!M69)+IF(B$46=".", 0, 'Summary, PPI''s'!B69)+IF(C$46=".", 0, 'Summary, PPI''s'!C69)+IF(D$46=".", 0, 'Summary, PPI''s'!D69)+IF(N$46=".", 0, 'Summary, PPI''s'!N69)+IF(O$46=".", 0, 'Summary, PPI''s'!O69)+IF(P$46=".", 0, 'Summary, PPI''s'!P69)</f>
        <v>6269709.9798396556</v>
      </c>
      <c r="U69" s="1">
        <f>IF(E$60=".", 0, 'Summary, PPI''s'!E69)+IF(F$60=".", 0, 'Summary, PPI''s'!F69)+IF(G$60=".", 0, 'Summary, PPI''s'!G69)+IF(H$60=".", 0, 'Summary, PPI''s'!H69)+IF(I$60=".", 0, 'Summary, PPI''s'!I69)+IF(J$60=".", 0, 'Summary, PPI''s'!J69)+IF(K$60=".", 0, 'Summary, PPI''s'!K69)+IF(L$60=".", 0, 'Summary, PPI''s'!L69)+IF(M$60=".", 0, 'Summary, PPI''s'!M69)+IF(B$60=".", 0, 'Summary, PPI''s'!B69)+IF(C$60=".", 0, 'Summary, PPI''s'!C69)+IF(D$60=".", 0, 'Summary, PPI''s'!D69)+IF(N$60=".", 0, 'Summary, PPI''s'!N69)+IF(O$60=".", 0, 'Summary, PPI''s'!O69)+IF(P$60=".", 0, 'Summary, PPI''s'!P69)</f>
        <v>5695604.7584956735</v>
      </c>
      <c r="V69" s="1">
        <f>IF(E$73=".", 0, 'Summary, PPI''s'!E69)+IF(F$73=".", 0, 'Summary, PPI''s'!F69)+IF(G$73=".", 0, 'Summary, PPI''s'!G69)+IF(H$73=".", 0, 'Summary, PPI''s'!H69)+IF(I$73=".", 0, 'Summary, PPI''s'!I69)+IF(J$73=".", 0, 'Summary, PPI''s'!J69)+IF(K$73=".", 0, 'Summary, PPI''s'!K69)+IF(L$73=".", 0, 'Summary, PPI''s'!L69)+IF(M$73=".", 0, 'Summary, PPI''s'!M69)+IF(B$73=".", 0, 'Summary, PPI''s'!B69)+IF(C$73=".", 0, 'Summary, PPI''s'!C69)+IF(D$73=".", 0, 'Summary, PPI''s'!D69)+IF(N$73=".", 0, 'Summary, PPI''s'!N69)+IF(O$73=".", 0, 'Summary, PPI''s'!O69)+IF(P$73=".", 0, 'Summary, PPI''s'!P69)</f>
        <v>4944968.8692518743</v>
      </c>
      <c r="W69" s="1">
        <f>IF(E$94=".",0,'Summary, PPI''s'!E69)+IF(F$94=".",0,'Summary, PPI''s'!F69)+IF(G$94=".",0,'Summary, PPI''s'!G69)+IF(H$94=".",0,'Summary, PPI''s'!H69)+IF(I$94=".",0,'Summary, PPI''s'!I69)+IF(J$94=".",0,'Summary, PPI''s'!J69)+IF(K$94=".",0,'Summary, PPI''s'!K69)+IF(L$94=".",0,'Summary, PPI''s'!L69)+IF(M$94=".",0,'Summary, PPI''s'!M69)+IF(B$94=".",0,'Summary, PPI''s'!B69)+IF(C$94=".",0,'Summary, PPI''s'!C69)+IF(D$94=".",0,'Summary, PPI''s'!D69)+IF(N$94=".",0,'Summary, PPI''s'!N69)+IF(O$94=".",0,'Summary, PPI''s'!O69)+IF(P$94=".",0,'Summary, PPI''s'!P69)</f>
        <v>4339185.1750532715</v>
      </c>
      <c r="X69" s="1">
        <f>IF(E$123=".", 0, 'Summary, PPI''s'!E69)+IF(F$123=".", 0, 'Summary, PPI''s'!F69)+IF(G$123=".", 0, 'Summary, PPI''s'!G69)+IF(H$123=".", 0, 'Summary, PPI''s'!H69)+IF(I$123=".", 0, 'Summary, PPI''s'!I69)+IF(J$123=".", 0, 'Summary, PPI''s'!J69)+IF(K$123=".", 0, 'Summary, PPI''s'!K69)+IF(L$123=".", 0, 'Summary, PPI''s'!L69)+IF(M$123=".", 0, 'Summary, PPI''s'!M69)+IF(B$123=".", 0, 'Summary, PPI''s'!B69)+IF(C$123=".", 0, 'Summary, PPI''s'!C69)+IF(D$123=".", 0, 'Summary, PPI''s'!D69)+IF(N$123=".", 0, 'Summary, PPI''s'!N69)+IF(O$123=".", 0, 'Summary, PPI''s'!O69)+IF(P$123=".", 0, 'Summary, PPI''s'!P69)</f>
        <v>3893024.2715426018</v>
      </c>
      <c r="Z69" s="4" t="e">
        <f>Z68*IF(E$26=".", 1, (E69/E68)^(('Summary, PPI''s'!$E69+'Summary, PPI''s'!$E68)/('Predicted PPIs'!R69+'Predicted PPIs'!R68)))*IF(F$26=".", 1, (F69/F68)^(('Summary, PPI''s'!$F69+'Summary, PPI''s'!$F68)/('Predicted PPIs'!R69+'Predicted PPIs'!R68)))*IF(G$26=".", 1, (G69/G68)^(('Summary, PPI''s'!$G69+'Summary, PPI''s'!$G68)/('Predicted PPIs'!R69+'Predicted PPIs'!R68)))*IF(H$26=".", 1, (H69/H68)^(('Summary, PPI''s'!$H69+'Summary, PPI''s'!$H68)/('Predicted PPIs'!R69+'Predicted PPIs'!R68)))*IF(I$26=".", 1, (I69/I68)^(('Summary, PPI''s'!$I69+'Summary, PPI''s'!$I68)/('Predicted PPIs'!R69+'Predicted PPIs'!R68)))*IF(J$26=".", 1, (J69/J68)^(('Summary, PPI''s'!$J69+'Summary, PPI''s'!$J68)/('Predicted PPIs'!R69+'Predicted PPIs'!R68)))*IF(K$26=".", 1, (K69/K68)^(('Summary, PPI''s'!$K69+'Summary, PPI''s'!$K68)/('Predicted PPIs'!R69+'Predicted PPIs'!R68)))*IF(L$26=".", 1, (L69/L68)^(('Summary, PPI''s'!$L69+'Summary, PPI''s'!$L68)/('Predicted PPIs'!R69+'Predicted PPIs'!R68)))*IF(M$26=".", 1, (M69/M68)^(('Summary, PPI''s'!$M69+'Summary, PPI''s'!$M68)/('Predicted PPIs'!R69+'Predicted PPIs'!R68)))*IF(B$26=".", 1, (B69/B68)^(('Summary, PPI''s'!$B69+'Summary, PPI''s'!$B68)/('Predicted PPIs'!R69+'Predicted PPIs'!R68)))*IF(C$26=".", 1, (C69/C68)^(('Summary, PPI''s'!$C69+'Summary, PPI''s'!$C68)/('Predicted PPIs'!R69+'Predicted PPIs'!R68)))*IF(D$26=".", 1, (D69/D68)^(('Summary, PPI''s'!$D69+'Summary, PPI''s'!$D68)/('Predicted PPIs'!R69+'Predicted PPIs'!R68)))*IF(N$26=".", 1, (N69/N68)^(('Summary, PPI''s'!$N69+'Summary, PPI''s'!$N68)/('Predicted PPIs'!R69+'Predicted PPIs'!R68)))*IF(O$26=".", 1, (O69/O68)^(('Summary, PPI''s'!$O69+'Summary, PPI''s'!$O68)/('Predicted PPIs'!R69+'Predicted PPIs'!R68)))*IF(P$26=".", 1, (P69/P68)^(('Summary, PPI''s'!$P69+'Summary, PPI''s'!$P68)/('Predicted PPIs'!R69+'Predicted PPIs'!R68)))</f>
        <v>#VALUE!</v>
      </c>
      <c r="AA69" s="4" t="e">
        <f>AA68*IF(E$36=".", 1, (E69/E68)^(('Summary, PPI''s'!$E69+'Summary, PPI''s'!$E68)/('Predicted PPIs'!S69+'Predicted PPIs'!S68)))*IF(F$36=".", 1, (F69/F68)^(('Summary, PPI''s'!$F69+'Summary, PPI''s'!$F68)/('Predicted PPIs'!S69+'Predicted PPIs'!S68)))*IF(G$36=".", 1, (G69/G68)^(('Summary, PPI''s'!$G69+'Summary, PPI''s'!$G68)/('Predicted PPIs'!S69+'Predicted PPIs'!S68)))*IF(H$36=".", 1, (H69/H68)^(('Summary, PPI''s'!$H69+'Summary, PPI''s'!$H68)/('Predicted PPIs'!S69+'Predicted PPIs'!S68)))*IF(I$36=".", 1, (I69/I68)^(('Summary, PPI''s'!$I69+'Summary, PPI''s'!$I68)/('Predicted PPIs'!S69+'Predicted PPIs'!S68)))*IF(J$36=".", 1, (J69/J68)^(('Summary, PPI''s'!$J69+'Summary, PPI''s'!$J68)/('Predicted PPIs'!S69+'Predicted PPIs'!S68)))*IF(K$36=".", 1, (K69/K68)^(('Summary, PPI''s'!$K69+'Summary, PPI''s'!$K68)/('Predicted PPIs'!S69+'Predicted PPIs'!S68)))*IF(L$36=".", 1, (L69/L68)^(('Summary, PPI''s'!$L69+'Summary, PPI''s'!$L68)/('Predicted PPIs'!S69+'Predicted PPIs'!S68)))*IF(M$36=".", 1, (M69/M68)^(('Summary, PPI''s'!$M69+'Summary, PPI''s'!$M68)/('Predicted PPIs'!S69+'Predicted PPIs'!S68)))*IF(B$36=".", 1, (B69/B68)^(('Summary, PPI''s'!$B69+'Summary, PPI''s'!$B68)/('Predicted PPIs'!S69+'Predicted PPIs'!S68)))*IF(C$36=".", 1, (C69/C68)^(('Summary, PPI''s'!$C69+'Summary, PPI''s'!$C68)/('Predicted PPIs'!S69+'Predicted PPIs'!S68)))*IF(D$36=".", 1, (D69/D68)^(('Summary, PPI''s'!$D69+'Summary, PPI''s'!$D68)/('Predicted PPIs'!S69+'Predicted PPIs'!S68)))*IF(N$36=".", 1, (N69/N68)^(('Summary, PPI''s'!$N69+'Summary, PPI''s'!$N68)/('Predicted PPIs'!S69+'Predicted PPIs'!S68)))*IF(O$36=".", 1, (O69/O68)^(('Summary, PPI''s'!$O69+'Summary, PPI''s'!$O68)/('Predicted PPIs'!S69+'Predicted PPIs'!S68)))*IF(P$36=".", 1, (P69/P68)^(('Summary, PPI''s'!$P69+'Summary, PPI''s'!$P68)/('Predicted PPIs'!S69+'Predicted PPIs'!S68)))</f>
        <v>#VALUE!</v>
      </c>
      <c r="AB69" s="4" t="e">
        <f>AB68*IF(E$46=".", 1, (E69/E68)^(('Summary, PPI''s'!$E69+'Summary, PPI''s'!$E68)/('Predicted PPIs'!T69+'Predicted PPIs'!T68)))*IF(F$46=".", 1, (F69/F68)^(('Summary, PPI''s'!$F69+'Summary, PPI''s'!$F68)/('Predicted PPIs'!T69+'Predicted PPIs'!T68)))*IF(G$46=".", 1, (G69/G68)^(('Summary, PPI''s'!$G69+'Summary, PPI''s'!$G68)/('Predicted PPIs'!T69+'Predicted PPIs'!T68)))*IF(H$46=".", 1, (H69/H68)^(('Summary, PPI''s'!$H69+'Summary, PPI''s'!$H68)/('Predicted PPIs'!T69+'Predicted PPIs'!T68)))*IF(I$46=".", 1, (I69/I68)^(('Summary, PPI''s'!$I69+'Summary, PPI''s'!$I68)/('Predicted PPIs'!T69+'Predicted PPIs'!T68)))*IF(J$46=".", 1, (J69/J68)^(('Summary, PPI''s'!$J69+'Summary, PPI''s'!$J68)/('Predicted PPIs'!T69+'Predicted PPIs'!T68)))*IF(K$46=".", 1, (K69/K68)^(('Summary, PPI''s'!$K69+'Summary, PPI''s'!$K68)/('Predicted PPIs'!T69+'Predicted PPIs'!T68)))*IF(L$46=".", 1, (L69/L68)^(('Summary, PPI''s'!$L69+'Summary, PPI''s'!$L68)/('Predicted PPIs'!T69+'Predicted PPIs'!T68)))*IF(M$46=".", 1, (M69/M68)^(('Summary, PPI''s'!$M69+'Summary, PPI''s'!$M68)/('Predicted PPIs'!T69+'Predicted PPIs'!T68)))*IF(B$46=".", 1, (B69/B68)^(('Summary, PPI''s'!$B69+'Summary, PPI''s'!$B68)/('Predicted PPIs'!T69+'Predicted PPIs'!T68)))*IF(C$46=".", 1, (C69/C68)^(('Summary, PPI''s'!$C69+'Summary, PPI''s'!$C68)/('Predicted PPIs'!T69+'Predicted PPIs'!T68)))*IF(D$46=".", 1, (D69/D68)^(('Summary, PPI''s'!$D69+'Summary, PPI''s'!$D68)/('Predicted PPIs'!T69+'Predicted PPIs'!T68)))*IF(N$46=".", 1, (N69/N68)^(('Summary, PPI''s'!$N69+'Summary, PPI''s'!$N68)/('Predicted PPIs'!T69+'Predicted PPIs'!T68)))*IF(O$46=".", 1, (O69/O68)^(('Summary, PPI''s'!$O69+'Summary, PPI''s'!$O68)/('Predicted PPIs'!T69+'Predicted PPIs'!T68)))*IF(P$46=".", 1, (P69/P68)^(('Summary, PPI''s'!$P69+'Summary, PPI''s'!$P68)/('Predicted PPIs'!T69+'Predicted PPIs'!T68)))</f>
        <v>#VALUE!</v>
      </c>
      <c r="AC69" s="4" t="e">
        <f>AC68*IF(E$60=".",1,(E69/E68)^(('Summary, PPI''s'!$E69+'Summary, PPI''s'!$E68)/('Predicted PPIs'!U69+'Predicted PPIs'!U68)))*IF(F$60=".",1,(F69/F68)^(('Summary, PPI''s'!$F69+'Summary, PPI''s'!$F68)/('Predicted PPIs'!U69+'Predicted PPIs'!U68)))*IF(G$60=".",1,(G69/G68)^(('Summary, PPI''s'!$G69+'Summary, PPI''s'!$G68)/('Predicted PPIs'!U69+'Predicted PPIs'!U68)))*IF(H$60=".",1,(H69/H68)^(('Summary, PPI''s'!$H69+'Summary, PPI''s'!$H68)/('Predicted PPIs'!U69+'Predicted PPIs'!U68)))*IF(I$60=".",1,(I69/I68)^(('Summary, PPI''s'!$I69+'Summary, PPI''s'!$I68)/('Predicted PPIs'!U69+'Predicted PPIs'!U68)))*IF(J$60=".",1,(J69/J68)^(('Summary, PPI''s'!$J69+'Summary, PPI''s'!$J68)/('Predicted PPIs'!U69+'Predicted PPIs'!U68)))*IF(K$60=".",1,(K69/K68)^(('Summary, PPI''s'!$K69+'Summary, PPI''s'!$K68)/('Predicted PPIs'!U69+'Predicted PPIs'!U68)))*IF(L$60=".",1,(L69/L68)^(('Summary, PPI''s'!$L69+'Summary, PPI''s'!$L68)/('Predicted PPIs'!U69+'Predicted PPIs'!U68)))*IF(M$60=".",1,(M69/M68)^(('Summary, PPI''s'!$M69+'Summary, PPI''s'!$M68)/('Predicted PPIs'!U69+'Predicted PPIs'!U68)))*IF(B$60=".",1,(B69/B68)^(('Summary, PPI''s'!$B69+'Summary, PPI''s'!$B68)/('Predicted PPIs'!U69+'Predicted PPIs'!U68)))*IF(C$60=".",1,(C69/C68)^(('Summary, PPI''s'!$C69+'Summary, PPI''s'!$C68)/('Predicted PPIs'!U69+'Predicted PPIs'!U68)))*IF(D$60=".",1,(D69/D68)^(('Summary, PPI''s'!$D69+'Summary, PPI''s'!$D68)/('Predicted PPIs'!U69+'Predicted PPIs'!U68)))*IF(N$60=".",1,(N69/N68)^(('Summary, PPI''s'!$N69+'Summary, PPI''s'!$N68)/('Predicted PPIs'!U69+'Predicted PPIs'!U68)))*IF(O$60=".",1,(O69/O68)^(('Summary, PPI''s'!$O69+'Summary, PPI''s'!$O68)/('Predicted PPIs'!U69+'Predicted PPIs'!U68)))*IF(P$60=".",1,(P69/P68)^(('Summary, PPI''s'!$P69+'Summary, PPI''s'!$P68)/('Predicted PPIs'!U69+'Predicted PPIs'!U68)))</f>
        <v>#VALUE!</v>
      </c>
      <c r="AD69" s="4">
        <f>AD68*IF(E$73=".", 1, (E69/E68)^(('Summary, PPI''s'!$E69+'Summary, PPI''s'!$E68)/('Predicted PPIs'!V69+'Predicted PPIs'!V68)))*IF(F$73=".", 1, (F69/F68)^(('Summary, PPI''s'!$F69+'Summary, PPI''s'!$F68)/('Predicted PPIs'!V69+'Predicted PPIs'!V68)))*IF(G$73=".", 1, (G69/G68)^(('Summary, PPI''s'!$G69+'Summary, PPI''s'!$G68)/('Predicted PPIs'!V69+'Predicted PPIs'!V68)))*IF(H$73=".", 1, (H69/H68)^(('Summary, PPI''s'!$H69+'Summary, PPI''s'!$H68)/('Predicted PPIs'!V69+'Predicted PPIs'!V68)))*IF(I$73=".", 1, (I69/I68)^(('Summary, PPI''s'!$I69+'Summary, PPI''s'!$I68)/('Predicted PPIs'!V69+'Predicted PPIs'!V68)))*IF(J$73=".", 1, (J69/J68)^(('Summary, PPI''s'!$J69+'Summary, PPI''s'!$J68)/('Predicted PPIs'!V69+'Predicted PPIs'!V68)))*IF(K$73=".", 1, (K69/K68)^(('Summary, PPI''s'!$K69+'Summary, PPI''s'!$K68)/('Predicted PPIs'!V69+'Predicted PPIs'!V68)))*IF(L$73=".", 1, (L69/L68)^(('Summary, PPI''s'!$L69+'Summary, PPI''s'!$L68)/('Predicted PPIs'!V69+'Predicted PPIs'!V68)))*IF(M$73=".", 1, (M69/M68)^(('Summary, PPI''s'!$M69+'Summary, PPI''s'!$M68)/('Predicted PPIs'!V69+'Predicted PPIs'!V68)))*IF(B$73=".", 1, (B69/B68)^(('Summary, PPI''s'!$B69+'Summary, PPI''s'!$B68)/('Predicted PPIs'!V69+'Predicted PPIs'!V68)))*IF(C$73=".", 1, (C69/C68)^(('Summary, PPI''s'!$C69+'Summary, PPI''s'!$C68)/('Predicted PPIs'!V69+'Predicted PPIs'!V68)))*IF(D$73=".", 1, (D69/D68)^(('Summary, PPI''s'!$D69+'Summary, PPI''s'!$D68)/('Predicted PPIs'!V69+'Predicted PPIs'!V68)))*IF(N$73=".", 1, (N69/N68)^(('Summary, PPI''s'!$N69+'Summary, PPI''s'!$N68)/('Predicted PPIs'!V69+'Predicted PPIs'!V68)))*IF(O$73=".", 1, (O69/O68)^(('Summary, PPI''s'!$O69+'Summary, PPI''s'!$O68)/('Predicted PPIs'!V69+'Predicted PPIs'!V68)))*IF(P$73=".", 1, (P69/P68)^(('Summary, PPI''s'!$P69+'Summary, PPI''s'!$P68)/('Predicted PPIs'!V69+'Predicted PPIs'!V68)))</f>
        <v>7.8445729049687234</v>
      </c>
      <c r="AE69" s="4">
        <f>AE68*IF(E$94=".", 1, (E69/E68)^(('Summary, PPI''s'!$E69+'Summary, PPI''s'!$E68)/('Predicted PPIs'!W69+'Predicted PPIs'!W68)))*IF(F$94=".", 1, (F69/F68)^(('Summary, PPI''s'!$F69+'Summary, PPI''s'!$F68)/('Predicted PPIs'!W69+'Predicted PPIs'!W68)))*IF(G$94=".", 1, (G69/G68)^(('Summary, PPI''s'!$G69+'Summary, PPI''s'!$G68)/('Predicted PPIs'!W69+'Predicted PPIs'!W68)))*IF(H$94=".", 1, (H69/H68)^(('Summary, PPI''s'!$H69+'Summary, PPI''s'!$H68)/('Predicted PPIs'!W69+'Predicted PPIs'!W68)))*IF(I$94=".", 1, (I69/I68)^(('Summary, PPI''s'!$I69+'Summary, PPI''s'!$I68)/('Predicted PPIs'!W69+'Predicted PPIs'!W68)))*IF(J$94=".", 1, (J69/J68)^(('Summary, PPI''s'!$J69+'Summary, PPI''s'!$J68)/('Predicted PPIs'!W69+'Predicted PPIs'!W68)))*IF(K$94=".", 1, (K69/K68)^(('Summary, PPI''s'!$K69+'Summary, PPI''s'!$K68)/('Predicted PPIs'!W69+'Predicted PPIs'!W68)))*IF(L$94=".", 1, (L69/L68)^(('Summary, PPI''s'!$L69+'Summary, PPI''s'!$L68)/('Predicted PPIs'!W69+'Predicted PPIs'!W68)))*IF(M$94=".", 1, (M69/M68)^(('Summary, PPI''s'!$M69+'Summary, PPI''s'!$M68)/('Predicted PPIs'!W69+'Predicted PPIs'!W68)))*IF(B$94=".", 1, (B69/B68)^(('Summary, PPI''s'!$B69+'Summary, PPI''s'!$B68)/('Predicted PPIs'!W69+'Predicted PPIs'!W68)))*IF(C$94=".", 1, (C69/C68)^(('Summary, PPI''s'!$C69+'Summary, PPI''s'!$C68)/('Predicted PPIs'!W69+'Predicted PPIs'!W68)))*IF(D$94=".", 1, (D69/D68)^(('Summary, PPI''s'!$D69+'Summary, PPI''s'!$D68)/('Predicted PPIs'!W69+'Predicted PPIs'!W68)))*IF(N$94=".", 1, (N69/N68)^(('Summary, PPI''s'!$N69+'Summary, PPI''s'!$N68)/('Predicted PPIs'!W69+'Predicted PPIs'!W68)))*IF(O$94=".", 1, (O69/O68)^(('Summary, PPI''s'!$O69+'Summary, PPI''s'!$O68)/('Predicted PPIs'!W69+'Predicted PPIs'!W68)))*IF(P$94=".", 1, (P69/P68)^(('Summary, PPI''s'!$P69+'Summary, PPI''s'!$P68)/('Predicted PPIs'!W69+'Predicted PPIs'!W68)))</f>
        <v>6.8112347936399162</v>
      </c>
      <c r="AF69" s="4">
        <f>AF68*IF(E$123=".", 1, (E69/E68)^(('Summary, PPI''s'!$E69+'Summary, PPI''s'!$E68)/('Predicted PPIs'!X69+'Predicted PPIs'!X68)))*IF(F$123=".", 1, (F69/F68)^(('Summary, PPI''s'!$F69+'Summary, PPI''s'!$F68)/('Predicted PPIs'!X69+'Predicted PPIs'!X68)))*IF(G$123=".", 1, (G69/G68)^(('Summary, PPI''s'!$G69+'Summary, PPI''s'!$G68)/('Predicted PPIs'!X69+'Predicted PPIs'!X68)))*IF(H$123=".", 1, (H69/H68)^(('Summary, PPI''s'!$H69+'Summary, PPI''s'!$H68)/('Predicted PPIs'!X69+'Predicted PPIs'!X68)))*IF(I$123=".", 1, (I69/I68)^(('Summary, PPI''s'!$I69+'Summary, PPI''s'!$I68)/('Predicted PPIs'!X69+'Predicted PPIs'!X68)))*IF(J$123=".", 1, (J69/J68)^(('Summary, PPI''s'!$J69+'Summary, PPI''s'!$J68)/('Predicted PPIs'!X69+'Predicted PPIs'!X68)))*IF(K$123=".", 1, (K69/K68)^(('Summary, PPI''s'!$K69+'Summary, PPI''s'!$K68)/('Predicted PPIs'!X69+'Predicted PPIs'!X68)))*IF(L$123=".", 1, (L69/L68)^(('Summary, PPI''s'!$L69+'Summary, PPI''s'!$L68)/('Predicted PPIs'!X69+'Predicted PPIs'!X68)))*IF(M$123=".", 1, (M69/M68)^(('Summary, PPI''s'!$M69+'Summary, PPI''s'!$M68)/('Predicted PPIs'!X69+'Predicted PPIs'!X68)))*IF(B$123=".", 1, (B69/B68)^(('Summary, PPI''s'!$B69+'Summary, PPI''s'!$B68)/('Predicted PPIs'!X69+'Predicted PPIs'!X68)))*IF(C$123=".", 1, (C69/C68)^(('Summary, PPI''s'!$C69+'Summary, PPI''s'!$C68)/('Predicted PPIs'!X69+'Predicted PPIs'!X68)))*IF(D$123=".", 1, (D69/D68)^(('Summary, PPI''s'!$D69+'Summary, PPI''s'!$D68)/('Predicted PPIs'!X69+'Predicted PPIs'!X68)))*IF(N$123=".", 1, (N69/N68)^(('Summary, PPI''s'!$N69+'Summary, PPI''s'!$N68)/('Predicted PPIs'!X69+'Predicted PPIs'!X68)))*IF(O$123=".", 1, (O69/O68)^(('Summary, PPI''s'!$O69+'Summary, PPI''s'!$O68)/('Predicted PPIs'!X69+'Predicted PPIs'!X68)))*IF(P$123=".", 1, (P69/P68)^(('Summary, PPI''s'!$P69+'Summary, PPI''s'!$P68)/('Predicted PPIs'!X69+'Predicted PPIs'!X68)))</f>
        <v>6.4678272516916202</v>
      </c>
      <c r="AH69" s="13">
        <f t="shared" si="152"/>
        <v>9.0926617888648309</v>
      </c>
      <c r="AJ69" s="4">
        <v>239.6</v>
      </c>
      <c r="AK69" s="4">
        <v>-1.7889999999999999</v>
      </c>
      <c r="AL69" s="4">
        <v>-19.724</v>
      </c>
      <c r="AM69" s="4">
        <v>-1.7110000000000001</v>
      </c>
      <c r="AN69" s="4">
        <v>326.89999999999998</v>
      </c>
      <c r="AO69" s="4">
        <v>59.8</v>
      </c>
      <c r="AP69" s="4">
        <f>('[4]1954'!$I$14+'[4]1954'!$I$51+'[4]1954'!$I$53-'[4]1954'!$I$55)*0.001</f>
        <v>-6.0070000000000006</v>
      </c>
      <c r="AQ69" s="4">
        <f>('[4]1954'!$AK$42+'[4]1954'!$AK$51+'[4]1954'!$AK$53-'[4]1954'!$AK$55)*0.001</f>
        <v>-10.835000000000001</v>
      </c>
      <c r="AR69" s="4">
        <f t="shared" si="148"/>
        <v>-4.0052894359429245E-3</v>
      </c>
      <c r="AS69" s="4">
        <v>-1.351</v>
      </c>
      <c r="AT69" s="4">
        <v>14.757999999999999</v>
      </c>
      <c r="AU69" s="4">
        <v>22.925999999999998</v>
      </c>
      <c r="AV69" s="4">
        <v>13.023</v>
      </c>
      <c r="AW69" s="4">
        <v>10.888999999999999</v>
      </c>
      <c r="AX69" s="4">
        <v>14.622</v>
      </c>
      <c r="AY69" s="4">
        <v>20.768000000000001</v>
      </c>
      <c r="AZ69" s="4">
        <v>7.7240000000000002</v>
      </c>
      <c r="BA69" s="4">
        <v>17.315000000000001</v>
      </c>
      <c r="BB69" s="4">
        <f t="shared" si="150"/>
        <v>99.037531834221951</v>
      </c>
      <c r="BC69" s="4">
        <v>14.175000000000001</v>
      </c>
      <c r="BG69" s="4">
        <f t="shared" si="50"/>
        <v>16.294839970437117</v>
      </c>
      <c r="BI69" s="4">
        <f>BI$13*'[2]Ordinary Experience'!$D$357/'[2]Ordinary Experience'!$D$413</f>
        <v>161693243.6383979</v>
      </c>
      <c r="BJ69" s="4">
        <f>'[2]Ordinary Experience'!$E$357</f>
        <v>28.507263077699886</v>
      </c>
      <c r="BL69" s="4">
        <f t="shared" si="151"/>
        <v>35.565754919281218</v>
      </c>
      <c r="BM69" s="4">
        <f t="shared" si="153"/>
        <v>-2.7593923612727611E-3</v>
      </c>
      <c r="BO69" s="4" t="str">
        <f>IF(OR('Summary, hourly ad costs'!R69=-9999,'Summary, PPI''s'!R69="."),".",(('Summary, hourly ad costs'!B69/'Summary, hourly ad costs'!R69)*100/('Summary, hourly ad costs'!B$11/'Summary, hourly ad costs'!R$11))/('Summary, PPI''s'!R69))</f>
        <v>.</v>
      </c>
      <c r="BP69" s="4" t="str">
        <f>IF(OR('Summary, hourly ad costs'!S69=-9999,'Summary, PPI''s'!S69="."),".",(('Summary, hourly ad costs'!C69/'Summary, hourly ad costs'!S69)*100/('Summary, hourly ad costs'!C$11/'Summary, hourly ad costs'!S$11))/('Summary, PPI''s'!S69))</f>
        <v>.</v>
      </c>
      <c r="BQ69" s="4" t="str">
        <f>IF(OR('Summary, hourly ad costs'!T69=-9999,'Summary, PPI''s'!T69="."),".",(('Summary, hourly ad costs'!D69/'Summary, hourly ad costs'!T69)*100/('Summary, hourly ad costs'!D$11/'Summary, hourly ad costs'!T$11))/('Summary, PPI''s'!T69))</f>
        <v>.</v>
      </c>
      <c r="BR69" s="4" t="str">
        <f>IF(OR('Summary, hourly ad costs'!U69=-9999,'Summary, PPI''s'!U69="."),".",(('Summary, hourly ad costs'!E69/'Summary, hourly ad costs'!U69)*100/('Summary, hourly ad costs'!E$11/'Summary, hourly ad costs'!U$11))/('Summary, PPI''s'!U69))</f>
        <v>.</v>
      </c>
      <c r="BS69" s="4" t="str">
        <f>IF(OR('Summary, hourly ad costs'!V69=-9999,'Summary, PPI''s'!V69="."),".",(('Summary, hourly ad costs'!F69/'Summary, hourly ad costs'!V69)*100/('Summary, hourly ad costs'!F$11/'Summary, hourly ad costs'!V$11))/('Summary, PPI''s'!V69))</f>
        <v>.</v>
      </c>
      <c r="BT69" s="4" t="str">
        <f>IF(OR('Summary, hourly ad costs'!W69=-9999,'Summary, PPI''s'!W69="."),".",(('Summary, hourly ad costs'!G69/'Summary, hourly ad costs'!W69)*100/('Summary, hourly ad costs'!G$11/'Summary, hourly ad costs'!W$11))/('Summary, PPI''s'!W69))</f>
        <v>.</v>
      </c>
      <c r="BU69" s="4" t="str">
        <f>IF(OR('Summary, hourly ad costs'!X69=-9999,'Summary, PPI''s'!X69="."),".",(('Summary, hourly ad costs'!H69/'Summary, hourly ad costs'!X69)*100/('Summary, hourly ad costs'!H$11/'Summary, hourly ad costs'!X$11))/('Summary, PPI''s'!X69))</f>
        <v>.</v>
      </c>
      <c r="BV69" s="4" t="str">
        <f>IF(OR('Summary, hourly ad costs'!Y69=-9999,'Summary, PPI''s'!Y69="."),".",(('Summary, hourly ad costs'!I69/'Summary, hourly ad costs'!Y69)*100/('Summary, hourly ad costs'!I$11/'Summary, hourly ad costs'!Y$11))/('Summary, PPI''s'!Y69))</f>
        <v>.</v>
      </c>
      <c r="BW69" s="4" t="str">
        <f>IF(OR('Summary, hourly ad costs'!Z69=-9999,'Summary, PPI''s'!Z69="."),".",(('Summary, hourly ad costs'!J69/'Summary, hourly ad costs'!Z69)*100/('Summary, hourly ad costs'!J$11/'Summary, hourly ad costs'!Z$11))/('Summary, PPI''s'!Z69))</f>
        <v>.</v>
      </c>
      <c r="BX69" s="4" t="str">
        <f>IF(OR('Summary, hourly ad costs'!AA69=-9999,'Summary, PPI''s'!AA69="."),".",(('Summary, hourly ad costs'!K69/'Summary, hourly ad costs'!AA69)*100/('Summary, hourly ad costs'!K$11/'Summary, hourly ad costs'!AA$11))/('Summary, PPI''s'!AA69))</f>
        <v>.</v>
      </c>
      <c r="BY69" s="4" t="str">
        <f>IF(OR('Summary, hourly ad costs'!AB69=-9999,'Summary, PPI''s'!AB69="."),".",(('Summary, hourly ad costs'!L69/'Summary, hourly ad costs'!AB69)*100/('Summary, hourly ad costs'!L$11/'Summary, hourly ad costs'!AB$11))/('Summary, PPI''s'!AB69))</f>
        <v>.</v>
      </c>
      <c r="BZ69" s="4" t="str">
        <f>IF(OR('Summary, hourly ad costs'!AC69=-9999,'Summary, PPI''s'!AC69="."),".",(('Summary, hourly ad costs'!M69/'Summary, hourly ad costs'!AC69)*100/('Summary, hourly ad costs'!M$11/'Summary, hourly ad costs'!AC$11))/('Summary, PPI''s'!AC69))</f>
        <v>.</v>
      </c>
      <c r="CA69" s="4" t="str">
        <f>IF(OR('Summary, hourly ad costs'!AD69=-9999,'Summary, PPI''s'!AD69="."),".",(('Summary, hourly ad costs'!N69/'Summary, hourly ad costs'!AD69)*100/('Summary, hourly ad costs'!N$11/'Summary, hourly ad costs'!AD$11))/('Summary, PPI''s'!AD69))</f>
        <v>.</v>
      </c>
      <c r="CB69" s="4" t="str">
        <f>IF(OR('Summary, hourly ad costs'!AE69=-9999,'Summary, PPI''s'!AE69="."),".",(('Summary, hourly ad costs'!O69/'Summary, hourly ad costs'!AE69)*100/('Summary, hourly ad costs'!O$11/'Summary, hourly ad costs'!AE$11))/('Summary, PPI''s'!AE69))</f>
        <v>.</v>
      </c>
      <c r="CC69" s="4" t="str">
        <f>IF(OR('Summary, hourly ad costs'!AF69=-9999,'Summary, PPI''s'!AF69="."),".",(('Summary, hourly ad costs'!P69/'Summary, hourly ad costs'!AF69)*100/('Summary, hourly ad costs'!P$11/'Summary, hourly ad costs'!AF$11))/('Summary, PPI''s'!AF69))</f>
        <v>.</v>
      </c>
      <c r="CE69" s="4">
        <f t="shared" si="134"/>
        <v>-3.4517640062634566E-2</v>
      </c>
      <c r="CF69" s="4" t="str">
        <f t="shared" si="135"/>
        <v>.</v>
      </c>
      <c r="CG69" s="4" t="str">
        <f t="shared" si="136"/>
        <v>.</v>
      </c>
      <c r="CH69" s="4">
        <f t="shared" si="145"/>
        <v>-2.4785514214807812E-2</v>
      </c>
      <c r="CI69" s="4">
        <f t="shared" si="145"/>
        <v>-2.6445459825782593E-2</v>
      </c>
      <c r="CJ69" s="4" t="str">
        <f t="shared" si="147"/>
        <v>.</v>
      </c>
      <c r="CK69" s="4">
        <f t="shared" si="149"/>
        <v>4.6942442168750667E-3</v>
      </c>
      <c r="CL69" s="4">
        <f t="shared" si="130"/>
        <v>-1.8765891473617638E-2</v>
      </c>
      <c r="CM69" s="4">
        <f t="shared" si="130"/>
        <v>8.8235664204509463E-3</v>
      </c>
      <c r="CN69" s="4">
        <f t="shared" si="89"/>
        <v>-3.3324541595933968E-2</v>
      </c>
      <c r="CO69" s="4">
        <f t="shared" si="120"/>
        <v>-2.3981434679810919E-2</v>
      </c>
      <c r="CP69" s="4">
        <f t="shared" si="120"/>
        <v>0.19819734391459298</v>
      </c>
      <c r="CQ69" s="4" t="str">
        <f t="shared" si="110"/>
        <v>.</v>
      </c>
      <c r="CR69" s="4" t="str">
        <f t="shared" si="111"/>
        <v>.</v>
      </c>
      <c r="CS69" s="4" t="str">
        <f t="shared" si="112"/>
        <v>.</v>
      </c>
      <c r="CU69" s="5">
        <f>IF(CU68=".", ".", IF('Summary, PPI''s'!R69=".",IF(OR('Summary, hourly ad costs'!R69=-9999,'Summary, hourly ad costs'!R69=0), ".", 'Predicted PPIs'!CU68*('Summary, hourly ad costs'!B69/'Summary, hourly ad costs'!R69)/('Summary, hourly ad costs'!B68/'Summary, hourly ad costs'!R68)/(1-CE68)), 'Summary, PPI''s'!R69))</f>
        <v>21.866787033884389</v>
      </c>
      <c r="CV69" s="5" t="str">
        <f>IF(CV68=".", ".", IF('Summary, PPI''s'!S69=".",IF(OR('Summary, hourly ad costs'!S69=-9999,'Summary, hourly ad costs'!S69=0), ".", 'Predicted PPIs'!CV68*('Summary, hourly ad costs'!C69/'Summary, hourly ad costs'!S69)/('Summary, hourly ad costs'!C68/'Summary, hourly ad costs'!S68)/(1-CF68)), 'Summary, PPI''s'!S69))</f>
        <v>.</v>
      </c>
      <c r="CW69" s="5" t="str">
        <f>IF(CW68=".", ".", IF('Summary, PPI''s'!T69=".",IF(OR('Summary, hourly ad costs'!T69=-9999,'Summary, hourly ad costs'!T69=0), ".", 'Predicted PPIs'!CW68*('Summary, hourly ad costs'!D69/'Summary, hourly ad costs'!T69)/('Summary, hourly ad costs'!D68/'Summary, hourly ad costs'!T68)/(1-CG68)), 'Summary, PPI''s'!T69))</f>
        <v>.</v>
      </c>
      <c r="CX69" s="5">
        <f>IF(CX68=".", ".", IF('Summary, PPI''s'!U69=".",IF(OR('Summary, hourly ad costs'!U69=-9999,'Summary, hourly ad costs'!U69=0), ".", 'Predicted PPIs'!CX68*('Summary, hourly ad costs'!E69/'Summary, hourly ad costs'!U69)/('Summary, hourly ad costs'!E68/'Summary, hourly ad costs'!U68)/(1-CH68)), 'Summary, PPI''s'!U69))</f>
        <v>5.022933109438962</v>
      </c>
      <c r="CY69" s="5">
        <f>IF(CY68=".", ".", IF('Summary, PPI''s'!V69=".",IF(OR('Summary, hourly ad costs'!V69=-9999,'Summary, hourly ad costs'!V69=0), ".", 'Predicted PPIs'!CY68*('Summary, hourly ad costs'!F69/'Summary, hourly ad costs'!V69)/('Summary, hourly ad costs'!F68/'Summary, hourly ad costs'!V68)/(1-CI68)), 'Summary, PPI''s'!V69))</f>
        <v>8.2012381178836176</v>
      </c>
      <c r="CZ69" s="5" t="str">
        <f>IF(CZ68=".", ".", IF('Summary, PPI''s'!W69=".",IF(OR('Summary, hourly ad costs'!W69=-9999,'Summary, hourly ad costs'!W69=0), ".", 'Predicted PPIs'!CZ68*('Summary, hourly ad costs'!G69/'Summary, hourly ad costs'!W69)/('Summary, hourly ad costs'!G68/'Summary, hourly ad costs'!W68)/(1-CJ68)), 'Summary, PPI''s'!W69))</f>
        <v>.</v>
      </c>
      <c r="DA69" s="5">
        <f>IF(DA68=".", ".", IF('Summary, PPI''s'!X69=".",IF(OR('Summary, hourly ad costs'!X69=-9999,'Summary, hourly ad costs'!X69=0), ".", 'Predicted PPIs'!DA68*('Summary, hourly ad costs'!H69/'Summary, hourly ad costs'!X69)/('Summary, hourly ad costs'!H68/'Summary, hourly ad costs'!X68)/(1-CK68)), 'Summary, PPI''s'!X69))</f>
        <v>3.9230405859726485</v>
      </c>
      <c r="DB69" s="5">
        <f>IF(DB68=".", ".", IF('Summary, PPI''s'!Y69=".",IF(OR('Summary, hourly ad costs'!Y69=-9999,'Summary, hourly ad costs'!Y69=0), ".", 'Predicted PPIs'!DB68*('Summary, hourly ad costs'!I69/'Summary, hourly ad costs'!Y69)/('Summary, hourly ad costs'!I68/'Summary, hourly ad costs'!Y68)/(1-CL68)), 'Summary, PPI''s'!Y69))</f>
        <v>8.3005550971317099</v>
      </c>
      <c r="DC69" s="5">
        <f>IF(DC68=".", ".", IF('Summary, PPI''s'!Z69=".",IF(OR('Summary, hourly ad costs'!Z69=-9999,'Summary, hourly ad costs'!Z69=0), ".", 'Predicted PPIs'!DC68*('Summary, hourly ad costs'!J69/'Summary, hourly ad costs'!Z69)/('Summary, hourly ad costs'!J68/'Summary, hourly ad costs'!Z68)/(1-CM68)), 'Summary, PPI''s'!Z69))</f>
        <v>19.003593405835741</v>
      </c>
      <c r="DD69" s="5" t="str">
        <f>IF(DD68=".", ".", IF('Summary, PPI''s'!AA69=".",IF(OR('Summary, hourly ad costs'!AA69=-9999,'Summary, hourly ad costs'!AA69=0), ".", 'Predicted PPIs'!DD68*('Summary, hourly ad costs'!K69/'Summary, hourly ad costs'!AA69)/('Summary, hourly ad costs'!K68/'Summary, hourly ad costs'!AA68)/(1-CN68)), 'Summary, PPI''s'!AA69))</f>
        <v>.</v>
      </c>
      <c r="DE69" s="5" t="str">
        <f>IF(DE68=".", ".", IF('Summary, PPI''s'!AB69=".",IF(OR('Summary, hourly ad costs'!AB69=-9999,'Summary, hourly ad costs'!AB69=0), ".", 'Predicted PPIs'!DE68*('Summary, hourly ad costs'!L69/'Summary, hourly ad costs'!AB69)/('Summary, hourly ad costs'!L68/'Summary, hourly ad costs'!AB68)/(1-CO68)), 'Summary, PPI''s'!AB69))</f>
        <v>.</v>
      </c>
      <c r="DF69" s="5" t="str">
        <f>IF(DF68=".", ".", IF('Summary, PPI''s'!AC69=".",IF(OR('Summary, hourly ad costs'!AC69=-9999,'Summary, hourly ad costs'!AC69=0), ".", 'Predicted PPIs'!DF68*('Summary, hourly ad costs'!M69/'Summary, hourly ad costs'!AC69)/('Summary, hourly ad costs'!M68/'Summary, hourly ad costs'!AC68)/(1-CP68)), 'Summary, PPI''s'!AC69))</f>
        <v>.</v>
      </c>
      <c r="DG69" s="5" t="str">
        <f>IF(DG68=".", ".", IF('Summary, PPI''s'!AD69=".",IF(OR('Summary, hourly ad costs'!AD69=-9999,'Summary, hourly ad costs'!AD69=0), ".", 'Predicted PPIs'!DG68*('Summary, hourly ad costs'!N69/'Summary, hourly ad costs'!AD69)/('Summary, hourly ad costs'!N68/'Summary, hourly ad costs'!AD68)/(1-CQ68)), 'Summary, PPI''s'!AD69))</f>
        <v>.</v>
      </c>
      <c r="DH69" s="5" t="str">
        <f>IF(DH68=".", ".", IF('Summary, PPI''s'!AE69=".",IF(OR('Summary, hourly ad costs'!AE69=-9999,'Summary, hourly ad costs'!AE69=0), ".", 'Predicted PPIs'!DH68*('Summary, hourly ad costs'!O69/'Summary, hourly ad costs'!AE69)/('Summary, hourly ad costs'!O68/'Summary, hourly ad costs'!AE68)/(1-CR68)), 'Summary, PPI''s'!AE69))</f>
        <v>.</v>
      </c>
      <c r="DI69" s="5" t="str">
        <f>IF(DI68=".", ".", IF('Summary, PPI''s'!AF69=".",IF(OR('Summary, hourly ad costs'!AF69=-9999,'Summary, hourly ad costs'!AF69=0), ".", 'Predicted PPIs'!DI68*('Summary, hourly ad costs'!P69/'Summary, hourly ad costs'!AF69)/('Summary, hourly ad costs'!P68/'Summary, hourly ad costs'!AF68)/(1-CS68)), 'Summary, PPI''s'!AF69))</f>
        <v>.</v>
      </c>
      <c r="DK69" s="4">
        <v>5.0129999999999999</v>
      </c>
      <c r="DM69" s="5">
        <f t="shared" si="138"/>
        <v>-0.12609879529072554</v>
      </c>
      <c r="DN69" s="4">
        <f t="shared" si="139"/>
        <v>-1.9110493279836317E-2</v>
      </c>
      <c r="DO69" s="4">
        <f t="shared" si="123"/>
        <v>-2.2863370264334142E-2</v>
      </c>
      <c r="DP69" s="5">
        <f t="shared" si="140"/>
        <v>2.8288763464771272E-2</v>
      </c>
      <c r="DQ69" s="5">
        <f t="shared" si="141"/>
        <v>-6.1192564195948762E-3</v>
      </c>
      <c r="DR69" s="4">
        <f t="shared" si="146"/>
        <v>-1.1670317056555052E-2</v>
      </c>
      <c r="DS69" s="5">
        <f t="shared" si="142"/>
        <v>-0.31742226718284672</v>
      </c>
      <c r="DT69" s="5">
        <f t="shared" si="143"/>
        <v>-0.11419646269273886</v>
      </c>
      <c r="DU69" s="5">
        <f t="shared" si="144"/>
        <v>-0.11270476983146549</v>
      </c>
      <c r="DV69" s="4">
        <f t="shared" si="131"/>
        <v>9.5497249543520317E-4</v>
      </c>
      <c r="DW69" s="4">
        <f t="shared" si="133"/>
        <v>-1.0011875816981645E-2</v>
      </c>
      <c r="DX69" s="4">
        <f t="shared" si="133"/>
        <v>-0.15730586638970101</v>
      </c>
      <c r="DY69" s="4">
        <f t="shared" si="108"/>
        <v>-2.0531351769063375E-2</v>
      </c>
      <c r="DZ69" s="4">
        <f t="shared" si="132"/>
        <v>-1.4187882572241043E-2</v>
      </c>
      <c r="EA69" s="4">
        <f t="shared" si="109"/>
        <v>-1.2214371044912381E-2</v>
      </c>
      <c r="EC69" s="1">
        <f t="shared" si="154"/>
        <v>21.866787033884389</v>
      </c>
      <c r="ED69" s="1">
        <f t="shared" si="155"/>
        <v>12.96302211586519</v>
      </c>
      <c r="EE69" s="1">
        <f t="shared" si="156"/>
        <v>7.2721101474679157</v>
      </c>
      <c r="EF69" s="1">
        <f t="shared" si="157"/>
        <v>5.022933109438962</v>
      </c>
      <c r="EG69" s="1">
        <f t="shared" si="158"/>
        <v>8.2012381178836176</v>
      </c>
      <c r="EH69" s="1">
        <f t="shared" si="159"/>
        <v>6.1499040392046282</v>
      </c>
      <c r="EI69" s="1">
        <f t="shared" si="160"/>
        <v>3.9230405859726485</v>
      </c>
      <c r="EJ69" s="1">
        <f t="shared" si="161"/>
        <v>8.3005550971317099</v>
      </c>
      <c r="EK69" s="1">
        <f t="shared" si="162"/>
        <v>19.003593405835741</v>
      </c>
      <c r="EL69" s="1">
        <f t="shared" si="163"/>
        <v>4.0928964257498146</v>
      </c>
      <c r="EM69" s="1">
        <f t="shared" si="164"/>
        <v>1.2472168460887034</v>
      </c>
      <c r="EN69" s="1">
        <f t="shared" si="165"/>
        <v>3.82182437277006</v>
      </c>
      <c r="EO69" s="1">
        <f t="shared" si="166"/>
        <v>4.5501049301761878</v>
      </c>
      <c r="EP69" s="1">
        <f t="shared" si="167"/>
        <v>6.370757445497814</v>
      </c>
      <c r="EQ69" s="1">
        <f t="shared" si="168"/>
        <v>4.9087926852445083</v>
      </c>
      <c r="ES69" s="1">
        <f>IF(EF$26=".", 0, 'Summary, PPI''s'!E69)+IF(EG$26=".", 0, 'Summary, PPI''s'!F69)+IF(EH$26=".", 0, 'Summary, PPI''s'!G69)+IF(EI$26=".", 0, 'Summary, PPI''s'!H69)+IF(EJ$26=".", 0, 'Summary, PPI''s'!I69)+IF(EK$26=".", 0, 'Summary, PPI''s'!J69)+IF(EL$26=".", 0, 'Summary, PPI''s'!K69)+IF(EM$26=".", 0, 'Summary, PPI''s'!L69)+IF(EN$26=".", 0, 'Summary, PPI''s'!M69)+IF(EC$26=".", 0, 'Summary, PPI''s'!B69)+IF(ED$26=".", 0, 'Summary, PPI''s'!C69)+IF(EE$26=".", 0, 'Summary, PPI''s'!D69)+IF(EO$26=".", 0, 'Summary, PPI''s'!N69)+IF(EP$26=".", 0, 'Summary, PPI''s'!O69)+IF(EQ$26=".", 0, 'Summary, PPI''s'!P69)</f>
        <v>8108686.1494629486</v>
      </c>
      <c r="ET69" s="1">
        <f>'Summary, hourly ad costs'!E69+'Summary, hourly ad costs'!F69+'Summary, hourly ad costs'!H69+'Summary, hourly ad costs'!I69+'Summary, hourly ad costs'!J69+'Summary, hourly ad costs'!K69+'Summary, hourly ad costs'!L69+'Summary, hourly ad costs'!M69+'Summary, hourly ad costs'!B69</f>
        <v>4944968.8692518743</v>
      </c>
      <c r="EV69" s="13">
        <f>EV68*IF(EF$26=".", 1, (EF69/EF68)^(('Summary, PPI''s'!$E69+'Summary, PPI''s'!$E68)/('Predicted PPIs'!ES69+'Predicted PPIs'!ES68)))*IF(EG$26=".", 1, (EG69/EG68)^(('Summary, PPI''s'!$F69+'Summary, PPI''s'!$F68)/('Predicted PPIs'!ES69+'Predicted PPIs'!ES68)))*IF(EH$26=".", 1, (EH69/EH68)^(('Summary, PPI''s'!$G69+'Summary, PPI''s'!$G68)/('Predicted PPIs'!ES69+'Predicted PPIs'!ES68)))*IF(EI$26=".", 1, (EI69/EI68)^(('Summary, PPI''s'!$H69+'Summary, PPI''s'!$H68)/('Predicted PPIs'!ES69+'Predicted PPIs'!ES68)))*IF(EJ$26=".", 1, (EJ69/EJ68)^(('Summary, PPI''s'!$I69+'Summary, PPI''s'!$I68)/('Predicted PPIs'!ES69+'Predicted PPIs'!ES68)))*IF(EK$26=".", 1, (EK69/EK68)^(('Summary, PPI''s'!$J69+'Summary, PPI''s'!$J68)/('Predicted PPIs'!ES69+'Predicted PPIs'!ES68)))*IF(EL$26=".", 1, (EL69/EL68)^(('Summary, PPI''s'!$K69+'Summary, PPI''s'!$K68)/('Predicted PPIs'!ES69+'Predicted PPIs'!ES68)))*IF(EM$26=".", 1, (EM69/EM68)^(('Summary, PPI''s'!$L69+'Summary, PPI''s'!$L68)/('Predicted PPIs'!ES69+'Predicted PPIs'!ES68)))*IF(EN$26=".", 1, (EN69/EN68)^(('Summary, PPI''s'!$M69+'Summary, PPI''s'!$M68)/('Predicted PPIs'!ES69+'Predicted PPIs'!ES68)))*IF(EC$26=".", 1, (EC69/EC68)^(('Summary, PPI''s'!$B69+'Summary, PPI''s'!$B68)/('Predicted PPIs'!ES69+'Predicted PPIs'!ES68)))*IF(ED$26=".", 1, (ED69/ED68)^(('Summary, PPI''s'!$C69+'Summary, PPI''s'!$C68)/('Predicted PPIs'!ES69+'Predicted PPIs'!ES68)))*IF(EE$26=".", 1, (EE69/EE68)^(('Summary, PPI''s'!$D69+'Summary, PPI''s'!$D68)/('Predicted PPIs'!ES69+'Predicted PPIs'!ES68)))*IF(EO$26=".", 1, (EO69/EO68)^(('Summary, PPI''s'!$N69+'Summary, PPI''s'!$N68)/('Predicted PPIs'!ES69+'Predicted PPIs'!ES68)))*IF(EP$26=".", 1, (EP69/EP68)^(('Summary, PPI''s'!$O69+'Summary, PPI''s'!$O68)/('Predicted PPIs'!ES69+'Predicted PPIs'!ES68)))*IF(EQ$26=".", 1, (EQ69/EQ68)^(('Summary, PPI''s'!$P69+'Summary, PPI''s'!$P68)/('Predicted PPIs'!ES69+'Predicted PPIs'!ES68)))</f>
        <v>8.1414482369897438</v>
      </c>
      <c r="EW69" s="13">
        <f>EW68*IF(EF$26=".", 1, (EF69/EF68)^(('Summary, PPI''s'!$E69+'Summary, PPI''s'!$E68)/('Predicted PPIs'!ET69+'Predicted PPIs'!ET68)))*IF(EG$26=".", 1, (EG69/EG68)^(('Summary, PPI''s'!$F69+'Summary, PPI''s'!$F68)/('Predicted PPIs'!ET69+'Predicted PPIs'!ET68)))*IF(EH$26=".", 1, (EH69/EH68)^(('Summary, PPI''s'!$G69+'Summary, PPI''s'!$G68)/('Predicted PPIs'!ET69+'Predicted PPIs'!ET68)))*IF(EK$26=".", 1, (EK69/EK68)^(('Summary, PPI''s'!$J69+'Summary, PPI''s'!$J68)/('Predicted PPIs'!ET69+'Predicted PPIs'!ET68)))*IF(EL$26=".", 1, (EL69/EL68)^(('Summary, PPI''s'!$K69+'Summary, PPI''s'!$K68)/('Predicted PPIs'!ET69+'Predicted PPIs'!ET68)))*IF(EM$26=".", 1, (EM69/EM68)^(('Summary, PPI''s'!$L69+'Summary, PPI''s'!$L68)/('Predicted PPIs'!ET69+'Predicted PPIs'!ET68)))*IF(EN$26=".", 1, (EN69/EN68)^(('Summary, PPI''s'!$M69+'Summary, PPI''s'!$M68)/('Predicted PPIs'!ET69+'Predicted PPIs'!ET68)))*IF(EC$26=".", 1, (EC69/EC68)^(('Summary, PPI''s'!$B69+'Summary, PPI''s'!$B68)/('Predicted PPIs'!ET69+'Predicted PPIs'!ET68)))</f>
        <v>11.033915911961195</v>
      </c>
      <c r="EY69" s="2"/>
    </row>
    <row r="70" spans="1:155" x14ac:dyDescent="0.3">
      <c r="A70" s="4">
        <v>1953</v>
      </c>
      <c r="B70" s="10">
        <f>IF(B69=".", ".", IF('Summary, PPI''s'!R70=".",IF(OR('Summary, hourly ad costs'!R70=-9999,'Summary, hourly ad costs'!R70=0), ".", 'Predicted PPIs'!B69*('Summary, hourly ad costs'!B70/'Summary, hourly ad costs'!R70)/('Summary, hourly ad costs'!B69/'Summary, hourly ad costs'!R69)), 'Summary, PPI''s'!R70))</f>
        <v>27.746270973224217</v>
      </c>
      <c r="C70" s="10" t="str">
        <f>IF(C69=".", ".", IF('Summary, PPI''s'!S70=".",IF(OR('Summary, hourly ad costs'!S70=-9999,'Summary, hourly ad costs'!S70=0), ".", 'Predicted PPIs'!C69*('Summary, hourly ad costs'!C70/'Summary, hourly ad costs'!S70)/('Summary, hourly ad costs'!C69/'Summary, hourly ad costs'!S69)), 'Summary, PPI''s'!S70))</f>
        <v>.</v>
      </c>
      <c r="D70" s="10" t="str">
        <f>IF(D69=".", ".", IF('Summary, PPI''s'!T70=".",IF(OR('Summary, hourly ad costs'!T70=-9999,'Summary, hourly ad costs'!T70=0), ".", 'Predicted PPIs'!D69*('Summary, hourly ad costs'!D70/'Summary, hourly ad costs'!T70)/('Summary, hourly ad costs'!D69/'Summary, hourly ad costs'!T69)), 'Summary, PPI''s'!T70))</f>
        <v>.</v>
      </c>
      <c r="E70" s="10">
        <f>IF(E69=".", ".", IF('Summary, PPI''s'!U70=".",IF(OR('Summary, hourly ad costs'!U70=-9999,'Summary, hourly ad costs'!U70=0), ".", 'Predicted PPIs'!E69*('Summary, hourly ad costs'!E70/'Summary, hourly ad costs'!U70)/('Summary, hourly ad costs'!E69/'Summary, hourly ad costs'!U69)), 'Summary, PPI''s'!U70))</f>
        <v>4.5537628042522309</v>
      </c>
      <c r="F70" s="10">
        <f>IF(F69=".", ".", IF('Summary, PPI''s'!V70=".",IF(OR('Summary, hourly ad costs'!V70=-9999,'Summary, hourly ad costs'!V70=0), ".", 'Predicted PPIs'!F69*('Summary, hourly ad costs'!F70/'Summary, hourly ad costs'!V70)/('Summary, hourly ad costs'!F69/'Summary, hourly ad costs'!V69)), 'Summary, PPI''s'!V70))</f>
        <v>7.518178681043258</v>
      </c>
      <c r="G70" s="10" t="str">
        <f>IF(G69=".", ".", IF('Summary, PPI''s'!W70=".",IF(OR('Summary, hourly ad costs'!W70=-9999,'Summary, hourly ad costs'!W70=0), ".", 'Predicted PPIs'!G69*('Summary, hourly ad costs'!G70/'Summary, hourly ad costs'!W70)/('Summary, hourly ad costs'!G69/'Summary, hourly ad costs'!W69)), 'Summary, PPI''s'!W70))</f>
        <v>.</v>
      </c>
      <c r="H70" s="10">
        <f>IF(H69=".", ".", IF('Summary, PPI''s'!X70=".",IF(OR('Summary, hourly ad costs'!X70=-9999,'Summary, hourly ad costs'!X70=0), ".", 'Predicted PPIs'!H69*('Summary, hourly ad costs'!H70/'Summary, hourly ad costs'!X70)/('Summary, hourly ad costs'!H69/'Summary, hourly ad costs'!X69)), 'Summary, PPI''s'!X70))</f>
        <v>5.4314323954453769</v>
      </c>
      <c r="I70" s="10">
        <f>IF(I69=".", ".", IF('Summary, PPI''s'!Y70=".",IF(OR('Summary, hourly ad costs'!Y70=-9999,'Summary, hourly ad costs'!Y70=0), ".", 'Predicted PPIs'!I69*('Summary, hourly ad costs'!I70/'Summary, hourly ad costs'!Y70)/('Summary, hourly ad costs'!I69/'Summary, hourly ad costs'!Y69)), 'Summary, PPI''s'!Y70))</f>
        <v>7.7395283551455787</v>
      </c>
      <c r="J70" s="10">
        <f>IF(J69=".", ".", IF('Summary, PPI''s'!Z70=".",IF(OR('Summary, hourly ad costs'!Z70=-9999,'Summary, hourly ad costs'!Z70=0), ".", 'Predicted PPIs'!J69*('Summary, hourly ad costs'!J70/'Summary, hourly ad costs'!Z70)/('Summary, hourly ad costs'!J69/'Summary, hourly ad costs'!Z69)), 'Summary, PPI''s'!Z70))</f>
        <v>13.095313275655187</v>
      </c>
      <c r="K70" s="10" t="str">
        <f>IF(K69=".", ".", IF('Summary, PPI''s'!AA70=".",IF(OR('Summary, hourly ad costs'!AA70=-9999,'Summary, hourly ad costs'!AA70=0), ".", 'Predicted PPIs'!K69*('Summary, hourly ad costs'!K70/'Summary, hourly ad costs'!AA70)/('Summary, hourly ad costs'!K69/'Summary, hourly ad costs'!AA69)), 'Summary, PPI''s'!AA70))</f>
        <v>.</v>
      </c>
      <c r="L70" s="10" t="str">
        <f>IF(L69=".", ".", IF('Summary, PPI''s'!AB70=".",IF(OR('Summary, hourly ad costs'!AB70=-9999,'Summary, hourly ad costs'!AB70=0), ".", 'Predicted PPIs'!L69*('Summary, hourly ad costs'!L70/'Summary, hourly ad costs'!AB70)/('Summary, hourly ad costs'!L69/'Summary, hourly ad costs'!AB69)), 'Summary, PPI''s'!AB70))</f>
        <v>.</v>
      </c>
      <c r="M70" s="10" t="str">
        <f>IF(M69=".", ".", IF('Summary, PPI''s'!AC70=".",IF(OR('Summary, hourly ad costs'!AC70=-9999,'Summary, hourly ad costs'!AC70=0), ".", 'Predicted PPIs'!M69*('Summary, hourly ad costs'!M70/'Summary, hourly ad costs'!AC70)/('Summary, hourly ad costs'!M69/'Summary, hourly ad costs'!AC69)), 'Summary, PPI''s'!AC70))</f>
        <v>.</v>
      </c>
      <c r="N70" s="10" t="str">
        <f>IF(N69=".", ".", IF('Summary, PPI''s'!AD70=".",IF(OR('Summary, hourly ad costs'!AD70=-9999,'Summary, hourly ad costs'!AD70=0), ".", 'Predicted PPIs'!N69*('Summary, hourly ad costs'!N70/'Summary, hourly ad costs'!AD70)/('Summary, hourly ad costs'!N69/'Summary, hourly ad costs'!AD69)), 'Summary, PPI''s'!AD70))</f>
        <v>.</v>
      </c>
      <c r="O70" s="10" t="str">
        <f>IF(O69=".", ".", IF('Summary, PPI''s'!AE70=".",IF(OR('Summary, hourly ad costs'!AE70=-9999,'Summary, hourly ad costs'!AE70=0), ".", 'Predicted PPIs'!O69*('Summary, hourly ad costs'!O70/'Summary, hourly ad costs'!AE70)/('Summary, hourly ad costs'!O69/'Summary, hourly ad costs'!AE69)), 'Summary, PPI''s'!AE70))</f>
        <v>.</v>
      </c>
      <c r="P70" s="10" t="str">
        <f>IF(P69=".", ".", IF('Summary, PPI''s'!AF70=".",IF(OR('Summary, hourly ad costs'!AF70=-9999,'Summary, hourly ad costs'!AF70=0), ".", 'Predicted PPIs'!P69*('Summary, hourly ad costs'!P70/'Summary, hourly ad costs'!AF70)/('Summary, hourly ad costs'!P69/'Summary, hourly ad costs'!AF69)), 'Summary, PPI''s'!AF70))</f>
        <v>.</v>
      </c>
      <c r="R70" s="1">
        <f>IF(E$26=".", 0, 'Summary, PPI''s'!E70)+IF(F$26=".", 0, 'Summary, PPI''s'!F70)+IF(G$26=".", 0, 'Summary, PPI''s'!G70)+IF(H$26=".", 0, 'Summary, PPI''s'!H70)+IF(I$26=".", 0, 'Summary, PPI''s'!I70)+IF(J$26=".", 0, 'Summary, PPI''s'!J70)+IF(K$26=".", 0, 'Summary, PPI''s'!K70)+IF(L$26=".", 0, 'Summary, PPI''s'!L70)+IF(M$26=".", 0, 'Summary, PPI''s'!M70)+IF(B$26=".", 0, 'Summary, PPI''s'!B70)+IF(C$26=".", 0, 'Summary, PPI''s'!C70)+IF(D$26=".", 0, 'Summary, PPI''s'!D70)+IF(N$26=".", 0, 'Summary, PPI''s'!N70)+IF(O$26=".", 0, 'Summary, PPI''s'!O70)+IF(P$26=".", 0, 'Summary, PPI''s'!P70)</f>
        <v>7824400.7385419747</v>
      </c>
      <c r="S70" s="1">
        <f>IF(E$36=".", 0, 'Summary, PPI''s'!E70)+IF(F$36=".", 0, 'Summary, PPI''s'!F70)+IF(G$36=".", 0, 'Summary, PPI''s'!G70)+IF(H$36=".", 0, 'Summary, PPI''s'!H70)+IF(I$36=".", 0, 'Summary, PPI''s'!I70)+IF(J$36=".", 0, 'Summary, PPI''s'!J70)+IF(K$36=".", 0, 'Summary, PPI''s'!K70)+IF(L$36=".", 0, 'Summary, PPI''s'!L70)+IF(M$36=".", 0, 'Summary, PPI''s'!M70)+IF(B$36=".", 0, 'Summary, PPI''s'!B70)+IF(C$36=".", 0, 'Summary, PPI''s'!C70)+IF(D$36=".", 0, 'Summary, PPI''s'!D70)+IF(N$36=".", 0, 'Summary, PPI''s'!N70)+IF(O$36=".", 0, 'Summary, PPI''s'!O70)+IF(P$36=".", 0, 'Summary, PPI''s'!P70)</f>
        <v>7824400.7385419747</v>
      </c>
      <c r="T70" s="1">
        <f>IF(E$46=".", 0, 'Summary, PPI''s'!E70)+IF(F$46=".", 0, 'Summary, PPI''s'!F70)+IF(G$46=".", 0, 'Summary, PPI''s'!G70)+IF(H$46=".", 0, 'Summary, PPI''s'!H70)+IF(I$46=".", 0, 'Summary, PPI''s'!I70)+IF(J$46=".", 0, 'Summary, PPI''s'!J70)+IF(K$46=".", 0, 'Summary, PPI''s'!K70)+IF(L$46=".", 0, 'Summary, PPI''s'!L70)+IF(M$46=".", 0, 'Summary, PPI''s'!M70)+IF(B$46=".", 0, 'Summary, PPI''s'!B70)+IF(C$46=".", 0, 'Summary, PPI''s'!C70)+IF(D$46=".", 0, 'Summary, PPI''s'!D70)+IF(N$46=".", 0, 'Summary, PPI''s'!N70)+IF(O$46=".", 0, 'Summary, PPI''s'!O70)+IF(P$46=".", 0, 'Summary, PPI''s'!P70)</f>
        <v>6020251.9471809613</v>
      </c>
      <c r="U70" s="1">
        <f>IF(E$60=".", 0, 'Summary, PPI''s'!E70)+IF(F$60=".", 0, 'Summary, PPI''s'!F70)+IF(G$60=".", 0, 'Summary, PPI''s'!G70)+IF(H$60=".", 0, 'Summary, PPI''s'!H70)+IF(I$60=".", 0, 'Summary, PPI''s'!I70)+IF(J$60=".", 0, 'Summary, PPI''s'!J70)+IF(K$60=".", 0, 'Summary, PPI''s'!K70)+IF(L$60=".", 0, 'Summary, PPI''s'!L70)+IF(M$60=".", 0, 'Summary, PPI''s'!M70)+IF(B$60=".", 0, 'Summary, PPI''s'!B70)+IF(C$60=".", 0, 'Summary, PPI''s'!C70)+IF(D$60=".", 0, 'Summary, PPI''s'!D70)+IF(N$60=".", 0, 'Summary, PPI''s'!N70)+IF(O$60=".", 0, 'Summary, PPI''s'!O70)+IF(P$60=".", 0, 'Summary, PPI''s'!P70)</f>
        <v>5468270.5369056016</v>
      </c>
      <c r="V70" s="1">
        <f>IF(E$73=".", 0, 'Summary, PPI''s'!E70)+IF(F$73=".", 0, 'Summary, PPI''s'!F70)+IF(G$73=".", 0, 'Summary, PPI''s'!G70)+IF(H$73=".", 0, 'Summary, PPI''s'!H70)+IF(I$73=".", 0, 'Summary, PPI''s'!I70)+IF(J$73=".", 0, 'Summary, PPI''s'!J70)+IF(K$73=".", 0, 'Summary, PPI''s'!K70)+IF(L$73=".", 0, 'Summary, PPI''s'!L70)+IF(M$73=".", 0, 'Summary, PPI''s'!M70)+IF(B$73=".", 0, 'Summary, PPI''s'!B70)+IF(C$73=".", 0, 'Summary, PPI''s'!C70)+IF(D$73=".", 0, 'Summary, PPI''s'!D70)+IF(N$73=".", 0, 'Summary, PPI''s'!N70)+IF(O$73=".", 0, 'Summary, PPI''s'!O70)+IF(P$73=".", 0, 'Summary, PPI''s'!P70)</f>
        <v>4762572.7419201108</v>
      </c>
      <c r="W70" s="1">
        <f>IF(E$94=".",0,'Summary, PPI''s'!E70)+IF(F$94=".",0,'Summary, PPI''s'!F70)+IF(G$94=".",0,'Summary, PPI''s'!G70)+IF(H$94=".",0,'Summary, PPI''s'!H70)+IF(I$94=".",0,'Summary, PPI''s'!I70)+IF(J$94=".",0,'Summary, PPI''s'!J70)+IF(K$94=".",0,'Summary, PPI''s'!K70)+IF(L$94=".",0,'Summary, PPI''s'!L70)+IF(M$94=".",0,'Summary, PPI''s'!M70)+IF(B$94=".",0,'Summary, PPI''s'!B70)+IF(C$94=".",0,'Summary, PPI''s'!C70)+IF(D$94=".",0,'Summary, PPI''s'!D70)+IF(N$94=".",0,'Summary, PPI''s'!N70)+IF(O$94=".",0,'Summary, PPI''s'!O70)+IF(P$94=".",0,'Summary, PPI''s'!P70)</f>
        <v>4308796.575437597</v>
      </c>
      <c r="X70" s="1">
        <f>IF(E$123=".", 0, 'Summary, PPI''s'!E70)+IF(F$123=".", 0, 'Summary, PPI''s'!F70)+IF(G$123=".", 0, 'Summary, PPI''s'!G70)+IF(H$123=".", 0, 'Summary, PPI''s'!H70)+IF(I$123=".", 0, 'Summary, PPI''s'!I70)+IF(J$123=".", 0, 'Summary, PPI''s'!J70)+IF(K$123=".", 0, 'Summary, PPI''s'!K70)+IF(L$123=".", 0, 'Summary, PPI''s'!L70)+IF(M$123=".", 0, 'Summary, PPI''s'!M70)+IF(B$123=".", 0, 'Summary, PPI''s'!B70)+IF(C$123=".", 0, 'Summary, PPI''s'!C70)+IF(D$123=".", 0, 'Summary, PPI''s'!D70)+IF(N$123=".", 0, 'Summary, PPI''s'!N70)+IF(O$123=".", 0, 'Summary, PPI''s'!O70)+IF(P$123=".", 0, 'Summary, PPI''s'!P70)</f>
        <v>3821045.5194675215</v>
      </c>
      <c r="Z70" s="4" t="e">
        <f>Z69*IF(E$26=".", 1, (E70/E69)^(('Summary, PPI''s'!$E70+'Summary, PPI''s'!$E69)/('Predicted PPIs'!R70+'Predicted PPIs'!R69)))*IF(F$26=".", 1, (F70/F69)^(('Summary, PPI''s'!$F70+'Summary, PPI''s'!$F69)/('Predicted PPIs'!R70+'Predicted PPIs'!R69)))*IF(G$26=".", 1, (G70/G69)^(('Summary, PPI''s'!$G70+'Summary, PPI''s'!$G69)/('Predicted PPIs'!R70+'Predicted PPIs'!R69)))*IF(H$26=".", 1, (H70/H69)^(('Summary, PPI''s'!$H70+'Summary, PPI''s'!$H69)/('Predicted PPIs'!R70+'Predicted PPIs'!R69)))*IF(I$26=".", 1, (I70/I69)^(('Summary, PPI''s'!$I70+'Summary, PPI''s'!$I69)/('Predicted PPIs'!R70+'Predicted PPIs'!R69)))*IF(J$26=".", 1, (J70/J69)^(('Summary, PPI''s'!$J70+'Summary, PPI''s'!$J69)/('Predicted PPIs'!R70+'Predicted PPIs'!R69)))*IF(K$26=".", 1, (K70/K69)^(('Summary, PPI''s'!$K70+'Summary, PPI''s'!$K69)/('Predicted PPIs'!R70+'Predicted PPIs'!R69)))*IF(L$26=".", 1, (L70/L69)^(('Summary, PPI''s'!$L70+'Summary, PPI''s'!$L69)/('Predicted PPIs'!R70+'Predicted PPIs'!R69)))*IF(M$26=".", 1, (M70/M69)^(('Summary, PPI''s'!$M70+'Summary, PPI''s'!$M69)/('Predicted PPIs'!R70+'Predicted PPIs'!R69)))*IF(B$26=".", 1, (B70/B69)^(('Summary, PPI''s'!$B70+'Summary, PPI''s'!$B69)/('Predicted PPIs'!R70+'Predicted PPIs'!R69)))*IF(C$26=".", 1, (C70/C69)^(('Summary, PPI''s'!$C70+'Summary, PPI''s'!$C69)/('Predicted PPIs'!R70+'Predicted PPIs'!R69)))*IF(D$26=".", 1, (D70/D69)^(('Summary, PPI''s'!$D70+'Summary, PPI''s'!$D69)/('Predicted PPIs'!R70+'Predicted PPIs'!R69)))*IF(N$26=".", 1, (N70/N69)^(('Summary, PPI''s'!$N70+'Summary, PPI''s'!$N69)/('Predicted PPIs'!R70+'Predicted PPIs'!R69)))*IF(O$26=".", 1, (O70/O69)^(('Summary, PPI''s'!$O70+'Summary, PPI''s'!$O69)/('Predicted PPIs'!R70+'Predicted PPIs'!R69)))*IF(P$26=".", 1, (P70/P69)^(('Summary, PPI''s'!$P70+'Summary, PPI''s'!$P69)/('Predicted PPIs'!R70+'Predicted PPIs'!R69)))</f>
        <v>#VALUE!</v>
      </c>
      <c r="AA70" s="4" t="e">
        <f>AA69*IF(E$36=".", 1, (E70/E69)^(('Summary, PPI''s'!$E70+'Summary, PPI''s'!$E69)/('Predicted PPIs'!S70+'Predicted PPIs'!S69)))*IF(F$36=".", 1, (F70/F69)^(('Summary, PPI''s'!$F70+'Summary, PPI''s'!$F69)/('Predicted PPIs'!S70+'Predicted PPIs'!S69)))*IF(G$36=".", 1, (G70/G69)^(('Summary, PPI''s'!$G70+'Summary, PPI''s'!$G69)/('Predicted PPIs'!S70+'Predicted PPIs'!S69)))*IF(H$36=".", 1, (H70/H69)^(('Summary, PPI''s'!$H70+'Summary, PPI''s'!$H69)/('Predicted PPIs'!S70+'Predicted PPIs'!S69)))*IF(I$36=".", 1, (I70/I69)^(('Summary, PPI''s'!$I70+'Summary, PPI''s'!$I69)/('Predicted PPIs'!S70+'Predicted PPIs'!S69)))*IF(J$36=".", 1, (J70/J69)^(('Summary, PPI''s'!$J70+'Summary, PPI''s'!$J69)/('Predicted PPIs'!S70+'Predicted PPIs'!S69)))*IF(K$36=".", 1, (K70/K69)^(('Summary, PPI''s'!$K70+'Summary, PPI''s'!$K69)/('Predicted PPIs'!S70+'Predicted PPIs'!S69)))*IF(L$36=".", 1, (L70/L69)^(('Summary, PPI''s'!$L70+'Summary, PPI''s'!$L69)/('Predicted PPIs'!S70+'Predicted PPIs'!S69)))*IF(M$36=".", 1, (M70/M69)^(('Summary, PPI''s'!$M70+'Summary, PPI''s'!$M69)/('Predicted PPIs'!S70+'Predicted PPIs'!S69)))*IF(B$36=".", 1, (B70/B69)^(('Summary, PPI''s'!$B70+'Summary, PPI''s'!$B69)/('Predicted PPIs'!S70+'Predicted PPIs'!S69)))*IF(C$36=".", 1, (C70/C69)^(('Summary, PPI''s'!$C70+'Summary, PPI''s'!$C69)/('Predicted PPIs'!S70+'Predicted PPIs'!S69)))*IF(D$36=".", 1, (D70/D69)^(('Summary, PPI''s'!$D70+'Summary, PPI''s'!$D69)/('Predicted PPIs'!S70+'Predicted PPIs'!S69)))*IF(N$36=".", 1, (N70/N69)^(('Summary, PPI''s'!$N70+'Summary, PPI''s'!$N69)/('Predicted PPIs'!S70+'Predicted PPIs'!S69)))*IF(O$36=".", 1, (O70/O69)^(('Summary, PPI''s'!$O70+'Summary, PPI''s'!$O69)/('Predicted PPIs'!S70+'Predicted PPIs'!S69)))*IF(P$36=".", 1, (P70/P69)^(('Summary, PPI''s'!$P70+'Summary, PPI''s'!$P69)/('Predicted PPIs'!S70+'Predicted PPIs'!S69)))</f>
        <v>#VALUE!</v>
      </c>
      <c r="AB70" s="4" t="e">
        <f>AB69*IF(E$46=".", 1, (E70/E69)^(('Summary, PPI''s'!$E70+'Summary, PPI''s'!$E69)/('Predicted PPIs'!T70+'Predicted PPIs'!T69)))*IF(F$46=".", 1, (F70/F69)^(('Summary, PPI''s'!$F70+'Summary, PPI''s'!$F69)/('Predicted PPIs'!T70+'Predicted PPIs'!T69)))*IF(G$46=".", 1, (G70/G69)^(('Summary, PPI''s'!$G70+'Summary, PPI''s'!$G69)/('Predicted PPIs'!T70+'Predicted PPIs'!T69)))*IF(H$46=".", 1, (H70/H69)^(('Summary, PPI''s'!$H70+'Summary, PPI''s'!$H69)/('Predicted PPIs'!T70+'Predicted PPIs'!T69)))*IF(I$46=".", 1, (I70/I69)^(('Summary, PPI''s'!$I70+'Summary, PPI''s'!$I69)/('Predicted PPIs'!T70+'Predicted PPIs'!T69)))*IF(J$46=".", 1, (J70/J69)^(('Summary, PPI''s'!$J70+'Summary, PPI''s'!$J69)/('Predicted PPIs'!T70+'Predicted PPIs'!T69)))*IF(K$46=".", 1, (K70/K69)^(('Summary, PPI''s'!$K70+'Summary, PPI''s'!$K69)/('Predicted PPIs'!T70+'Predicted PPIs'!T69)))*IF(L$46=".", 1, (L70/L69)^(('Summary, PPI''s'!$L70+'Summary, PPI''s'!$L69)/('Predicted PPIs'!T70+'Predicted PPIs'!T69)))*IF(M$46=".", 1, (M70/M69)^(('Summary, PPI''s'!$M70+'Summary, PPI''s'!$M69)/('Predicted PPIs'!T70+'Predicted PPIs'!T69)))*IF(B$46=".", 1, (B70/B69)^(('Summary, PPI''s'!$B70+'Summary, PPI''s'!$B69)/('Predicted PPIs'!T70+'Predicted PPIs'!T69)))*IF(C$46=".", 1, (C70/C69)^(('Summary, PPI''s'!$C70+'Summary, PPI''s'!$C69)/('Predicted PPIs'!T70+'Predicted PPIs'!T69)))*IF(D$46=".", 1, (D70/D69)^(('Summary, PPI''s'!$D70+'Summary, PPI''s'!$D69)/('Predicted PPIs'!T70+'Predicted PPIs'!T69)))*IF(N$46=".", 1, (N70/N69)^(('Summary, PPI''s'!$N70+'Summary, PPI''s'!$N69)/('Predicted PPIs'!T70+'Predicted PPIs'!T69)))*IF(O$46=".", 1, (O70/O69)^(('Summary, PPI''s'!$O70+'Summary, PPI''s'!$O69)/('Predicted PPIs'!T70+'Predicted PPIs'!T69)))*IF(P$46=".", 1, (P70/P69)^(('Summary, PPI''s'!$P70+'Summary, PPI''s'!$P69)/('Predicted PPIs'!T70+'Predicted PPIs'!T69)))</f>
        <v>#VALUE!</v>
      </c>
      <c r="AC70" s="4" t="e">
        <f>AC69*IF(E$60=".",1,(E70/E69)^(('Summary, PPI''s'!$E70+'Summary, PPI''s'!$E69)/('Predicted PPIs'!U70+'Predicted PPIs'!U69)))*IF(F$60=".",1,(F70/F69)^(('Summary, PPI''s'!$F70+'Summary, PPI''s'!$F69)/('Predicted PPIs'!U70+'Predicted PPIs'!U69)))*IF(G$60=".",1,(G70/G69)^(('Summary, PPI''s'!$G70+'Summary, PPI''s'!$G69)/('Predicted PPIs'!U70+'Predicted PPIs'!U69)))*IF(H$60=".",1,(H70/H69)^(('Summary, PPI''s'!$H70+'Summary, PPI''s'!$H69)/('Predicted PPIs'!U70+'Predicted PPIs'!U69)))*IF(I$60=".",1,(I70/I69)^(('Summary, PPI''s'!$I70+'Summary, PPI''s'!$I69)/('Predicted PPIs'!U70+'Predicted PPIs'!U69)))*IF(J$60=".",1,(J70/J69)^(('Summary, PPI''s'!$J70+'Summary, PPI''s'!$J69)/('Predicted PPIs'!U70+'Predicted PPIs'!U69)))*IF(K$60=".",1,(K70/K69)^(('Summary, PPI''s'!$K70+'Summary, PPI''s'!$K69)/('Predicted PPIs'!U70+'Predicted PPIs'!U69)))*IF(L$60=".",1,(L70/L69)^(('Summary, PPI''s'!$L70+'Summary, PPI''s'!$L69)/('Predicted PPIs'!U70+'Predicted PPIs'!U69)))*IF(M$60=".",1,(M70/M69)^(('Summary, PPI''s'!$M70+'Summary, PPI''s'!$M69)/('Predicted PPIs'!U70+'Predicted PPIs'!U69)))*IF(B$60=".",1,(B70/B69)^(('Summary, PPI''s'!$B70+'Summary, PPI''s'!$B69)/('Predicted PPIs'!U70+'Predicted PPIs'!U69)))*IF(C$60=".",1,(C70/C69)^(('Summary, PPI''s'!$C70+'Summary, PPI''s'!$C69)/('Predicted PPIs'!U70+'Predicted PPIs'!U69)))*IF(D$60=".",1,(D70/D69)^(('Summary, PPI''s'!$D70+'Summary, PPI''s'!$D69)/('Predicted PPIs'!U70+'Predicted PPIs'!U69)))*IF(N$60=".",1,(N70/N69)^(('Summary, PPI''s'!$N70+'Summary, PPI''s'!$N69)/('Predicted PPIs'!U70+'Predicted PPIs'!U69)))*IF(O$60=".",1,(O70/O69)^(('Summary, PPI''s'!$O70+'Summary, PPI''s'!$O69)/('Predicted PPIs'!U70+'Predicted PPIs'!U69)))*IF(P$60=".",1,(P70/P69)^(('Summary, PPI''s'!$P70+'Summary, PPI''s'!$P69)/('Predicted PPIs'!U70+'Predicted PPIs'!U69)))</f>
        <v>#VALUE!</v>
      </c>
      <c r="AD70" s="4">
        <f>AD69*IF(E$73=".", 1, (E70/E69)^(('Summary, PPI''s'!$E70+'Summary, PPI''s'!$E69)/('Predicted PPIs'!V70+'Predicted PPIs'!V69)))*IF(F$73=".", 1, (F70/F69)^(('Summary, PPI''s'!$F70+'Summary, PPI''s'!$F69)/('Predicted PPIs'!V70+'Predicted PPIs'!V69)))*IF(G$73=".", 1, (G70/G69)^(('Summary, PPI''s'!$G70+'Summary, PPI''s'!$G69)/('Predicted PPIs'!V70+'Predicted PPIs'!V69)))*IF(H$73=".", 1, (H70/H69)^(('Summary, PPI''s'!$H70+'Summary, PPI''s'!$H69)/('Predicted PPIs'!V70+'Predicted PPIs'!V69)))*IF(I$73=".", 1, (I70/I69)^(('Summary, PPI''s'!$I70+'Summary, PPI''s'!$I69)/('Predicted PPIs'!V70+'Predicted PPIs'!V69)))*IF(J$73=".", 1, (J70/J69)^(('Summary, PPI''s'!$J70+'Summary, PPI''s'!$J69)/('Predicted PPIs'!V70+'Predicted PPIs'!V69)))*IF(K$73=".", 1, (K70/K69)^(('Summary, PPI''s'!$K70+'Summary, PPI''s'!$K69)/('Predicted PPIs'!V70+'Predicted PPIs'!V69)))*IF(L$73=".", 1, (L70/L69)^(('Summary, PPI''s'!$L70+'Summary, PPI''s'!$L69)/('Predicted PPIs'!V70+'Predicted PPIs'!V69)))*IF(M$73=".", 1, (M70/M69)^(('Summary, PPI''s'!$M70+'Summary, PPI''s'!$M69)/('Predicted PPIs'!V70+'Predicted PPIs'!V69)))*IF(B$73=".", 1, (B70/B69)^(('Summary, PPI''s'!$B70+'Summary, PPI''s'!$B69)/('Predicted PPIs'!V70+'Predicted PPIs'!V69)))*IF(C$73=".", 1, (C70/C69)^(('Summary, PPI''s'!$C70+'Summary, PPI''s'!$C69)/('Predicted PPIs'!V70+'Predicted PPIs'!V69)))*IF(D$73=".", 1, (D70/D69)^(('Summary, PPI''s'!$D70+'Summary, PPI''s'!$D69)/('Predicted PPIs'!V70+'Predicted PPIs'!V69)))*IF(N$73=".", 1, (N70/N69)^(('Summary, PPI''s'!$N70+'Summary, PPI''s'!$N69)/('Predicted PPIs'!V70+'Predicted PPIs'!V69)))*IF(O$73=".", 1, (O70/O69)^(('Summary, PPI''s'!$O70+'Summary, PPI''s'!$O69)/('Predicted PPIs'!V70+'Predicted PPIs'!V69)))*IF(P$73=".", 1, (P70/P69)^(('Summary, PPI''s'!$P70+'Summary, PPI''s'!$P69)/('Predicted PPIs'!V70+'Predicted PPIs'!V69)))</f>
        <v>7.9625720135078435</v>
      </c>
      <c r="AE70" s="4">
        <f>AE69*IF(E$94=".", 1, (E70/E69)^(('Summary, PPI''s'!$E70+'Summary, PPI''s'!$E69)/('Predicted PPIs'!W70+'Predicted PPIs'!W69)))*IF(F$94=".", 1, (F70/F69)^(('Summary, PPI''s'!$F70+'Summary, PPI''s'!$F69)/('Predicted PPIs'!W70+'Predicted PPIs'!W69)))*IF(G$94=".", 1, (G70/G69)^(('Summary, PPI''s'!$G70+'Summary, PPI''s'!$G69)/('Predicted PPIs'!W70+'Predicted PPIs'!W69)))*IF(H$94=".", 1, (H70/H69)^(('Summary, PPI''s'!$H70+'Summary, PPI''s'!$H69)/('Predicted PPIs'!W70+'Predicted PPIs'!W69)))*IF(I$94=".", 1, (I70/I69)^(('Summary, PPI''s'!$I70+'Summary, PPI''s'!$I69)/('Predicted PPIs'!W70+'Predicted PPIs'!W69)))*IF(J$94=".", 1, (J70/J69)^(('Summary, PPI''s'!$J70+'Summary, PPI''s'!$J69)/('Predicted PPIs'!W70+'Predicted PPIs'!W69)))*IF(K$94=".", 1, (K70/K69)^(('Summary, PPI''s'!$K70+'Summary, PPI''s'!$K69)/('Predicted PPIs'!W70+'Predicted PPIs'!W69)))*IF(L$94=".", 1, (L70/L69)^(('Summary, PPI''s'!$L70+'Summary, PPI''s'!$L69)/('Predicted PPIs'!W70+'Predicted PPIs'!W69)))*IF(M$94=".", 1, (M70/M69)^(('Summary, PPI''s'!$M70+'Summary, PPI''s'!$M69)/('Predicted PPIs'!W70+'Predicted PPIs'!W69)))*IF(B$94=".", 1, (B70/B69)^(('Summary, PPI''s'!$B70+'Summary, PPI''s'!$B69)/('Predicted PPIs'!W70+'Predicted PPIs'!W69)))*IF(C$94=".", 1, (C70/C69)^(('Summary, PPI''s'!$C70+'Summary, PPI''s'!$C69)/('Predicted PPIs'!W70+'Predicted PPIs'!W69)))*IF(D$94=".", 1, (D70/D69)^(('Summary, PPI''s'!$D70+'Summary, PPI''s'!$D69)/('Predicted PPIs'!W70+'Predicted PPIs'!W69)))*IF(N$94=".", 1, (N70/N69)^(('Summary, PPI''s'!$N70+'Summary, PPI''s'!$N69)/('Predicted PPIs'!W70+'Predicted PPIs'!W69)))*IF(O$94=".", 1, (O70/O69)^(('Summary, PPI''s'!$O70+'Summary, PPI''s'!$O69)/('Predicted PPIs'!W70+'Predicted PPIs'!W69)))*IF(P$94=".", 1, (P70/P69)^(('Summary, PPI''s'!$P70+'Summary, PPI''s'!$P69)/('Predicted PPIs'!W70+'Predicted PPIs'!W69)))</f>
        <v>6.8633623623733238</v>
      </c>
      <c r="AF70" s="4">
        <f>AF69*IF(E$123=".", 1, (E70/E69)^(('Summary, PPI''s'!$E70+'Summary, PPI''s'!$E69)/('Predicted PPIs'!X70+'Predicted PPIs'!X69)))*IF(F$123=".", 1, (F70/F69)^(('Summary, PPI''s'!$F70+'Summary, PPI''s'!$F69)/('Predicted PPIs'!X70+'Predicted PPIs'!X69)))*IF(G$123=".", 1, (G70/G69)^(('Summary, PPI''s'!$G70+'Summary, PPI''s'!$G69)/('Predicted PPIs'!X70+'Predicted PPIs'!X69)))*IF(H$123=".", 1, (H70/H69)^(('Summary, PPI''s'!$H70+'Summary, PPI''s'!$H69)/('Predicted PPIs'!X70+'Predicted PPIs'!X69)))*IF(I$123=".", 1, (I70/I69)^(('Summary, PPI''s'!$I70+'Summary, PPI''s'!$I69)/('Predicted PPIs'!X70+'Predicted PPIs'!X69)))*IF(J$123=".", 1, (J70/J69)^(('Summary, PPI''s'!$J70+'Summary, PPI''s'!$J69)/('Predicted PPIs'!X70+'Predicted PPIs'!X69)))*IF(K$123=".", 1, (K70/K69)^(('Summary, PPI''s'!$K70+'Summary, PPI''s'!$K69)/('Predicted PPIs'!X70+'Predicted PPIs'!X69)))*IF(L$123=".", 1, (L70/L69)^(('Summary, PPI''s'!$L70+'Summary, PPI''s'!$L69)/('Predicted PPIs'!X70+'Predicted PPIs'!X69)))*IF(M$123=".", 1, (M70/M69)^(('Summary, PPI''s'!$M70+'Summary, PPI''s'!$M69)/('Predicted PPIs'!X70+'Predicted PPIs'!X69)))*IF(B$123=".", 1, (B70/B69)^(('Summary, PPI''s'!$B70+'Summary, PPI''s'!$B69)/('Predicted PPIs'!X70+'Predicted PPIs'!X69)))*IF(C$123=".", 1, (C70/C69)^(('Summary, PPI''s'!$C70+'Summary, PPI''s'!$C69)/('Predicted PPIs'!X70+'Predicted PPIs'!X69)))*IF(D$123=".", 1, (D70/D69)^(('Summary, PPI''s'!$D70+'Summary, PPI''s'!$D69)/('Predicted PPIs'!X70+'Predicted PPIs'!X69)))*IF(N$123=".", 1, (N70/N69)^(('Summary, PPI''s'!$N70+'Summary, PPI''s'!$N69)/('Predicted PPIs'!X70+'Predicted PPIs'!X69)))*IF(O$123=".", 1, (O70/O69)^(('Summary, PPI''s'!$O70+'Summary, PPI''s'!$O69)/('Predicted PPIs'!X70+'Predicted PPIs'!X69)))*IF(P$123=".", 1, (P70/P69)^(('Summary, PPI''s'!$P70+'Summary, PPI''s'!$P69)/('Predicted PPIs'!X70+'Predicted PPIs'!X69)))</f>
        <v>6.4419603412645676</v>
      </c>
      <c r="AH70" s="13">
        <f t="shared" si="152"/>
        <v>9.2294348163236215</v>
      </c>
      <c r="AJ70" s="4">
        <v>232.7</v>
      </c>
      <c r="AK70" s="4">
        <v>-2.0070000000000001</v>
      </c>
      <c r="AL70" s="4">
        <v>-17.899000000000001</v>
      </c>
      <c r="AM70" s="4">
        <v>-1.7649999999999999</v>
      </c>
      <c r="AN70" s="4">
        <v>323.5</v>
      </c>
      <c r="AO70" s="4">
        <v>58.6</v>
      </c>
      <c r="AP70" s="4">
        <f>('[4]1953'!$I$14+'[4]1953'!$I$51+'[4]1953'!$I$53-'[4]1953'!$I$55)*0.001</f>
        <v>-5.8470000000000004</v>
      </c>
      <c r="AQ70" s="4">
        <f>('[4]1953'!$AK$42+'[4]1953'!$AK$51+'[4]1953'!$AK$53-'[4]1953'!$AK$55)*0.001</f>
        <v>-10.479000000000001</v>
      </c>
      <c r="AR70" s="4">
        <f t="shared" si="148"/>
        <v>-3.4314321775768329E-3</v>
      </c>
      <c r="AS70" s="4">
        <v>-1.264</v>
      </c>
      <c r="AT70" s="4">
        <v>14.635</v>
      </c>
      <c r="AU70" s="4">
        <v>24.983000000000001</v>
      </c>
      <c r="AV70" s="4">
        <v>12.593999999999999</v>
      </c>
      <c r="AW70" s="4">
        <v>11.303000000000001</v>
      </c>
      <c r="AX70" s="4">
        <v>14.528</v>
      </c>
      <c r="AY70" s="4">
        <v>20.617999999999999</v>
      </c>
      <c r="AZ70" s="4">
        <v>7.819</v>
      </c>
      <c r="BA70" s="4">
        <v>17.382000000000001</v>
      </c>
      <c r="BB70" s="4">
        <f t="shared" si="150"/>
        <v>99.420755318651231</v>
      </c>
      <c r="BC70" s="4">
        <v>13.786</v>
      </c>
      <c r="BG70" s="4">
        <f t="shared" si="50"/>
        <v>16.150434186367288</v>
      </c>
      <c r="BI70" s="4">
        <f>BI$13*'[2]Ordinary Experience'!$D$356/'[2]Ordinary Experience'!$D$413</f>
        <v>158905451.27733865</v>
      </c>
      <c r="BJ70" s="4">
        <f>'[2]Ordinary Experience'!$E$356</f>
        <v>28.096661076546866</v>
      </c>
      <c r="BL70" s="4">
        <f t="shared" si="151"/>
        <v>35.664166347471593</v>
      </c>
      <c r="BM70" s="4">
        <f t="shared" si="153"/>
        <v>6.0831508152137559E-2</v>
      </c>
      <c r="BO70" s="4" t="str">
        <f>IF(OR('Summary, hourly ad costs'!R70=-9999,'Summary, PPI''s'!R70="."),".",(('Summary, hourly ad costs'!B70/'Summary, hourly ad costs'!R70)*100/('Summary, hourly ad costs'!B$11/'Summary, hourly ad costs'!R$11))/('Summary, PPI''s'!R70))</f>
        <v>.</v>
      </c>
      <c r="BP70" s="4" t="str">
        <f>IF(OR('Summary, hourly ad costs'!S70=-9999,'Summary, PPI''s'!S70="."),".",(('Summary, hourly ad costs'!C70/'Summary, hourly ad costs'!S70)*100/('Summary, hourly ad costs'!C$11/'Summary, hourly ad costs'!S$11))/('Summary, PPI''s'!S70))</f>
        <v>.</v>
      </c>
      <c r="BQ70" s="4" t="str">
        <f>IF(OR('Summary, hourly ad costs'!T70=-9999,'Summary, PPI''s'!T70="."),".",(('Summary, hourly ad costs'!D70/'Summary, hourly ad costs'!T70)*100/('Summary, hourly ad costs'!D$11/'Summary, hourly ad costs'!T$11))/('Summary, PPI''s'!T70))</f>
        <v>.</v>
      </c>
      <c r="BR70" s="4" t="str">
        <f>IF(OR('Summary, hourly ad costs'!U70=-9999,'Summary, PPI''s'!U70="."),".",(('Summary, hourly ad costs'!E70/'Summary, hourly ad costs'!U70)*100/('Summary, hourly ad costs'!E$11/'Summary, hourly ad costs'!U$11))/('Summary, PPI''s'!U70))</f>
        <v>.</v>
      </c>
      <c r="BS70" s="4" t="str">
        <f>IF(OR('Summary, hourly ad costs'!V70=-9999,'Summary, PPI''s'!V70="."),".",(('Summary, hourly ad costs'!F70/'Summary, hourly ad costs'!V70)*100/('Summary, hourly ad costs'!F$11/'Summary, hourly ad costs'!V$11))/('Summary, PPI''s'!V70))</f>
        <v>.</v>
      </c>
      <c r="BT70" s="4" t="str">
        <f>IF(OR('Summary, hourly ad costs'!W70=-9999,'Summary, PPI''s'!W70="."),".",(('Summary, hourly ad costs'!G70/'Summary, hourly ad costs'!W70)*100/('Summary, hourly ad costs'!G$11/'Summary, hourly ad costs'!W$11))/('Summary, PPI''s'!W70))</f>
        <v>.</v>
      </c>
      <c r="BU70" s="4" t="str">
        <f>IF(OR('Summary, hourly ad costs'!X70=-9999,'Summary, PPI''s'!X70="."),".",(('Summary, hourly ad costs'!H70/'Summary, hourly ad costs'!X70)*100/('Summary, hourly ad costs'!H$11/'Summary, hourly ad costs'!X$11))/('Summary, PPI''s'!X70))</f>
        <v>.</v>
      </c>
      <c r="BV70" s="4" t="str">
        <f>IF(OR('Summary, hourly ad costs'!Y70=-9999,'Summary, PPI''s'!Y70="."),".",(('Summary, hourly ad costs'!I70/'Summary, hourly ad costs'!Y70)*100/('Summary, hourly ad costs'!I$11/'Summary, hourly ad costs'!Y$11))/('Summary, PPI''s'!Y70))</f>
        <v>.</v>
      </c>
      <c r="BW70" s="4" t="str">
        <f>IF(OR('Summary, hourly ad costs'!Z70=-9999,'Summary, PPI''s'!Z70="."),".",(('Summary, hourly ad costs'!J70/'Summary, hourly ad costs'!Z70)*100/('Summary, hourly ad costs'!J$11/'Summary, hourly ad costs'!Z$11))/('Summary, PPI''s'!Z70))</f>
        <v>.</v>
      </c>
      <c r="BX70" s="4" t="str">
        <f>IF(OR('Summary, hourly ad costs'!AA70=-9999,'Summary, PPI''s'!AA70="."),".",(('Summary, hourly ad costs'!K70/'Summary, hourly ad costs'!AA70)*100/('Summary, hourly ad costs'!K$11/'Summary, hourly ad costs'!AA$11))/('Summary, PPI''s'!AA70))</f>
        <v>.</v>
      </c>
      <c r="BY70" s="4" t="str">
        <f>IF(OR('Summary, hourly ad costs'!AB70=-9999,'Summary, PPI''s'!AB70="."),".",(('Summary, hourly ad costs'!L70/'Summary, hourly ad costs'!AB70)*100/('Summary, hourly ad costs'!L$11/'Summary, hourly ad costs'!AB$11))/('Summary, PPI''s'!AB70))</f>
        <v>.</v>
      </c>
      <c r="BZ70" s="4" t="str">
        <f>IF(OR('Summary, hourly ad costs'!AC70=-9999,'Summary, PPI''s'!AC70="."),".",(('Summary, hourly ad costs'!M70/'Summary, hourly ad costs'!AC70)*100/('Summary, hourly ad costs'!M$11/'Summary, hourly ad costs'!AC$11))/('Summary, PPI''s'!AC70))</f>
        <v>.</v>
      </c>
      <c r="CA70" s="4" t="str">
        <f>IF(OR('Summary, hourly ad costs'!AD70=-9999,'Summary, PPI''s'!AD70="."),".",(('Summary, hourly ad costs'!N70/'Summary, hourly ad costs'!AD70)*100/('Summary, hourly ad costs'!N$11/'Summary, hourly ad costs'!AD$11))/('Summary, PPI''s'!AD70))</f>
        <v>.</v>
      </c>
      <c r="CB70" s="4" t="str">
        <f>IF(OR('Summary, hourly ad costs'!AE70=-9999,'Summary, PPI''s'!AE70="."),".",(('Summary, hourly ad costs'!O70/'Summary, hourly ad costs'!AE70)*100/('Summary, hourly ad costs'!O$11/'Summary, hourly ad costs'!AE$11))/('Summary, PPI''s'!AE70))</f>
        <v>.</v>
      </c>
      <c r="CC70" s="4" t="str">
        <f>IF(OR('Summary, hourly ad costs'!AF70=-9999,'Summary, PPI''s'!AF70="."),".",(('Summary, hourly ad costs'!P70/'Summary, hourly ad costs'!AF70)*100/('Summary, hourly ad costs'!P$11/'Summary, hourly ad costs'!AF$11))/('Summary, PPI''s'!AF70))</f>
        <v>.</v>
      </c>
      <c r="CE70" s="4">
        <f t="shared" si="134"/>
        <v>2.56188138274809E-2</v>
      </c>
      <c r="CF70" s="4" t="str">
        <f t="shared" si="135"/>
        <v>.</v>
      </c>
      <c r="CG70" s="4" t="str">
        <f t="shared" si="136"/>
        <v>.</v>
      </c>
      <c r="CH70" s="4">
        <f t="shared" si="145"/>
        <v>5.7387690166247091E-2</v>
      </c>
      <c r="CI70" s="4">
        <f t="shared" si="145"/>
        <v>6.688079419842527E-2</v>
      </c>
      <c r="CJ70" s="4" t="str">
        <f t="shared" si="147"/>
        <v>.</v>
      </c>
      <c r="CK70" s="4">
        <f t="shared" si="149"/>
        <v>1.0940488567774062E-3</v>
      </c>
      <c r="CL70" s="4">
        <f t="shared" si="130"/>
        <v>4.6472155866498943E-2</v>
      </c>
      <c r="CM70" s="4">
        <f t="shared" si="130"/>
        <v>3.5018004891605614E-2</v>
      </c>
      <c r="CN70" s="4">
        <f t="shared" si="89"/>
        <v>3.248395806647987E-2</v>
      </c>
      <c r="CO70" s="4">
        <f t="shared" si="120"/>
        <v>0.39382094941001095</v>
      </c>
      <c r="CP70" s="4">
        <f t="shared" si="120"/>
        <v>2.9809661250852909E-2</v>
      </c>
      <c r="CQ70" s="4" t="str">
        <f t="shared" si="110"/>
        <v>.</v>
      </c>
      <c r="CR70" s="4" t="str">
        <f t="shared" si="111"/>
        <v>.</v>
      </c>
      <c r="CS70" s="4" t="str">
        <f t="shared" si="112"/>
        <v>.</v>
      </c>
      <c r="CU70" s="5">
        <f>IF(CU69=".", ".", IF('Summary, PPI''s'!R70=".",IF(OR('Summary, hourly ad costs'!R70=-9999,'Summary, hourly ad costs'!R70=0), ".", 'Predicted PPIs'!CU69*('Summary, hourly ad costs'!B70/'Summary, hourly ad costs'!R70)/('Summary, hourly ad costs'!B69/'Summary, hourly ad costs'!R69)/(1-CE69)), 'Summary, PPI''s'!R70))</f>
        <v>24.133561142732827</v>
      </c>
      <c r="CV70" s="5" t="str">
        <f>IF(CV69=".", ".", IF('Summary, PPI''s'!S70=".",IF(OR('Summary, hourly ad costs'!S70=-9999,'Summary, hourly ad costs'!S70=0), ".", 'Predicted PPIs'!CV69*('Summary, hourly ad costs'!C70/'Summary, hourly ad costs'!S70)/('Summary, hourly ad costs'!C69/'Summary, hourly ad costs'!S69)/(1-CF69)), 'Summary, PPI''s'!S70))</f>
        <v>.</v>
      </c>
      <c r="CW70" s="5" t="str">
        <f>IF(CW69=".", ".", IF('Summary, PPI''s'!T70=".",IF(OR('Summary, hourly ad costs'!T70=-9999,'Summary, hourly ad costs'!T70=0), ".", 'Predicted PPIs'!CW69*('Summary, hourly ad costs'!D70/'Summary, hourly ad costs'!T70)/('Summary, hourly ad costs'!D69/'Summary, hourly ad costs'!T69)/(1-CG69)), 'Summary, PPI''s'!T70))</f>
        <v>.</v>
      </c>
      <c r="CX70" s="5">
        <f>IF(CX69=".", ".", IF('Summary, PPI''s'!U70=".",IF(OR('Summary, hourly ad costs'!U70=-9999,'Summary, hourly ad costs'!U70=0), ".", 'Predicted PPIs'!CX69*('Summary, hourly ad costs'!E70/'Summary, hourly ad costs'!U70)/('Summary, hourly ad costs'!E69/'Summary, hourly ad costs'!U69)/(1-CH69)), 'Summary, PPI''s'!U70))</f>
        <v>4.7113034586157418</v>
      </c>
      <c r="CY70" s="5">
        <f>IF(CY69=".", ".", IF('Summary, PPI''s'!V70=".",IF(OR('Summary, hourly ad costs'!V70=-9999,'Summary, hourly ad costs'!V70=0), ".", 'Predicted PPIs'!CY69*('Summary, hourly ad costs'!F70/'Summary, hourly ad costs'!V70)/('Summary, hourly ad costs'!F69/'Summary, hourly ad costs'!V69)/(1-CI69)), 'Summary, PPI''s'!V70))</f>
        <v>7.9587327051259269</v>
      </c>
      <c r="CZ70" s="5" t="str">
        <f>IF(CZ69=".", ".", IF('Summary, PPI''s'!W70=".",IF(OR('Summary, hourly ad costs'!W70=-9999,'Summary, hourly ad costs'!W70=0), ".", 'Predicted PPIs'!CZ69*('Summary, hourly ad costs'!G70/'Summary, hourly ad costs'!W70)/('Summary, hourly ad costs'!G69/'Summary, hourly ad costs'!W69)/(1-CJ69)), 'Summary, PPI''s'!W70))</f>
        <v>.</v>
      </c>
      <c r="DA70" s="5">
        <f>IF(DA69=".", ".", IF('Summary, PPI''s'!X70=".",IF(OR('Summary, hourly ad costs'!X70=-9999,'Summary, hourly ad costs'!X70=0), ".", 'Predicted PPIs'!DA69*('Summary, hourly ad costs'!H70/'Summary, hourly ad costs'!X70)/('Summary, hourly ad costs'!H69/'Summary, hourly ad costs'!X69)/(1-CK69)), 'Summary, PPI''s'!X70))</f>
        <v>5.5433137270349322</v>
      </c>
      <c r="DB70" s="5">
        <f>IF(DB69=".", ".", IF('Summary, PPI''s'!Y70=".",IF(OR('Summary, hourly ad costs'!Y70=-9999,'Summary, hourly ad costs'!Y70=0), ".", 'Predicted PPIs'!DB69*('Summary, hourly ad costs'!I70/'Summary, hourly ad costs'!Y70)/('Summary, hourly ad costs'!I69/'Summary, hourly ad costs'!Y69)/(1-CL69)), 'Summary, PPI''s'!Y70))</f>
        <v>9.0379201543857199</v>
      </c>
      <c r="DC70" s="5">
        <f>IF(DC69=".", ".", IF('Summary, PPI''s'!Z70=".",IF(OR('Summary, hourly ad costs'!Z70=-9999,'Summary, hourly ad costs'!Z70=0), ".", 'Predicted PPIs'!DC69*('Summary, hourly ad costs'!J70/'Summary, hourly ad costs'!Z70)/('Summary, hourly ad costs'!J69/'Summary, hourly ad costs'!Z69)/(1-CM69)), 'Summary, PPI''s'!Z70))</f>
        <v>20.656957536268134</v>
      </c>
      <c r="DD70" s="5" t="str">
        <f>IF(DD69=".", ".", IF('Summary, PPI''s'!AA70=".",IF(OR('Summary, hourly ad costs'!AA70=-9999,'Summary, hourly ad costs'!AA70=0), ".", 'Predicted PPIs'!DD69*('Summary, hourly ad costs'!K70/'Summary, hourly ad costs'!AA70)/('Summary, hourly ad costs'!K69/'Summary, hourly ad costs'!AA69)/(1-CN69)), 'Summary, PPI''s'!AA70))</f>
        <v>.</v>
      </c>
      <c r="DE70" s="5" t="str">
        <f>IF(DE69=".", ".", IF('Summary, PPI''s'!AB70=".",IF(OR('Summary, hourly ad costs'!AB70=-9999,'Summary, hourly ad costs'!AB70=0), ".", 'Predicted PPIs'!DE69*('Summary, hourly ad costs'!L70/'Summary, hourly ad costs'!AB70)/('Summary, hourly ad costs'!L69/'Summary, hourly ad costs'!AB69)/(1-CO69)), 'Summary, PPI''s'!AB70))</f>
        <v>.</v>
      </c>
      <c r="DF70" s="5" t="str">
        <f>IF(DF69=".", ".", IF('Summary, PPI''s'!AC70=".",IF(OR('Summary, hourly ad costs'!AC70=-9999,'Summary, hourly ad costs'!AC70=0), ".", 'Predicted PPIs'!DF69*('Summary, hourly ad costs'!M70/'Summary, hourly ad costs'!AC70)/('Summary, hourly ad costs'!M69/'Summary, hourly ad costs'!AC69)/(1-CP69)), 'Summary, PPI''s'!AC70))</f>
        <v>.</v>
      </c>
      <c r="DG70" s="5" t="str">
        <f>IF(DG69=".", ".", IF('Summary, PPI''s'!AD70=".",IF(OR('Summary, hourly ad costs'!AD70=-9999,'Summary, hourly ad costs'!AD70=0), ".", 'Predicted PPIs'!DG69*('Summary, hourly ad costs'!N70/'Summary, hourly ad costs'!AD70)/('Summary, hourly ad costs'!N69/'Summary, hourly ad costs'!AD69)/(1-CQ69)), 'Summary, PPI''s'!AD70))</f>
        <v>.</v>
      </c>
      <c r="DH70" s="5" t="str">
        <f>IF(DH69=".", ".", IF('Summary, PPI''s'!AE70=".",IF(OR('Summary, hourly ad costs'!AE70=-9999,'Summary, hourly ad costs'!AE70=0), ".", 'Predicted PPIs'!DH69*('Summary, hourly ad costs'!O70/'Summary, hourly ad costs'!AE70)/('Summary, hourly ad costs'!O69/'Summary, hourly ad costs'!AE69)/(1-CR69)), 'Summary, PPI''s'!AE70))</f>
        <v>.</v>
      </c>
      <c r="DI70" s="5" t="str">
        <f>IF(DI69=".", ".", IF('Summary, PPI''s'!AF70=".",IF(OR('Summary, hourly ad costs'!AF70=-9999,'Summary, hourly ad costs'!AF70=0), ".", 'Predicted PPIs'!DI69*('Summary, hourly ad costs'!P70/'Summary, hourly ad costs'!AF70)/('Summary, hourly ad costs'!P69/'Summary, hourly ad costs'!AF69)/(1-CS69)), 'Summary, PPI''s'!AF70))</f>
        <v>.</v>
      </c>
      <c r="DK70" s="4">
        <v>4.835</v>
      </c>
      <c r="DM70" s="5">
        <f t="shared" si="138"/>
        <v>-6.2343722967396653E-2</v>
      </c>
      <c r="DN70" s="4">
        <f t="shared" si="139"/>
        <v>-3.1432050333634651E-2</v>
      </c>
      <c r="DO70" s="4">
        <f t="shared" si="123"/>
        <v>-2.242487894903741E-2</v>
      </c>
      <c r="DP70" s="5">
        <f t="shared" si="140"/>
        <v>-1.163023775026939E-2</v>
      </c>
      <c r="DQ70" s="5">
        <f t="shared" si="141"/>
        <v>-4.1536688444415493E-2</v>
      </c>
      <c r="DR70" s="4">
        <f t="shared" si="146"/>
        <v>-2.8687110370900909E-3</v>
      </c>
      <c r="DS70" s="5">
        <f t="shared" si="142"/>
        <v>0.27474402446927071</v>
      </c>
      <c r="DT70" s="5">
        <f t="shared" si="143"/>
        <v>-0.11097968455217977</v>
      </c>
      <c r="DU70" s="5">
        <f t="shared" si="144"/>
        <v>-0.15689924620972673</v>
      </c>
      <c r="DV70" s="4">
        <f t="shared" si="131"/>
        <v>-1.4175863418655591E-3</v>
      </c>
      <c r="DW70" s="4">
        <f t="shared" si="133"/>
        <v>-0.1944919280870315</v>
      </c>
      <c r="DX70" s="4">
        <f t="shared" si="133"/>
        <v>0.18495584328003428</v>
      </c>
      <c r="DY70" s="4">
        <f t="shared" si="108"/>
        <v>-1.2353601216057795E-2</v>
      </c>
      <c r="DZ70" s="4">
        <f t="shared" si="132"/>
        <v>-5.2701871890323947E-3</v>
      </c>
      <c r="EA70" s="4">
        <f t="shared" si="109"/>
        <v>-7.1050546621175365E-3</v>
      </c>
      <c r="EC70" s="1">
        <f t="shared" si="154"/>
        <v>24.133561142732827</v>
      </c>
      <c r="ED70" s="1">
        <f t="shared" si="155"/>
        <v>12.268282346981266</v>
      </c>
      <c r="EE70" s="1">
        <f t="shared" si="156"/>
        <v>6.8571175692626456</v>
      </c>
      <c r="EF70" s="1">
        <f t="shared" si="157"/>
        <v>4.7113034586157418</v>
      </c>
      <c r="EG70" s="1">
        <f t="shared" si="158"/>
        <v>7.9587327051259269</v>
      </c>
      <c r="EH70" s="1">
        <f t="shared" si="159"/>
        <v>5.8631108517756063</v>
      </c>
      <c r="EI70" s="1">
        <f t="shared" si="160"/>
        <v>5.5433137270349322</v>
      </c>
      <c r="EJ70" s="1">
        <f t="shared" si="161"/>
        <v>9.0379201543857199</v>
      </c>
      <c r="EK70" s="1">
        <f t="shared" si="162"/>
        <v>20.656957536268134</v>
      </c>
      <c r="EL70" s="1">
        <f t="shared" si="163"/>
        <v>3.9513405906446759</v>
      </c>
      <c r="EM70" s="1">
        <f t="shared" si="164"/>
        <v>1.1910068566415009</v>
      </c>
      <c r="EN70" s="1">
        <f t="shared" si="165"/>
        <v>3.1850873333103173</v>
      </c>
      <c r="EO70" s="1">
        <f t="shared" si="166"/>
        <v>4.3002512883082193</v>
      </c>
      <c r="EP70" s="1">
        <f t="shared" si="167"/>
        <v>6.0585880921570228</v>
      </c>
      <c r="EQ70" s="1">
        <f t="shared" si="168"/>
        <v>4.6773618125441141</v>
      </c>
      <c r="ES70" s="1">
        <f>IF(EF$26=".", 0, 'Summary, PPI''s'!E70)+IF(EG$26=".", 0, 'Summary, PPI''s'!F70)+IF(EH$26=".", 0, 'Summary, PPI''s'!G70)+IF(EI$26=".", 0, 'Summary, PPI''s'!H70)+IF(EJ$26=".", 0, 'Summary, PPI''s'!I70)+IF(EK$26=".", 0, 'Summary, PPI''s'!J70)+IF(EL$26=".", 0, 'Summary, PPI''s'!K70)+IF(EM$26=".", 0, 'Summary, PPI''s'!L70)+IF(EN$26=".", 0, 'Summary, PPI''s'!M70)+IF(EC$26=".", 0, 'Summary, PPI''s'!B70)+IF(ED$26=".", 0, 'Summary, PPI''s'!C70)+IF(EE$26=".", 0, 'Summary, PPI''s'!D70)+IF(EO$26=".", 0, 'Summary, PPI''s'!N70)+IF(EP$26=".", 0, 'Summary, PPI''s'!O70)+IF(EQ$26=".", 0, 'Summary, PPI''s'!P70)</f>
        <v>7824400.7385419747</v>
      </c>
      <c r="ET70" s="1">
        <f>'Summary, hourly ad costs'!E70+'Summary, hourly ad costs'!F70+'Summary, hourly ad costs'!H70+'Summary, hourly ad costs'!I70+'Summary, hourly ad costs'!J70+'Summary, hourly ad costs'!K70+'Summary, hourly ad costs'!L70+'Summary, hourly ad costs'!M70+'Summary, hourly ad costs'!B70</f>
        <v>4762572.7419201108</v>
      </c>
      <c r="EV70" s="13">
        <f>EV69*IF(EF$26=".", 1, (EF70/EF69)^(('Summary, PPI''s'!$E70+'Summary, PPI''s'!$E69)/('Predicted PPIs'!ES70+'Predicted PPIs'!ES69)))*IF(EG$26=".", 1, (EG70/EG69)^(('Summary, PPI''s'!$F70+'Summary, PPI''s'!$F69)/('Predicted PPIs'!ES70+'Predicted PPIs'!ES69)))*IF(EH$26=".", 1, (EH70/EH69)^(('Summary, PPI''s'!$G70+'Summary, PPI''s'!$G69)/('Predicted PPIs'!ES70+'Predicted PPIs'!ES69)))*IF(EI$26=".", 1, (EI70/EI69)^(('Summary, PPI''s'!$H70+'Summary, PPI''s'!$H69)/('Predicted PPIs'!ES70+'Predicted PPIs'!ES69)))*IF(EJ$26=".", 1, (EJ70/EJ69)^(('Summary, PPI''s'!$I70+'Summary, PPI''s'!$I69)/('Predicted PPIs'!ES70+'Predicted PPIs'!ES69)))*IF(EK$26=".", 1, (EK70/EK69)^(('Summary, PPI''s'!$J70+'Summary, PPI''s'!$J69)/('Predicted PPIs'!ES70+'Predicted PPIs'!ES69)))*IF(EL$26=".", 1, (EL70/EL69)^(('Summary, PPI''s'!$K70+'Summary, PPI''s'!$K69)/('Predicted PPIs'!ES70+'Predicted PPIs'!ES69)))*IF(EM$26=".", 1, (EM70/EM69)^(('Summary, PPI''s'!$L70+'Summary, PPI''s'!$L69)/('Predicted PPIs'!ES70+'Predicted PPIs'!ES69)))*IF(EN$26=".", 1, (EN70/EN69)^(('Summary, PPI''s'!$M70+'Summary, PPI''s'!$M69)/('Predicted PPIs'!ES70+'Predicted PPIs'!ES69)))*IF(EC$26=".", 1, (EC70/EC69)^(('Summary, PPI''s'!$B70+'Summary, PPI''s'!$B69)/('Predicted PPIs'!ES70+'Predicted PPIs'!ES69)))*IF(ED$26=".", 1, (ED70/ED69)^(('Summary, PPI''s'!$C70+'Summary, PPI''s'!$C69)/('Predicted PPIs'!ES70+'Predicted PPIs'!ES69)))*IF(EE$26=".", 1, (EE70/EE69)^(('Summary, PPI''s'!$D70+'Summary, PPI''s'!$D69)/('Predicted PPIs'!ES70+'Predicted PPIs'!ES69)))*IF(EO$26=".", 1, (EO70/EO69)^(('Summary, PPI''s'!$N70+'Summary, PPI''s'!$N69)/('Predicted PPIs'!ES70+'Predicted PPIs'!ES69)))*IF(EP$26=".", 1, (EP70/EP69)^(('Summary, PPI''s'!$O70+'Summary, PPI''s'!$O69)/('Predicted PPIs'!ES70+'Predicted PPIs'!ES69)))*IF(EQ$26=".", 1, (EQ70/EQ69)^(('Summary, PPI''s'!$P70+'Summary, PPI''s'!$P69)/('Predicted PPIs'!ES70+'Predicted PPIs'!ES69)))</f>
        <v>7.9350504391390571</v>
      </c>
      <c r="EW70" s="13">
        <f>EW69*IF(EF$26=".", 1, (EF70/EF69)^(('Summary, PPI''s'!$E70+'Summary, PPI''s'!$E69)/('Predicted PPIs'!ET70+'Predicted PPIs'!ET69)))*IF(EG$26=".", 1, (EG70/EG69)^(('Summary, PPI''s'!$F70+'Summary, PPI''s'!$F69)/('Predicted PPIs'!ET70+'Predicted PPIs'!ET69)))*IF(EH$26=".", 1, (EH70/EH69)^(('Summary, PPI''s'!$G70+'Summary, PPI''s'!$G69)/('Predicted PPIs'!ET70+'Predicted PPIs'!ET69)))*IF(EK$26=".", 1, (EK70/EK69)^(('Summary, PPI''s'!$J70+'Summary, PPI''s'!$J69)/('Predicted PPIs'!ET70+'Predicted PPIs'!ET69)))*IF(EL$26=".", 1, (EL70/EL69)^(('Summary, PPI''s'!$K70+'Summary, PPI''s'!$K69)/('Predicted PPIs'!ET70+'Predicted PPIs'!ET69)))*IF(EM$26=".", 1, (EM70/EM69)^(('Summary, PPI''s'!$L70+'Summary, PPI''s'!$L69)/('Predicted PPIs'!ET70+'Predicted PPIs'!ET69)))*IF(EN$26=".", 1, (EN70/EN69)^(('Summary, PPI''s'!$M70+'Summary, PPI''s'!$M69)/('Predicted PPIs'!ET70+'Predicted PPIs'!ET69)))*IF(EC$26=".", 1, (EC70/EC69)^(('Summary, PPI''s'!$B70+'Summary, PPI''s'!$B69)/('Predicted PPIs'!ET70+'Predicted PPIs'!ET69)))</f>
        <v>10.834547400657268</v>
      </c>
      <c r="EY70" s="2"/>
    </row>
    <row r="71" spans="1:155" x14ac:dyDescent="0.3">
      <c r="A71" s="4">
        <v>1952</v>
      </c>
      <c r="B71" s="10">
        <f>IF(B70=".", ".", IF('Summary, PPI''s'!R71=".",IF(OR('Summary, hourly ad costs'!R71=-9999,'Summary, hourly ad costs'!R71=0), ".", 'Predicted PPIs'!B70*('Summary, hourly ad costs'!B71/'Summary, hourly ad costs'!R71)/('Summary, hourly ad costs'!B70/'Summary, hourly ad costs'!R70)), 'Summary, PPI''s'!R71))</f>
        <v>27.634359230242886</v>
      </c>
      <c r="C71" s="10" t="str">
        <f>IF(C70=".", ".", IF('Summary, PPI''s'!S71=".",IF(OR('Summary, hourly ad costs'!S71=-9999,'Summary, hourly ad costs'!S71=0), ".", 'Predicted PPIs'!C70*('Summary, hourly ad costs'!C71/'Summary, hourly ad costs'!S71)/('Summary, hourly ad costs'!C70/'Summary, hourly ad costs'!S70)), 'Summary, PPI''s'!S71))</f>
        <v>.</v>
      </c>
      <c r="D71" s="10" t="str">
        <f>IF(D70=".", ".", IF('Summary, PPI''s'!T71=".",IF(OR('Summary, hourly ad costs'!T71=-9999,'Summary, hourly ad costs'!T71=0), ".", 'Predicted PPIs'!D70*('Summary, hourly ad costs'!D71/'Summary, hourly ad costs'!T71)/('Summary, hourly ad costs'!D70/'Summary, hourly ad costs'!T70)), 'Summary, PPI''s'!T71))</f>
        <v>.</v>
      </c>
      <c r="E71" s="10">
        <f>IF(E70=".", ".", IF('Summary, PPI''s'!U71=".",IF(OR('Summary, hourly ad costs'!U71=-9999,'Summary, hourly ad costs'!U71=0), ".", 'Predicted PPIs'!E70*('Summary, hourly ad costs'!E71/'Summary, hourly ad costs'!U71)/('Summary, hourly ad costs'!E70/'Summary, hourly ad costs'!U70)), 'Summary, PPI''s'!U71))</f>
        <v>4.1623980856299907</v>
      </c>
      <c r="F71" s="10">
        <f>IF(F70=".", ".", IF('Summary, PPI''s'!V71=".",IF(OR('Summary, hourly ad costs'!V71=-9999,'Summary, hourly ad costs'!V71=0), ".", 'Predicted PPIs'!F70*('Summary, hourly ad costs'!F71/'Summary, hourly ad costs'!V71)/('Summary, hourly ad costs'!F70/'Summary, hourly ad costs'!V70)), 'Summary, PPI''s'!V71))</f>
        <v>7.0150993998218691</v>
      </c>
      <c r="G71" s="10" t="str">
        <f>IF(G70=".", ".", IF('Summary, PPI''s'!W71=".",IF(OR('Summary, hourly ad costs'!W71=-9999,'Summary, hourly ad costs'!W71=0), ".", 'Predicted PPIs'!G70*('Summary, hourly ad costs'!G71/'Summary, hourly ad costs'!W71)/('Summary, hourly ad costs'!G70/'Summary, hourly ad costs'!W70)), 'Summary, PPI''s'!W71))</f>
        <v>.</v>
      </c>
      <c r="H71" s="10">
        <f>IF(H70=".", ".", IF('Summary, PPI''s'!X71=".",IF(OR('Summary, hourly ad costs'!X71=-9999,'Summary, hourly ad costs'!X71=0), ".", 'Predicted PPIs'!H70*('Summary, hourly ad costs'!H71/'Summary, hourly ad costs'!X71)/('Summary, hourly ad costs'!H70/'Summary, hourly ad costs'!X70)), 'Summary, PPI''s'!X71))</f>
        <v>4.079205128810381</v>
      </c>
      <c r="I71" s="10">
        <f>IF(I70=".", ".", IF('Summary, PPI''s'!Y71=".",IF(OR('Summary, hourly ad costs'!Y71=-9999,'Summary, hourly ad costs'!Y71=0), ".", 'Predicted PPIs'!I70*('Summary, hourly ad costs'!I71/'Summary, hourly ad costs'!Y71)/('Summary, hourly ad costs'!I70/'Summary, hourly ad costs'!Y70)), 'Summary, PPI''s'!Y71))</f>
        <v>7.9560177036890884</v>
      </c>
      <c r="J71" s="10">
        <f>IF(J70=".", ".", IF('Summary, PPI''s'!Z71=".",IF(OR('Summary, hourly ad costs'!Z71=-9999,'Summary, hourly ad costs'!Z71=0), ".", 'Predicted PPIs'!J70*('Summary, hourly ad costs'!J71/'Summary, hourly ad costs'!Z71)/('Summary, hourly ad costs'!J70/'Summary, hourly ad costs'!Z70)), 'Summary, PPI''s'!Z71))</f>
        <v>14.365315744711637</v>
      </c>
      <c r="K71" s="10" t="str">
        <f>IF(K70=".", ".", IF('Summary, PPI''s'!AA71=".",IF(OR('Summary, hourly ad costs'!AA71=-9999,'Summary, hourly ad costs'!AA71=0), ".", 'Predicted PPIs'!K70*('Summary, hourly ad costs'!K71/'Summary, hourly ad costs'!AA71)/('Summary, hourly ad costs'!K70/'Summary, hourly ad costs'!AA70)), 'Summary, PPI''s'!AA71))</f>
        <v>.</v>
      </c>
      <c r="L71" s="10" t="str">
        <f>IF(L70=".", ".", IF('Summary, PPI''s'!AB71=".",IF(OR('Summary, hourly ad costs'!AB71=-9999,'Summary, hourly ad costs'!AB71=0), ".", 'Predicted PPIs'!L70*('Summary, hourly ad costs'!L71/'Summary, hourly ad costs'!AB71)/('Summary, hourly ad costs'!L70/'Summary, hourly ad costs'!AB70)), 'Summary, PPI''s'!AB71))</f>
        <v>.</v>
      </c>
      <c r="M71" s="10" t="str">
        <f>IF(M70=".", ".", IF('Summary, PPI''s'!AC71=".",IF(OR('Summary, hourly ad costs'!AC71=-9999,'Summary, hourly ad costs'!AC71=0), ".", 'Predicted PPIs'!M70*('Summary, hourly ad costs'!M71/'Summary, hourly ad costs'!AC71)/('Summary, hourly ad costs'!M70/'Summary, hourly ad costs'!AC70)), 'Summary, PPI''s'!AC71))</f>
        <v>.</v>
      </c>
      <c r="N71" s="10" t="str">
        <f>IF(N70=".", ".", IF('Summary, PPI''s'!AD71=".",IF(OR('Summary, hourly ad costs'!AD71=-9999,'Summary, hourly ad costs'!AD71=0), ".", 'Predicted PPIs'!N70*('Summary, hourly ad costs'!N71/'Summary, hourly ad costs'!AD71)/('Summary, hourly ad costs'!N70/'Summary, hourly ad costs'!AD70)), 'Summary, PPI''s'!AD71))</f>
        <v>.</v>
      </c>
      <c r="O71" s="10" t="str">
        <f>IF(O70=".", ".", IF('Summary, PPI''s'!AE71=".",IF(OR('Summary, hourly ad costs'!AE71=-9999,'Summary, hourly ad costs'!AE71=0), ".", 'Predicted PPIs'!O70*('Summary, hourly ad costs'!O71/'Summary, hourly ad costs'!AE71)/('Summary, hourly ad costs'!O70/'Summary, hourly ad costs'!AE70)), 'Summary, PPI''s'!AE71))</f>
        <v>.</v>
      </c>
      <c r="P71" s="10" t="str">
        <f>IF(P70=".", ".", IF('Summary, PPI''s'!AF71=".",IF(OR('Summary, hourly ad costs'!AF71=-9999,'Summary, hourly ad costs'!AF71=0), ".", 'Predicted PPIs'!P70*('Summary, hourly ad costs'!P71/'Summary, hourly ad costs'!AF71)/('Summary, hourly ad costs'!P70/'Summary, hourly ad costs'!AF70)), 'Summary, PPI''s'!AF71))</f>
        <v>.</v>
      </c>
      <c r="R71" s="1">
        <f>IF(E$26=".", 0, 'Summary, PPI''s'!E71)+IF(F$26=".", 0, 'Summary, PPI''s'!F71)+IF(G$26=".", 0, 'Summary, PPI''s'!G71)+IF(H$26=".", 0, 'Summary, PPI''s'!H71)+IF(I$26=".", 0, 'Summary, PPI''s'!I71)+IF(J$26=".", 0, 'Summary, PPI''s'!J71)+IF(K$26=".", 0, 'Summary, PPI''s'!K71)+IF(L$26=".", 0, 'Summary, PPI''s'!L71)+IF(M$26=".", 0, 'Summary, PPI''s'!M71)+IF(B$26=".", 0, 'Summary, PPI''s'!B71)+IF(C$26=".", 0, 'Summary, PPI''s'!C71)+IF(D$26=".", 0, 'Summary, PPI''s'!D71)+IF(N$26=".", 0, 'Summary, PPI''s'!N71)+IF(O$26=".", 0, 'Summary, PPI''s'!O71)+IF(P$26=".", 0, 'Summary, PPI''s'!P71)</f>
        <v>7283201.8064004453</v>
      </c>
      <c r="S71" s="1">
        <f>IF(E$36=".", 0, 'Summary, PPI''s'!E71)+IF(F$36=".", 0, 'Summary, PPI''s'!F71)+IF(G$36=".", 0, 'Summary, PPI''s'!G71)+IF(H$36=".", 0, 'Summary, PPI''s'!H71)+IF(I$36=".", 0, 'Summary, PPI''s'!I71)+IF(J$36=".", 0, 'Summary, PPI''s'!J71)+IF(K$36=".", 0, 'Summary, PPI''s'!K71)+IF(L$36=".", 0, 'Summary, PPI''s'!L71)+IF(M$36=".", 0, 'Summary, PPI''s'!M71)+IF(B$36=".", 0, 'Summary, PPI''s'!B71)+IF(C$36=".", 0, 'Summary, PPI''s'!C71)+IF(D$36=".", 0, 'Summary, PPI''s'!D71)+IF(N$36=".", 0, 'Summary, PPI''s'!N71)+IF(O$36=".", 0, 'Summary, PPI''s'!O71)+IF(P$36=".", 0, 'Summary, PPI''s'!P71)</f>
        <v>7283201.8064004453</v>
      </c>
      <c r="T71" s="1">
        <f>IF(E$46=".", 0, 'Summary, PPI''s'!E71)+IF(F$46=".", 0, 'Summary, PPI''s'!F71)+IF(G$46=".", 0, 'Summary, PPI''s'!G71)+IF(H$46=".", 0, 'Summary, PPI''s'!H71)+IF(I$46=".", 0, 'Summary, PPI''s'!I71)+IF(J$46=".", 0, 'Summary, PPI''s'!J71)+IF(K$46=".", 0, 'Summary, PPI''s'!K71)+IF(L$46=".", 0, 'Summary, PPI''s'!L71)+IF(M$46=".", 0, 'Summary, PPI''s'!M71)+IF(B$46=".", 0, 'Summary, PPI''s'!B71)+IF(C$46=".", 0, 'Summary, PPI''s'!C71)+IF(D$46=".", 0, 'Summary, PPI''s'!D71)+IF(N$46=".", 0, 'Summary, PPI''s'!N71)+IF(O$46=".", 0, 'Summary, PPI''s'!O71)+IF(P$46=".", 0, 'Summary, PPI''s'!P71)</f>
        <v>5592681.1794303842</v>
      </c>
      <c r="U71" s="1">
        <f>IF(E$60=".", 0, 'Summary, PPI''s'!E71)+IF(F$60=".", 0, 'Summary, PPI''s'!F71)+IF(G$60=".", 0, 'Summary, PPI''s'!G71)+IF(H$60=".", 0, 'Summary, PPI''s'!H71)+IF(I$60=".", 0, 'Summary, PPI''s'!I71)+IF(J$60=".", 0, 'Summary, PPI''s'!J71)+IF(K$60=".", 0, 'Summary, PPI''s'!K71)+IF(L$60=".", 0, 'Summary, PPI''s'!L71)+IF(M$60=".", 0, 'Summary, PPI''s'!M71)+IF(B$60=".", 0, 'Summary, PPI''s'!B71)+IF(C$60=".", 0, 'Summary, PPI''s'!C71)+IF(D$60=".", 0, 'Summary, PPI''s'!D71)+IF(N$60=".", 0, 'Summary, PPI''s'!N71)+IF(O$60=".", 0, 'Summary, PPI''s'!O71)+IF(P$60=".", 0, 'Summary, PPI''s'!P71)</f>
        <v>5084371.6041842084</v>
      </c>
      <c r="V71" s="1">
        <f>IF(E$73=".", 0, 'Summary, PPI''s'!E71)+IF(F$73=".", 0, 'Summary, PPI''s'!F71)+IF(G$73=".", 0, 'Summary, PPI''s'!G71)+IF(H$73=".", 0, 'Summary, PPI''s'!H71)+IF(I$73=".", 0, 'Summary, PPI''s'!I71)+IF(J$73=".", 0, 'Summary, PPI''s'!J71)+IF(K$73=".", 0, 'Summary, PPI''s'!K71)+IF(L$73=".", 0, 'Summary, PPI''s'!L71)+IF(M$73=".", 0, 'Summary, PPI''s'!M71)+IF(B$73=".", 0, 'Summary, PPI''s'!B71)+IF(C$73=".", 0, 'Summary, PPI''s'!C71)+IF(D$73=".", 0, 'Summary, PPI''s'!D71)+IF(N$73=".", 0, 'Summary, PPI''s'!N71)+IF(O$73=".", 0, 'Summary, PPI''s'!O71)+IF(P$73=".", 0, 'Summary, PPI''s'!P71)</f>
        <v>4420761.654338045</v>
      </c>
      <c r="W71" s="1">
        <f>IF(E$94=".",0,'Summary, PPI''s'!E71)+IF(F$94=".",0,'Summary, PPI''s'!F71)+IF(G$94=".",0,'Summary, PPI''s'!G71)+IF(H$94=".",0,'Summary, PPI''s'!H71)+IF(I$94=".",0,'Summary, PPI''s'!I71)+IF(J$94=".",0,'Summary, PPI''s'!J71)+IF(K$94=".",0,'Summary, PPI''s'!K71)+IF(L$94=".",0,'Summary, PPI''s'!L71)+IF(M$94=".",0,'Summary, PPI''s'!M71)+IF(B$94=".",0,'Summary, PPI''s'!B71)+IF(C$94=".",0,'Summary, PPI''s'!C71)+IF(D$94=".",0,'Summary, PPI''s'!D71)+IF(N$94=".",0,'Summary, PPI''s'!N71)+IF(O$94=".",0,'Summary, PPI''s'!O71)+IF(P$94=".",0,'Summary, PPI''s'!P71)</f>
        <v>4080803.9322537864</v>
      </c>
      <c r="X71" s="1">
        <f>IF(E$123=".", 0, 'Summary, PPI''s'!E71)+IF(F$123=".", 0, 'Summary, PPI''s'!F71)+IF(G$123=".", 0, 'Summary, PPI''s'!G71)+IF(H$123=".", 0, 'Summary, PPI''s'!H71)+IF(I$123=".", 0, 'Summary, PPI''s'!I71)+IF(J$123=".", 0, 'Summary, PPI''s'!J71)+IF(K$123=".", 0, 'Summary, PPI''s'!K71)+IF(L$123=".", 0, 'Summary, PPI''s'!L71)+IF(M$123=".", 0, 'Summary, PPI''s'!M71)+IF(B$123=".", 0, 'Summary, PPI''s'!B71)+IF(C$123=".", 0, 'Summary, PPI''s'!C71)+IF(D$123=".", 0, 'Summary, PPI''s'!D71)+IF(N$123=".", 0, 'Summary, PPI''s'!N71)+IF(O$123=".", 0, 'Summary, PPI''s'!O71)+IF(P$123=".", 0, 'Summary, PPI''s'!P71)</f>
        <v>3586156.5760567449</v>
      </c>
      <c r="Z71" s="4" t="e">
        <f>Z70*IF(E$26=".", 1, (E71/E70)^(('Summary, PPI''s'!$E71+'Summary, PPI''s'!$E70)/('Predicted PPIs'!R71+'Predicted PPIs'!R70)))*IF(F$26=".", 1, (F71/F70)^(('Summary, PPI''s'!$F71+'Summary, PPI''s'!$F70)/('Predicted PPIs'!R71+'Predicted PPIs'!R70)))*IF(G$26=".", 1, (G71/G70)^(('Summary, PPI''s'!$G71+'Summary, PPI''s'!$G70)/('Predicted PPIs'!R71+'Predicted PPIs'!R70)))*IF(H$26=".", 1, (H71/H70)^(('Summary, PPI''s'!$H71+'Summary, PPI''s'!$H70)/('Predicted PPIs'!R71+'Predicted PPIs'!R70)))*IF(I$26=".", 1, (I71/I70)^(('Summary, PPI''s'!$I71+'Summary, PPI''s'!$I70)/('Predicted PPIs'!R71+'Predicted PPIs'!R70)))*IF(J$26=".", 1, (J71/J70)^(('Summary, PPI''s'!$J71+'Summary, PPI''s'!$J70)/('Predicted PPIs'!R71+'Predicted PPIs'!R70)))*IF(K$26=".", 1, (K71/K70)^(('Summary, PPI''s'!$K71+'Summary, PPI''s'!$K70)/('Predicted PPIs'!R71+'Predicted PPIs'!R70)))*IF(L$26=".", 1, (L71/L70)^(('Summary, PPI''s'!$L71+'Summary, PPI''s'!$L70)/('Predicted PPIs'!R71+'Predicted PPIs'!R70)))*IF(M$26=".", 1, (M71/M70)^(('Summary, PPI''s'!$M71+'Summary, PPI''s'!$M70)/('Predicted PPIs'!R71+'Predicted PPIs'!R70)))*IF(B$26=".", 1, (B71/B70)^(('Summary, PPI''s'!$B71+'Summary, PPI''s'!$B70)/('Predicted PPIs'!R71+'Predicted PPIs'!R70)))*IF(C$26=".", 1, (C71/C70)^(('Summary, PPI''s'!$C71+'Summary, PPI''s'!$C70)/('Predicted PPIs'!R71+'Predicted PPIs'!R70)))*IF(D$26=".", 1, (D71/D70)^(('Summary, PPI''s'!$D71+'Summary, PPI''s'!$D70)/('Predicted PPIs'!R71+'Predicted PPIs'!R70)))*IF(N$26=".", 1, (N71/N70)^(('Summary, PPI''s'!$N71+'Summary, PPI''s'!$N70)/('Predicted PPIs'!R71+'Predicted PPIs'!R70)))*IF(O$26=".", 1, (O71/O70)^(('Summary, PPI''s'!$O71+'Summary, PPI''s'!$O70)/('Predicted PPIs'!R71+'Predicted PPIs'!R70)))*IF(P$26=".", 1, (P71/P70)^(('Summary, PPI''s'!$P71+'Summary, PPI''s'!$P70)/('Predicted PPIs'!R71+'Predicted PPIs'!R70)))</f>
        <v>#VALUE!</v>
      </c>
      <c r="AA71" s="4" t="e">
        <f>AA70*IF(E$36=".", 1, (E71/E70)^(('Summary, PPI''s'!$E71+'Summary, PPI''s'!$E70)/('Predicted PPIs'!S71+'Predicted PPIs'!S70)))*IF(F$36=".", 1, (F71/F70)^(('Summary, PPI''s'!$F71+'Summary, PPI''s'!$F70)/('Predicted PPIs'!S71+'Predicted PPIs'!S70)))*IF(G$36=".", 1, (G71/G70)^(('Summary, PPI''s'!$G71+'Summary, PPI''s'!$G70)/('Predicted PPIs'!S71+'Predicted PPIs'!S70)))*IF(H$36=".", 1, (H71/H70)^(('Summary, PPI''s'!$H71+'Summary, PPI''s'!$H70)/('Predicted PPIs'!S71+'Predicted PPIs'!S70)))*IF(I$36=".", 1, (I71/I70)^(('Summary, PPI''s'!$I71+'Summary, PPI''s'!$I70)/('Predicted PPIs'!S71+'Predicted PPIs'!S70)))*IF(J$36=".", 1, (J71/J70)^(('Summary, PPI''s'!$J71+'Summary, PPI''s'!$J70)/('Predicted PPIs'!S71+'Predicted PPIs'!S70)))*IF(K$36=".", 1, (K71/K70)^(('Summary, PPI''s'!$K71+'Summary, PPI''s'!$K70)/('Predicted PPIs'!S71+'Predicted PPIs'!S70)))*IF(L$36=".", 1, (L71/L70)^(('Summary, PPI''s'!$L71+'Summary, PPI''s'!$L70)/('Predicted PPIs'!S71+'Predicted PPIs'!S70)))*IF(M$36=".", 1, (M71/M70)^(('Summary, PPI''s'!$M71+'Summary, PPI''s'!$M70)/('Predicted PPIs'!S71+'Predicted PPIs'!S70)))*IF(B$36=".", 1, (B71/B70)^(('Summary, PPI''s'!$B71+'Summary, PPI''s'!$B70)/('Predicted PPIs'!S71+'Predicted PPIs'!S70)))*IF(C$36=".", 1, (C71/C70)^(('Summary, PPI''s'!$C71+'Summary, PPI''s'!$C70)/('Predicted PPIs'!S71+'Predicted PPIs'!S70)))*IF(D$36=".", 1, (D71/D70)^(('Summary, PPI''s'!$D71+'Summary, PPI''s'!$D70)/('Predicted PPIs'!S71+'Predicted PPIs'!S70)))*IF(N$36=".", 1, (N71/N70)^(('Summary, PPI''s'!$N71+'Summary, PPI''s'!$N70)/('Predicted PPIs'!S71+'Predicted PPIs'!S70)))*IF(O$36=".", 1, (O71/O70)^(('Summary, PPI''s'!$O71+'Summary, PPI''s'!$O70)/('Predicted PPIs'!S71+'Predicted PPIs'!S70)))*IF(P$36=".", 1, (P71/P70)^(('Summary, PPI''s'!$P71+'Summary, PPI''s'!$P70)/('Predicted PPIs'!S71+'Predicted PPIs'!S70)))</f>
        <v>#VALUE!</v>
      </c>
      <c r="AB71" s="4" t="e">
        <f>AB70*IF(E$46=".", 1, (E71/E70)^(('Summary, PPI''s'!$E71+'Summary, PPI''s'!$E70)/('Predicted PPIs'!T71+'Predicted PPIs'!T70)))*IF(F$46=".", 1, (F71/F70)^(('Summary, PPI''s'!$F71+'Summary, PPI''s'!$F70)/('Predicted PPIs'!T71+'Predicted PPIs'!T70)))*IF(G$46=".", 1, (G71/G70)^(('Summary, PPI''s'!$G71+'Summary, PPI''s'!$G70)/('Predicted PPIs'!T71+'Predicted PPIs'!T70)))*IF(H$46=".", 1, (H71/H70)^(('Summary, PPI''s'!$H71+'Summary, PPI''s'!$H70)/('Predicted PPIs'!T71+'Predicted PPIs'!T70)))*IF(I$46=".", 1, (I71/I70)^(('Summary, PPI''s'!$I71+'Summary, PPI''s'!$I70)/('Predicted PPIs'!T71+'Predicted PPIs'!T70)))*IF(J$46=".", 1, (J71/J70)^(('Summary, PPI''s'!$J71+'Summary, PPI''s'!$J70)/('Predicted PPIs'!T71+'Predicted PPIs'!T70)))*IF(K$46=".", 1, (K71/K70)^(('Summary, PPI''s'!$K71+'Summary, PPI''s'!$K70)/('Predicted PPIs'!T71+'Predicted PPIs'!T70)))*IF(L$46=".", 1, (L71/L70)^(('Summary, PPI''s'!$L71+'Summary, PPI''s'!$L70)/('Predicted PPIs'!T71+'Predicted PPIs'!T70)))*IF(M$46=".", 1, (M71/M70)^(('Summary, PPI''s'!$M71+'Summary, PPI''s'!$M70)/('Predicted PPIs'!T71+'Predicted PPIs'!T70)))*IF(B$46=".", 1, (B71/B70)^(('Summary, PPI''s'!$B71+'Summary, PPI''s'!$B70)/('Predicted PPIs'!T71+'Predicted PPIs'!T70)))*IF(C$46=".", 1, (C71/C70)^(('Summary, PPI''s'!$C71+'Summary, PPI''s'!$C70)/('Predicted PPIs'!T71+'Predicted PPIs'!T70)))*IF(D$46=".", 1, (D71/D70)^(('Summary, PPI''s'!$D71+'Summary, PPI''s'!$D70)/('Predicted PPIs'!T71+'Predicted PPIs'!T70)))*IF(N$46=".", 1, (N71/N70)^(('Summary, PPI''s'!$N71+'Summary, PPI''s'!$N70)/('Predicted PPIs'!T71+'Predicted PPIs'!T70)))*IF(O$46=".", 1, (O71/O70)^(('Summary, PPI''s'!$O71+'Summary, PPI''s'!$O70)/('Predicted PPIs'!T71+'Predicted PPIs'!T70)))*IF(P$46=".", 1, (P71/P70)^(('Summary, PPI''s'!$P71+'Summary, PPI''s'!$P70)/('Predicted PPIs'!T71+'Predicted PPIs'!T70)))</f>
        <v>#VALUE!</v>
      </c>
      <c r="AC71" s="4" t="e">
        <f>AC70*IF(E$60=".",1,(E71/E70)^(('Summary, PPI''s'!$E71+'Summary, PPI''s'!$E70)/('Predicted PPIs'!U71+'Predicted PPIs'!U70)))*IF(F$60=".",1,(F71/F70)^(('Summary, PPI''s'!$F71+'Summary, PPI''s'!$F70)/('Predicted PPIs'!U71+'Predicted PPIs'!U70)))*IF(G$60=".",1,(G71/G70)^(('Summary, PPI''s'!$G71+'Summary, PPI''s'!$G70)/('Predicted PPIs'!U71+'Predicted PPIs'!U70)))*IF(H$60=".",1,(H71/H70)^(('Summary, PPI''s'!$H71+'Summary, PPI''s'!$H70)/('Predicted PPIs'!U71+'Predicted PPIs'!U70)))*IF(I$60=".",1,(I71/I70)^(('Summary, PPI''s'!$I71+'Summary, PPI''s'!$I70)/('Predicted PPIs'!U71+'Predicted PPIs'!U70)))*IF(J$60=".",1,(J71/J70)^(('Summary, PPI''s'!$J71+'Summary, PPI''s'!$J70)/('Predicted PPIs'!U71+'Predicted PPIs'!U70)))*IF(K$60=".",1,(K71/K70)^(('Summary, PPI''s'!$K71+'Summary, PPI''s'!$K70)/('Predicted PPIs'!U71+'Predicted PPIs'!U70)))*IF(L$60=".",1,(L71/L70)^(('Summary, PPI''s'!$L71+'Summary, PPI''s'!$L70)/('Predicted PPIs'!U71+'Predicted PPIs'!U70)))*IF(M$60=".",1,(M71/M70)^(('Summary, PPI''s'!$M71+'Summary, PPI''s'!$M70)/('Predicted PPIs'!U71+'Predicted PPIs'!U70)))*IF(B$60=".",1,(B71/B70)^(('Summary, PPI''s'!$B71+'Summary, PPI''s'!$B70)/('Predicted PPIs'!U71+'Predicted PPIs'!U70)))*IF(C$60=".",1,(C71/C70)^(('Summary, PPI''s'!$C71+'Summary, PPI''s'!$C70)/('Predicted PPIs'!U71+'Predicted PPIs'!U70)))*IF(D$60=".",1,(D71/D70)^(('Summary, PPI''s'!$D71+'Summary, PPI''s'!$D70)/('Predicted PPIs'!U71+'Predicted PPIs'!U70)))*IF(N$60=".",1,(N71/N70)^(('Summary, PPI''s'!$N71+'Summary, PPI''s'!$N70)/('Predicted PPIs'!U71+'Predicted PPIs'!U70)))*IF(O$60=".",1,(O71/O70)^(('Summary, PPI''s'!$O71+'Summary, PPI''s'!$O70)/('Predicted PPIs'!U71+'Predicted PPIs'!U70)))*IF(P$60=".",1,(P71/P70)^(('Summary, PPI''s'!$P71+'Summary, PPI''s'!$P70)/('Predicted PPIs'!U71+'Predicted PPIs'!U70)))</f>
        <v>#VALUE!</v>
      </c>
      <c r="AD71" s="4">
        <f>AD70*IF(E$73=".", 1, (E71/E70)^(('Summary, PPI''s'!$E71+'Summary, PPI''s'!$E70)/('Predicted PPIs'!V71+'Predicted PPIs'!V70)))*IF(F$73=".", 1, (F71/F70)^(('Summary, PPI''s'!$F71+'Summary, PPI''s'!$F70)/('Predicted PPIs'!V71+'Predicted PPIs'!V70)))*IF(G$73=".", 1, (G71/G70)^(('Summary, PPI''s'!$G71+'Summary, PPI''s'!$G70)/('Predicted PPIs'!V71+'Predicted PPIs'!V70)))*IF(H$73=".", 1, (H71/H70)^(('Summary, PPI''s'!$H71+'Summary, PPI''s'!$H70)/('Predicted PPIs'!V71+'Predicted PPIs'!V70)))*IF(I$73=".", 1, (I71/I70)^(('Summary, PPI''s'!$I71+'Summary, PPI''s'!$I70)/('Predicted PPIs'!V71+'Predicted PPIs'!V70)))*IF(J$73=".", 1, (J71/J70)^(('Summary, PPI''s'!$J71+'Summary, PPI''s'!$J70)/('Predicted PPIs'!V71+'Predicted PPIs'!V70)))*IF(K$73=".", 1, (K71/K70)^(('Summary, PPI''s'!$K71+'Summary, PPI''s'!$K70)/('Predicted PPIs'!V71+'Predicted PPIs'!V70)))*IF(L$73=".", 1, (L71/L70)^(('Summary, PPI''s'!$L71+'Summary, PPI''s'!$L70)/('Predicted PPIs'!V71+'Predicted PPIs'!V70)))*IF(M$73=".", 1, (M71/M70)^(('Summary, PPI''s'!$M71+'Summary, PPI''s'!$M70)/('Predicted PPIs'!V71+'Predicted PPIs'!V70)))*IF(B$73=".", 1, (B71/B70)^(('Summary, PPI''s'!$B71+'Summary, PPI''s'!$B70)/('Predicted PPIs'!V71+'Predicted PPIs'!V70)))*IF(C$73=".", 1, (C71/C70)^(('Summary, PPI''s'!$C71+'Summary, PPI''s'!$C70)/('Predicted PPIs'!V71+'Predicted PPIs'!V70)))*IF(D$73=".", 1, (D71/D70)^(('Summary, PPI''s'!$D71+'Summary, PPI''s'!$D70)/('Predicted PPIs'!V71+'Predicted PPIs'!V70)))*IF(N$73=".", 1, (N71/N70)^(('Summary, PPI''s'!$N71+'Summary, PPI''s'!$N70)/('Predicted PPIs'!V71+'Predicted PPIs'!V70)))*IF(O$73=".", 1, (O71/O70)^(('Summary, PPI''s'!$O71+'Summary, PPI''s'!$O70)/('Predicted PPIs'!V71+'Predicted PPIs'!V70)))*IF(P$73=".", 1, (P71/P70)^(('Summary, PPI''s'!$P71+'Summary, PPI''s'!$P70)/('Predicted PPIs'!V71+'Predicted PPIs'!V70)))</f>
        <v>7.5949825763182535</v>
      </c>
      <c r="AE71" s="4">
        <f>AE70*IF(E$94=".", 1, (E71/E70)^(('Summary, PPI''s'!$E71+'Summary, PPI''s'!$E70)/('Predicted PPIs'!W71+'Predicted PPIs'!W70)))*IF(F$94=".", 1, (F71/F70)^(('Summary, PPI''s'!$F71+'Summary, PPI''s'!$F70)/('Predicted PPIs'!W71+'Predicted PPIs'!W70)))*IF(G$94=".", 1, (G71/G70)^(('Summary, PPI''s'!$G71+'Summary, PPI''s'!$G70)/('Predicted PPIs'!W71+'Predicted PPIs'!W70)))*IF(H$94=".", 1, (H71/H70)^(('Summary, PPI''s'!$H71+'Summary, PPI''s'!$H70)/('Predicted PPIs'!W71+'Predicted PPIs'!W70)))*IF(I$94=".", 1, (I71/I70)^(('Summary, PPI''s'!$I71+'Summary, PPI''s'!$I70)/('Predicted PPIs'!W71+'Predicted PPIs'!W70)))*IF(J$94=".", 1, (J71/J70)^(('Summary, PPI''s'!$J71+'Summary, PPI''s'!$J70)/('Predicted PPIs'!W71+'Predicted PPIs'!W70)))*IF(K$94=".", 1, (K71/K70)^(('Summary, PPI''s'!$K71+'Summary, PPI''s'!$K70)/('Predicted PPIs'!W71+'Predicted PPIs'!W70)))*IF(L$94=".", 1, (L71/L70)^(('Summary, PPI''s'!$L71+'Summary, PPI''s'!$L70)/('Predicted PPIs'!W71+'Predicted PPIs'!W70)))*IF(M$94=".", 1, (M71/M70)^(('Summary, PPI''s'!$M71+'Summary, PPI''s'!$M70)/('Predicted PPIs'!W71+'Predicted PPIs'!W70)))*IF(B$94=".", 1, (B71/B70)^(('Summary, PPI''s'!$B71+'Summary, PPI''s'!$B70)/('Predicted PPIs'!W71+'Predicted PPIs'!W70)))*IF(C$94=".", 1, (C71/C70)^(('Summary, PPI''s'!$C71+'Summary, PPI''s'!$C70)/('Predicted PPIs'!W71+'Predicted PPIs'!W70)))*IF(D$94=".", 1, (D71/D70)^(('Summary, PPI''s'!$D71+'Summary, PPI''s'!$D70)/('Predicted PPIs'!W71+'Predicted PPIs'!W70)))*IF(N$94=".", 1, (N71/N70)^(('Summary, PPI''s'!$N71+'Summary, PPI''s'!$N70)/('Predicted PPIs'!W71+'Predicted PPIs'!W70)))*IF(O$94=".", 1, (O71/O70)^(('Summary, PPI''s'!$O71+'Summary, PPI''s'!$O70)/('Predicted PPIs'!W71+'Predicted PPIs'!W70)))*IF(P$94=".", 1, (P71/P70)^(('Summary, PPI''s'!$P71+'Summary, PPI''s'!$P70)/('Predicted PPIs'!W71+'Predicted PPIs'!W70)))</f>
        <v>6.4604847773532024</v>
      </c>
      <c r="AF71" s="4">
        <f>AF70*IF(E$123=".", 1, (E71/E70)^(('Summary, PPI''s'!$E71+'Summary, PPI''s'!$E70)/('Predicted PPIs'!X71+'Predicted PPIs'!X70)))*IF(F$123=".", 1, (F71/F70)^(('Summary, PPI''s'!$F71+'Summary, PPI''s'!$F70)/('Predicted PPIs'!X71+'Predicted PPIs'!X70)))*IF(G$123=".", 1, (G71/G70)^(('Summary, PPI''s'!$G71+'Summary, PPI''s'!$G70)/('Predicted PPIs'!X71+'Predicted PPIs'!X70)))*IF(H$123=".", 1, (H71/H70)^(('Summary, PPI''s'!$H71+'Summary, PPI''s'!$H70)/('Predicted PPIs'!X71+'Predicted PPIs'!X70)))*IF(I$123=".", 1, (I71/I70)^(('Summary, PPI''s'!$I71+'Summary, PPI''s'!$I70)/('Predicted PPIs'!X71+'Predicted PPIs'!X70)))*IF(J$123=".", 1, (J71/J70)^(('Summary, PPI''s'!$J71+'Summary, PPI''s'!$J70)/('Predicted PPIs'!X71+'Predicted PPIs'!X70)))*IF(K$123=".", 1, (K71/K70)^(('Summary, PPI''s'!$K71+'Summary, PPI''s'!$K70)/('Predicted PPIs'!X71+'Predicted PPIs'!X70)))*IF(L$123=".", 1, (L71/L70)^(('Summary, PPI''s'!$L71+'Summary, PPI''s'!$L70)/('Predicted PPIs'!X71+'Predicted PPIs'!X70)))*IF(M$123=".", 1, (M71/M70)^(('Summary, PPI''s'!$M71+'Summary, PPI''s'!$M70)/('Predicted PPIs'!X71+'Predicted PPIs'!X70)))*IF(B$123=".", 1, (B71/B70)^(('Summary, PPI''s'!$B71+'Summary, PPI''s'!$B70)/('Predicted PPIs'!X71+'Predicted PPIs'!X70)))*IF(C$123=".", 1, (C71/C70)^(('Summary, PPI''s'!$C71+'Summary, PPI''s'!$C70)/('Predicted PPIs'!X71+'Predicted PPIs'!X70)))*IF(D$123=".", 1, (D71/D70)^(('Summary, PPI''s'!$D71+'Summary, PPI''s'!$D70)/('Predicted PPIs'!X71+'Predicted PPIs'!X70)))*IF(N$123=".", 1, (N71/N70)^(('Summary, PPI''s'!$N71+'Summary, PPI''s'!$N70)/('Predicted PPIs'!X71+'Predicted PPIs'!X70)))*IF(O$123=".", 1, (O71/O70)^(('Summary, PPI''s'!$O71+'Summary, PPI''s'!$O70)/('Predicted PPIs'!X71+'Predicted PPIs'!X70)))*IF(P$123=".", 1, (P71/P70)^(('Summary, PPI''s'!$P71+'Summary, PPI''s'!$P70)/('Predicted PPIs'!X71+'Predicted PPIs'!X70)))</f>
        <v>5.9933938581678783</v>
      </c>
      <c r="AH71" s="13">
        <f t="shared" si="152"/>
        <v>8.8033610873884154</v>
      </c>
      <c r="AJ71" s="4">
        <v>219.3</v>
      </c>
      <c r="AK71" s="4">
        <v>-2.2200000000000002</v>
      </c>
      <c r="AL71" s="4">
        <v>-15.901</v>
      </c>
      <c r="AM71" s="4">
        <v>-1.736</v>
      </c>
      <c r="AN71" s="4">
        <v>295.7</v>
      </c>
      <c r="AO71" s="4">
        <v>54</v>
      </c>
      <c r="AP71" s="4">
        <f>('[4]1952'!$I$14+'[4]1952'!$I$51+'[4]1952'!$I$53-'[4]1952'!$I$55)*0.001</f>
        <v>-5.37</v>
      </c>
      <c r="AQ71" s="4">
        <f>('[4]1952'!$AK$42+'[4]1952'!$AK$51+'[4]1952'!$AK$53-'[4]1952'!$AK$55)*0.001</f>
        <v>-9.3049999999999997</v>
      </c>
      <c r="AR71" s="4">
        <f t="shared" si="148"/>
        <v>-3.0986176854372743E-3</v>
      </c>
      <c r="AS71" s="4">
        <v>-1.095</v>
      </c>
      <c r="AT71" s="4">
        <v>14.445</v>
      </c>
      <c r="AU71" s="4">
        <v>25.975000000000001</v>
      </c>
      <c r="AV71" s="4">
        <v>11.941000000000001</v>
      </c>
      <c r="AW71" s="4">
        <v>11.209</v>
      </c>
      <c r="AX71" s="4">
        <v>14.504</v>
      </c>
      <c r="AY71" s="4">
        <v>20.422999999999998</v>
      </c>
      <c r="AZ71" s="4">
        <v>7.6689999999999996</v>
      </c>
      <c r="BA71" s="4">
        <v>17.184999999999999</v>
      </c>
      <c r="BB71" s="4">
        <f t="shared" si="150"/>
        <v>98.293963879359168</v>
      </c>
      <c r="BC71" s="4">
        <v>13.406000000000001</v>
      </c>
      <c r="BG71" s="4">
        <f t="shared" si="50"/>
        <v>15.046038454635944</v>
      </c>
      <c r="BI71" s="4">
        <f>BI$13*'[2]Ordinary Experience'!$D$355/'[2]Ordinary Experience'!$D$413</f>
        <v>156165723.91932777</v>
      </c>
      <c r="BJ71" s="4">
        <f>'[2]Ordinary Experience'!$E$355</f>
        <v>27.691973147288131</v>
      </c>
      <c r="BL71" s="4">
        <f t="shared" si="151"/>
        <v>33.619067753365478</v>
      </c>
      <c r="BM71" s="4">
        <f t="shared" si="153"/>
        <v>2.9605700939638879E-3</v>
      </c>
      <c r="BO71" s="4" t="str">
        <f>IF(OR('Summary, hourly ad costs'!R71=-9999,'Summary, PPI''s'!R71="."),".",(('Summary, hourly ad costs'!B71/'Summary, hourly ad costs'!R71)*100/('Summary, hourly ad costs'!B$11/'Summary, hourly ad costs'!R$11))/('Summary, PPI''s'!R71))</f>
        <v>.</v>
      </c>
      <c r="BP71" s="4" t="str">
        <f>IF(OR('Summary, hourly ad costs'!S71=-9999,'Summary, PPI''s'!S71="."),".",(('Summary, hourly ad costs'!C71/'Summary, hourly ad costs'!S71)*100/('Summary, hourly ad costs'!C$11/'Summary, hourly ad costs'!S$11))/('Summary, PPI''s'!S71))</f>
        <v>.</v>
      </c>
      <c r="BQ71" s="4" t="str">
        <f>IF(OR('Summary, hourly ad costs'!T71=-9999,'Summary, PPI''s'!T71="."),".",(('Summary, hourly ad costs'!D71/'Summary, hourly ad costs'!T71)*100/('Summary, hourly ad costs'!D$11/'Summary, hourly ad costs'!T$11))/('Summary, PPI''s'!T71))</f>
        <v>.</v>
      </c>
      <c r="BR71" s="4" t="str">
        <f>IF(OR('Summary, hourly ad costs'!U71=-9999,'Summary, PPI''s'!U71="."),".",(('Summary, hourly ad costs'!E71/'Summary, hourly ad costs'!U71)*100/('Summary, hourly ad costs'!E$11/'Summary, hourly ad costs'!U$11))/('Summary, PPI''s'!U71))</f>
        <v>.</v>
      </c>
      <c r="BS71" s="4" t="str">
        <f>IF(OR('Summary, hourly ad costs'!V71=-9999,'Summary, PPI''s'!V71="."),".",(('Summary, hourly ad costs'!F71/'Summary, hourly ad costs'!V71)*100/('Summary, hourly ad costs'!F$11/'Summary, hourly ad costs'!V$11))/('Summary, PPI''s'!V71))</f>
        <v>.</v>
      </c>
      <c r="BT71" s="4" t="str">
        <f>IF(OR('Summary, hourly ad costs'!W71=-9999,'Summary, PPI''s'!W71="."),".",(('Summary, hourly ad costs'!G71/'Summary, hourly ad costs'!W71)*100/('Summary, hourly ad costs'!G$11/'Summary, hourly ad costs'!W$11))/('Summary, PPI''s'!W71))</f>
        <v>.</v>
      </c>
      <c r="BU71" s="4" t="str">
        <f>IF(OR('Summary, hourly ad costs'!X71=-9999,'Summary, PPI''s'!X71="."),".",(('Summary, hourly ad costs'!H71/'Summary, hourly ad costs'!X71)*100/('Summary, hourly ad costs'!H$11/'Summary, hourly ad costs'!X$11))/('Summary, PPI''s'!X71))</f>
        <v>.</v>
      </c>
      <c r="BV71" s="4" t="str">
        <f>IF(OR('Summary, hourly ad costs'!Y71=-9999,'Summary, PPI''s'!Y71="."),".",(('Summary, hourly ad costs'!I71/'Summary, hourly ad costs'!Y71)*100/('Summary, hourly ad costs'!I$11/'Summary, hourly ad costs'!Y$11))/('Summary, PPI''s'!Y71))</f>
        <v>.</v>
      </c>
      <c r="BW71" s="4" t="str">
        <f>IF(OR('Summary, hourly ad costs'!Z71=-9999,'Summary, PPI''s'!Z71="."),".",(('Summary, hourly ad costs'!J71/'Summary, hourly ad costs'!Z71)*100/('Summary, hourly ad costs'!J$11/'Summary, hourly ad costs'!Z$11))/('Summary, PPI''s'!Z71))</f>
        <v>.</v>
      </c>
      <c r="BX71" s="4" t="str">
        <f>IF(OR('Summary, hourly ad costs'!AA71=-9999,'Summary, PPI''s'!AA71="."),".",(('Summary, hourly ad costs'!K71/'Summary, hourly ad costs'!AA71)*100/('Summary, hourly ad costs'!K$11/'Summary, hourly ad costs'!AA$11))/('Summary, PPI''s'!AA71))</f>
        <v>.</v>
      </c>
      <c r="BY71" s="4" t="str">
        <f>IF(OR('Summary, hourly ad costs'!AB71=-9999,'Summary, PPI''s'!AB71="."),".",(('Summary, hourly ad costs'!L71/'Summary, hourly ad costs'!AB71)*100/('Summary, hourly ad costs'!L$11/'Summary, hourly ad costs'!AB$11))/('Summary, PPI''s'!AB71))</f>
        <v>.</v>
      </c>
      <c r="BZ71" s="4" t="str">
        <f>IF(OR('Summary, hourly ad costs'!AC71=-9999,'Summary, PPI''s'!AC71="."),".",(('Summary, hourly ad costs'!M71/'Summary, hourly ad costs'!AC71)*100/('Summary, hourly ad costs'!M$11/'Summary, hourly ad costs'!AC$11))/('Summary, PPI''s'!AC71))</f>
        <v>.</v>
      </c>
      <c r="CA71" s="4" t="str">
        <f>IF(OR('Summary, hourly ad costs'!AD71=-9999,'Summary, PPI''s'!AD71="."),".",(('Summary, hourly ad costs'!N71/'Summary, hourly ad costs'!AD71)*100/('Summary, hourly ad costs'!N$11/'Summary, hourly ad costs'!AD$11))/('Summary, PPI''s'!AD71))</f>
        <v>.</v>
      </c>
      <c r="CB71" s="4" t="str">
        <f>IF(OR('Summary, hourly ad costs'!AE71=-9999,'Summary, PPI''s'!AE71="."),".",(('Summary, hourly ad costs'!O71/'Summary, hourly ad costs'!AE71)*100/('Summary, hourly ad costs'!O$11/'Summary, hourly ad costs'!AE$11))/('Summary, PPI''s'!AE71))</f>
        <v>.</v>
      </c>
      <c r="CC71" s="4" t="str">
        <f>IF(OR('Summary, hourly ad costs'!AF71=-9999,'Summary, PPI''s'!AF71="."),".",(('Summary, hourly ad costs'!P71/'Summary, hourly ad costs'!AF71)*100/('Summary, hourly ad costs'!P$11/'Summary, hourly ad costs'!AF$11))/('Summary, PPI''s'!AF71))</f>
        <v>.</v>
      </c>
      <c r="CE71" s="4">
        <f t="shared" si="134"/>
        <v>-2.9108402960071587E-2</v>
      </c>
      <c r="CF71" s="4" t="str">
        <f t="shared" si="135"/>
        <v>.</v>
      </c>
      <c r="CG71" s="4" t="str">
        <f t="shared" si="136"/>
        <v>.</v>
      </c>
      <c r="CH71" s="4">
        <f t="shared" si="145"/>
        <v>-1.7394084936541807E-2</v>
      </c>
      <c r="CI71" s="4">
        <f t="shared" si="145"/>
        <v>-1.8050820580285946E-2</v>
      </c>
      <c r="CJ71" s="4" t="str">
        <f t="shared" si="147"/>
        <v>.</v>
      </c>
      <c r="CK71" s="4">
        <f t="shared" si="149"/>
        <v>4.3704088548183039E-3</v>
      </c>
      <c r="CL71" s="4">
        <f t="shared" si="130"/>
        <v>-1.2897769172696225E-2</v>
      </c>
      <c r="CM71" s="4">
        <f t="shared" si="130"/>
        <v>1.1179740077079919E-2</v>
      </c>
      <c r="CN71" s="4">
        <f t="shared" si="89"/>
        <v>-2.7405107458889792E-2</v>
      </c>
      <c r="CO71" s="4">
        <f t="shared" si="120"/>
        <v>1.3599633230969316E-2</v>
      </c>
      <c r="CP71" s="4">
        <f t="shared" si="120"/>
        <v>0.18305097525202343</v>
      </c>
      <c r="CQ71" s="4" t="str">
        <f t="shared" si="110"/>
        <v>.</v>
      </c>
      <c r="CR71" s="4" t="str">
        <f t="shared" si="111"/>
        <v>.</v>
      </c>
      <c r="CS71" s="4" t="str">
        <f t="shared" si="112"/>
        <v>.</v>
      </c>
      <c r="CU71" s="5">
        <f>IF(CU70=".", ".", IF('Summary, PPI''s'!R71=".",IF(OR('Summary, hourly ad costs'!R71=-9999,'Summary, hourly ad costs'!R71=0), ".", 'Predicted PPIs'!CU70*('Summary, hourly ad costs'!B71/'Summary, hourly ad costs'!R71)/('Summary, hourly ad costs'!B70/'Summary, hourly ad costs'!R70)/(1-CE70)), 'Summary, PPI''s'!R71))</f>
        <v>24.668190679417911</v>
      </c>
      <c r="CV71" s="5" t="str">
        <f>IF(CV70=".", ".", IF('Summary, PPI''s'!S71=".",IF(OR('Summary, hourly ad costs'!S71=-9999,'Summary, hourly ad costs'!S71=0), ".", 'Predicted PPIs'!CV70*('Summary, hourly ad costs'!C71/'Summary, hourly ad costs'!S71)/('Summary, hourly ad costs'!C70/'Summary, hourly ad costs'!S70)/(1-CF70)), 'Summary, PPI''s'!S71))</f>
        <v>.</v>
      </c>
      <c r="CW71" s="5" t="str">
        <f>IF(CW70=".", ".", IF('Summary, PPI''s'!T71=".",IF(OR('Summary, hourly ad costs'!T71=-9999,'Summary, hourly ad costs'!T71=0), ".", 'Predicted PPIs'!CW70*('Summary, hourly ad costs'!D71/'Summary, hourly ad costs'!T71)/('Summary, hourly ad costs'!D70/'Summary, hourly ad costs'!T70)/(1-CG70)), 'Summary, PPI''s'!T71))</f>
        <v>.</v>
      </c>
      <c r="CX71" s="5">
        <f>IF(CX70=".", ".", IF('Summary, PPI''s'!U71=".",IF(OR('Summary, hourly ad costs'!U71=-9999,'Summary, hourly ad costs'!U71=0), ".", 'Predicted PPIs'!CX70*('Summary, hourly ad costs'!E71/'Summary, hourly ad costs'!U71)/('Summary, hourly ad costs'!E70/'Summary, hourly ad costs'!U70)/(1-CH70)), 'Summary, PPI''s'!U71))</f>
        <v>4.5685794202103924</v>
      </c>
      <c r="CY71" s="5">
        <f>IF(CY70=".", ".", IF('Summary, PPI''s'!V71=".",IF(OR('Summary, hourly ad costs'!V71=-9999,'Summary, hourly ad costs'!V71=0), ".", 'Predicted PPIs'!CY70*('Summary, hourly ad costs'!F71/'Summary, hourly ad costs'!V71)/('Summary, hourly ad costs'!F70/'Summary, hourly ad costs'!V70)/(1-CI70)), 'Summary, PPI''s'!V71))</f>
        <v>7.9584405555281883</v>
      </c>
      <c r="CZ71" s="5" t="str">
        <f>IF(CZ70=".", ".", IF('Summary, PPI''s'!W71=".",IF(OR('Summary, hourly ad costs'!W71=-9999,'Summary, hourly ad costs'!W71=0), ".", 'Predicted PPIs'!CZ70*('Summary, hourly ad costs'!G71/'Summary, hourly ad costs'!W71)/('Summary, hourly ad costs'!G70/'Summary, hourly ad costs'!W70)/(1-CJ70)), 'Summary, PPI''s'!W71))</f>
        <v>.</v>
      </c>
      <c r="DA71" s="5">
        <f>IF(DA70=".", ".", IF('Summary, PPI''s'!X71=".",IF(OR('Summary, hourly ad costs'!X71=-9999,'Summary, hourly ad costs'!X71=0), ".", 'Predicted PPIs'!DA70*('Summary, hourly ad costs'!H71/'Summary, hourly ad costs'!X71)/('Summary, hourly ad costs'!H70/'Summary, hourly ad costs'!X70)/(1-CK70)), 'Summary, PPI''s'!X71))</f>
        <v>4.1677918841901134</v>
      </c>
      <c r="DB71" s="5">
        <f>IF(DB70=".", ".", IF('Summary, PPI''s'!Y71=".",IF(OR('Summary, hourly ad costs'!Y71=-9999,'Summary, hourly ad costs'!Y71=0), ".", 'Predicted PPIs'!DB70*('Summary, hourly ad costs'!I71/'Summary, hourly ad costs'!Y71)/('Summary, hourly ad costs'!I70/'Summary, hourly ad costs'!Y70)/(1-CL70)), 'Summary, PPI''s'!Y71))</f>
        <v>9.7435308801819769</v>
      </c>
      <c r="DC71" s="5">
        <f>IF(DC70=".", ".", IF('Summary, PPI''s'!Z71=".",IF(OR('Summary, hourly ad costs'!Z71=-9999,'Summary, hourly ad costs'!Z71=0), ".", 'Predicted PPIs'!DC70*('Summary, hourly ad costs'!J71/'Summary, hourly ad costs'!Z71)/('Summary, hourly ad costs'!J70/'Summary, hourly ad costs'!Z70)/(1-CM70)), 'Summary, PPI''s'!Z71))</f>
        <v>23.482613504305984</v>
      </c>
      <c r="DD71" s="5" t="str">
        <f>IF(DD70=".", ".", IF('Summary, PPI''s'!AA71=".",IF(OR('Summary, hourly ad costs'!AA71=-9999,'Summary, hourly ad costs'!AA71=0), ".", 'Predicted PPIs'!DD70*('Summary, hourly ad costs'!K71/'Summary, hourly ad costs'!AA71)/('Summary, hourly ad costs'!K70/'Summary, hourly ad costs'!AA70)/(1-CN70)), 'Summary, PPI''s'!AA71))</f>
        <v>.</v>
      </c>
      <c r="DE71" s="5" t="str">
        <f>IF(DE70=".", ".", IF('Summary, PPI''s'!AB71=".",IF(OR('Summary, hourly ad costs'!AB71=-9999,'Summary, hourly ad costs'!AB71=0), ".", 'Predicted PPIs'!DE70*('Summary, hourly ad costs'!L71/'Summary, hourly ad costs'!AB71)/('Summary, hourly ad costs'!L70/'Summary, hourly ad costs'!AB70)/(1-CO70)), 'Summary, PPI''s'!AB71))</f>
        <v>.</v>
      </c>
      <c r="DF71" s="5" t="str">
        <f>IF(DF70=".", ".", IF('Summary, PPI''s'!AC71=".",IF(OR('Summary, hourly ad costs'!AC71=-9999,'Summary, hourly ad costs'!AC71=0), ".", 'Predicted PPIs'!DF70*('Summary, hourly ad costs'!M71/'Summary, hourly ad costs'!AC71)/('Summary, hourly ad costs'!M70/'Summary, hourly ad costs'!AC70)/(1-CP70)), 'Summary, PPI''s'!AC71))</f>
        <v>.</v>
      </c>
      <c r="DG71" s="5" t="str">
        <f>IF(DG70=".", ".", IF('Summary, PPI''s'!AD71=".",IF(OR('Summary, hourly ad costs'!AD71=-9999,'Summary, hourly ad costs'!AD71=0), ".", 'Predicted PPIs'!DG70*('Summary, hourly ad costs'!N71/'Summary, hourly ad costs'!AD71)/('Summary, hourly ad costs'!N70/'Summary, hourly ad costs'!AD70)/(1-CQ70)), 'Summary, PPI''s'!AD71))</f>
        <v>.</v>
      </c>
      <c r="DH71" s="5" t="str">
        <f>IF(DH70=".", ".", IF('Summary, PPI''s'!AE71=".",IF(OR('Summary, hourly ad costs'!AE71=-9999,'Summary, hourly ad costs'!AE71=0), ".", 'Predicted PPIs'!DH70*('Summary, hourly ad costs'!O71/'Summary, hourly ad costs'!AE71)/('Summary, hourly ad costs'!O70/'Summary, hourly ad costs'!AE70)/(1-CR70)), 'Summary, PPI''s'!AE71))</f>
        <v>.</v>
      </c>
      <c r="DI71" s="5" t="str">
        <f>IF(DI70=".", ".", IF('Summary, PPI''s'!AF71=".",IF(OR('Summary, hourly ad costs'!AF71=-9999,'Summary, hourly ad costs'!AF71=0), ".", 'Predicted PPIs'!DI70*('Summary, hourly ad costs'!P71/'Summary, hourly ad costs'!AF71)/('Summary, hourly ad costs'!P70/'Summary, hourly ad costs'!AF70)/(1-CS70)), 'Summary, PPI''s'!AF71))</f>
        <v>.</v>
      </c>
      <c r="DK71" s="4">
        <v>4.6340000000000003</v>
      </c>
      <c r="DM71" s="5">
        <f t="shared" si="138"/>
        <v>-8.6401496010264256E-2</v>
      </c>
      <c r="DN71" s="4">
        <f t="shared" si="139"/>
        <v>-2.0218809771170163E-2</v>
      </c>
      <c r="DO71" s="4">
        <f t="shared" si="123"/>
        <v>-2.282392823976467E-2</v>
      </c>
      <c r="DP71" s="5">
        <f t="shared" si="140"/>
        <v>8.6679407542241016E-2</v>
      </c>
      <c r="DQ71" s="5">
        <f t="shared" si="141"/>
        <v>8.1270618252412774E-2</v>
      </c>
      <c r="DR71" s="4">
        <f t="shared" si="146"/>
        <v>-1.0878617999446913E-2</v>
      </c>
      <c r="DS71" s="5">
        <f t="shared" si="142"/>
        <v>0.13151076611445922</v>
      </c>
      <c r="DT71" s="5">
        <f t="shared" si="143"/>
        <v>-3.1561535969454213E-2</v>
      </c>
      <c r="DU71" s="5">
        <f t="shared" si="144"/>
        <v>-0.152906774434167</v>
      </c>
      <c r="DV71" s="4">
        <f t="shared" si="131"/>
        <v>7.4156228481334898E-4</v>
      </c>
      <c r="DW71" s="4">
        <f t="shared" si="133"/>
        <v>-2.6605743244637443E-2</v>
      </c>
      <c r="DX71" s="4">
        <f t="shared" si="133"/>
        <v>-0.12651963575968911</v>
      </c>
      <c r="DY71" s="4">
        <f t="shared" si="108"/>
        <v>-1.9795768128104897E-2</v>
      </c>
      <c r="DZ71" s="4">
        <f t="shared" si="132"/>
        <v>-1.3385741348145094E-2</v>
      </c>
      <c r="EA71" s="4">
        <f t="shared" si="109"/>
        <v>-1.1754791173491172E-2</v>
      </c>
      <c r="EC71" s="1">
        <f t="shared" si="154"/>
        <v>24.668190679417911</v>
      </c>
      <c r="ED71" s="1">
        <f t="shared" si="155"/>
        <v>11.399943294985999</v>
      </c>
      <c r="EE71" s="1">
        <f t="shared" si="156"/>
        <v>6.4279092697042088</v>
      </c>
      <c r="EF71" s="1">
        <f t="shared" si="157"/>
        <v>4.5685794202103924</v>
      </c>
      <c r="EG71" s="1">
        <f t="shared" si="158"/>
        <v>7.9584405555281883</v>
      </c>
      <c r="EH71" s="1">
        <f t="shared" si="159"/>
        <v>5.6032961218530923</v>
      </c>
      <c r="EI71" s="1">
        <f t="shared" si="160"/>
        <v>4.1677918841901134</v>
      </c>
      <c r="EJ71" s="1">
        <f t="shared" si="161"/>
        <v>9.7435308801819769</v>
      </c>
      <c r="EK71" s="1">
        <f t="shared" si="162"/>
        <v>23.482613504305984</v>
      </c>
      <c r="EL71" s="1">
        <f t="shared" si="163"/>
        <v>3.7817150586812835</v>
      </c>
      <c r="EM71" s="1">
        <f t="shared" si="164"/>
        <v>0.95563180083607735</v>
      </c>
      <c r="EN71" s="1">
        <f t="shared" si="165"/>
        <v>3.7454133815326163</v>
      </c>
      <c r="EO71" s="1">
        <f t="shared" si="166"/>
        <v>4.07118796063763</v>
      </c>
      <c r="EP71" s="1">
        <f t="shared" si="167"/>
        <v>5.7762791723979374</v>
      </c>
      <c r="EQ71" s="1">
        <f t="shared" si="168"/>
        <v>4.4512884790979808</v>
      </c>
      <c r="ES71" s="1">
        <f>IF(EF$26=".", 0, 'Summary, PPI''s'!E71)+IF(EG$26=".", 0, 'Summary, PPI''s'!F71)+IF(EH$26=".", 0, 'Summary, PPI''s'!G71)+IF(EI$26=".", 0, 'Summary, PPI''s'!H71)+IF(EJ$26=".", 0, 'Summary, PPI''s'!I71)+IF(EK$26=".", 0, 'Summary, PPI''s'!J71)+IF(EL$26=".", 0, 'Summary, PPI''s'!K71)+IF(EM$26=".", 0, 'Summary, PPI''s'!L71)+IF(EN$26=".", 0, 'Summary, PPI''s'!M71)+IF(EC$26=".", 0, 'Summary, PPI''s'!B71)+IF(ED$26=".", 0, 'Summary, PPI''s'!C71)+IF(EE$26=".", 0, 'Summary, PPI''s'!D71)+IF(EO$26=".", 0, 'Summary, PPI''s'!N71)+IF(EP$26=".", 0, 'Summary, PPI''s'!O71)+IF(EQ$26=".", 0, 'Summary, PPI''s'!P71)</f>
        <v>7283201.8064004453</v>
      </c>
      <c r="ET71" s="1">
        <f>'Summary, hourly ad costs'!E71+'Summary, hourly ad costs'!F71+'Summary, hourly ad costs'!H71+'Summary, hourly ad costs'!I71+'Summary, hourly ad costs'!J71+'Summary, hourly ad costs'!K71+'Summary, hourly ad costs'!L71+'Summary, hourly ad costs'!M71+'Summary, hourly ad costs'!B71</f>
        <v>4420761.654338045</v>
      </c>
      <c r="EV71" s="13">
        <f>EV70*IF(EF$26=".", 1, (EF71/EF70)^(('Summary, PPI''s'!$E71+'Summary, PPI''s'!$E70)/('Predicted PPIs'!ES71+'Predicted PPIs'!ES70)))*IF(EG$26=".", 1, (EG71/EG70)^(('Summary, PPI''s'!$F71+'Summary, PPI''s'!$F70)/('Predicted PPIs'!ES71+'Predicted PPIs'!ES70)))*IF(EH$26=".", 1, (EH71/EH70)^(('Summary, PPI''s'!$G71+'Summary, PPI''s'!$G70)/('Predicted PPIs'!ES71+'Predicted PPIs'!ES70)))*IF(EI$26=".", 1, (EI71/EI70)^(('Summary, PPI''s'!$H71+'Summary, PPI''s'!$H70)/('Predicted PPIs'!ES71+'Predicted PPIs'!ES70)))*IF(EJ$26=".", 1, (EJ71/EJ70)^(('Summary, PPI''s'!$I71+'Summary, PPI''s'!$I70)/('Predicted PPIs'!ES71+'Predicted PPIs'!ES70)))*IF(EK$26=".", 1, (EK71/EK70)^(('Summary, PPI''s'!$J71+'Summary, PPI''s'!$J70)/('Predicted PPIs'!ES71+'Predicted PPIs'!ES70)))*IF(EL$26=".", 1, (EL71/EL70)^(('Summary, PPI''s'!$K71+'Summary, PPI''s'!$K70)/('Predicted PPIs'!ES71+'Predicted PPIs'!ES70)))*IF(EM$26=".", 1, (EM71/EM70)^(('Summary, PPI''s'!$L71+'Summary, PPI''s'!$L70)/('Predicted PPIs'!ES71+'Predicted PPIs'!ES70)))*IF(EN$26=".", 1, (EN71/EN70)^(('Summary, PPI''s'!$M71+'Summary, PPI''s'!$M70)/('Predicted PPIs'!ES71+'Predicted PPIs'!ES70)))*IF(EC$26=".", 1, (EC71/EC70)^(('Summary, PPI''s'!$B71+'Summary, PPI''s'!$B70)/('Predicted PPIs'!ES71+'Predicted PPIs'!ES70)))*IF(ED$26=".", 1, (ED71/ED70)^(('Summary, PPI''s'!$C71+'Summary, PPI''s'!$C70)/('Predicted PPIs'!ES71+'Predicted PPIs'!ES70)))*IF(EE$26=".", 1, (EE71/EE70)^(('Summary, PPI''s'!$D71+'Summary, PPI''s'!$D70)/('Predicted PPIs'!ES71+'Predicted PPIs'!ES70)))*IF(EO$26=".", 1, (EO71/EO70)^(('Summary, PPI''s'!$N71+'Summary, PPI''s'!$N70)/('Predicted PPIs'!ES71+'Predicted PPIs'!ES70)))*IF(EP$26=".", 1, (EP71/EP70)^(('Summary, PPI''s'!$O71+'Summary, PPI''s'!$O70)/('Predicted PPIs'!ES71+'Predicted PPIs'!ES70)))*IF(EQ$26=".", 1, (EQ71/EQ70)^(('Summary, PPI''s'!$P71+'Summary, PPI''s'!$P70)/('Predicted PPIs'!ES71+'Predicted PPIs'!ES70)))</f>
        <v>7.7947219584089718</v>
      </c>
      <c r="EW71" s="13">
        <f>EW70*IF(EF$26=".", 1, (EF71/EF70)^(('Summary, PPI''s'!$E71+'Summary, PPI''s'!$E70)/('Predicted PPIs'!ET71+'Predicted PPIs'!ET70)))*IF(EG$26=".", 1, (EG71/EG70)^(('Summary, PPI''s'!$F71+'Summary, PPI''s'!$F70)/('Predicted PPIs'!ET71+'Predicted PPIs'!ET70)))*IF(EH$26=".", 1, (EH71/EH70)^(('Summary, PPI''s'!$G71+'Summary, PPI''s'!$G70)/('Predicted PPIs'!ET71+'Predicted PPIs'!ET70)))*IF(EK$26=".", 1, (EK71/EK70)^(('Summary, PPI''s'!$J71+'Summary, PPI''s'!$J70)/('Predicted PPIs'!ET71+'Predicted PPIs'!ET70)))*IF(EL$26=".", 1, (EL71/EL70)^(('Summary, PPI''s'!$K71+'Summary, PPI''s'!$K70)/('Predicted PPIs'!ET71+'Predicted PPIs'!ET70)))*IF(EM$26=".", 1, (EM71/EM70)^(('Summary, PPI''s'!$L71+'Summary, PPI''s'!$L70)/('Predicted PPIs'!ET71+'Predicted PPIs'!ET70)))*IF(EN$26=".", 1, (EN71/EN70)^(('Summary, PPI''s'!$M71+'Summary, PPI''s'!$M70)/('Predicted PPIs'!ET71+'Predicted PPIs'!ET70)))*IF(EC$26=".", 1, (EC71/EC70)^(('Summary, PPI''s'!$B71+'Summary, PPI''s'!$B70)/('Predicted PPIs'!ET71+'Predicted PPIs'!ET70)))</f>
        <v>10.816268235890217</v>
      </c>
      <c r="EY71" s="2"/>
    </row>
    <row r="72" spans="1:155" x14ac:dyDescent="0.3">
      <c r="A72" s="4">
        <v>1951</v>
      </c>
      <c r="B72" s="10">
        <f>IF(B71=".", ".", IF('Summary, PPI''s'!R72=".",IF(OR('Summary, hourly ad costs'!R72=-9999,'Summary, hourly ad costs'!R72=0), ".", 'Predicted PPIs'!B71*('Summary, hourly ad costs'!B72/'Summary, hourly ad costs'!R72)/('Summary, hourly ad costs'!B71/'Summary, hourly ad costs'!R71)), 'Summary, PPI''s'!R72))</f>
        <v>29.475808948053569</v>
      </c>
      <c r="C72" s="10" t="str">
        <f>IF(C71=".", ".", IF('Summary, PPI''s'!S72=".",IF(OR('Summary, hourly ad costs'!S72=-9999,'Summary, hourly ad costs'!S72=0), ".", 'Predicted PPIs'!C71*('Summary, hourly ad costs'!C72/'Summary, hourly ad costs'!S72)/('Summary, hourly ad costs'!C71/'Summary, hourly ad costs'!S71)), 'Summary, PPI''s'!S72))</f>
        <v>.</v>
      </c>
      <c r="D72" s="10" t="str">
        <f>IF(D71=".", ".", IF('Summary, PPI''s'!T72=".",IF(OR('Summary, hourly ad costs'!T72=-9999,'Summary, hourly ad costs'!T72=0), ".", 'Predicted PPIs'!D71*('Summary, hourly ad costs'!D72/'Summary, hourly ad costs'!T72)/('Summary, hourly ad costs'!D71/'Summary, hourly ad costs'!T71)), 'Summary, PPI''s'!T72))</f>
        <v>.</v>
      </c>
      <c r="E72" s="10">
        <f>IF(E71=".", ".", IF('Summary, PPI''s'!U72=".",IF(OR('Summary, hourly ad costs'!U72=-9999,'Summary, hourly ad costs'!U72=0), ".", 'Predicted PPIs'!E71*('Summary, hourly ad costs'!E72/'Summary, hourly ad costs'!U72)/('Summary, hourly ad costs'!E71/'Summary, hourly ad costs'!U71)), 'Summary, PPI''s'!U72))</f>
        <v>3.6901326119003439</v>
      </c>
      <c r="F72" s="10">
        <f>IF(F71=".", ".", IF('Summary, PPI''s'!V72=".",IF(OR('Summary, hourly ad costs'!V72=-9999,'Summary, hourly ad costs'!V72=0), ".", 'Predicted PPIs'!F71*('Summary, hourly ad costs'!F72/'Summary, hourly ad costs'!V72)/('Summary, hourly ad costs'!F71/'Summary, hourly ad costs'!V71)), 'Summary, PPI''s'!V72))</f>
        <v>6.2543110273654117</v>
      </c>
      <c r="G72" s="10" t="str">
        <f>IF(G71=".", ".", IF('Summary, PPI''s'!W72=".",IF(OR('Summary, hourly ad costs'!W72=-9999,'Summary, hourly ad costs'!W72=0), ".", 'Predicted PPIs'!G71*('Summary, hourly ad costs'!G72/'Summary, hourly ad costs'!W72)/('Summary, hourly ad costs'!G71/'Summary, hourly ad costs'!W71)), 'Summary, PPI''s'!W72))</f>
        <v>.</v>
      </c>
      <c r="H72" s="10">
        <f>IF(H71=".", ".", IF('Summary, PPI''s'!X72=".",IF(OR('Summary, hourly ad costs'!X72=-9999,'Summary, hourly ad costs'!X72=0), ".", 'Predicted PPIs'!H71*('Summary, hourly ad costs'!H72/'Summary, hourly ad costs'!X72)/('Summary, hourly ad costs'!H71/'Summary, hourly ad costs'!X71)), 'Summary, PPI''s'!X72))</f>
        <v>3.3987971054540411</v>
      </c>
      <c r="I72" s="10">
        <f>IF(I71=".", ".", IF('Summary, PPI''s'!Y72=".",IF(OR('Summary, hourly ad costs'!Y72=-9999,'Summary, hourly ad costs'!Y72=0), ".", 'Predicted PPIs'!I71*('Summary, hourly ad costs'!I72/'Summary, hourly ad costs'!Y72)/('Summary, hourly ad costs'!I71/'Summary, hourly ad costs'!Y71)), 'Summary, PPI''s'!Y72))</f>
        <v>7.8795227667055787</v>
      </c>
      <c r="J72" s="10">
        <f>IF(J71=".", ".", IF('Summary, PPI''s'!Z72=".",IF(OR('Summary, hourly ad costs'!Z72=-9999,'Summary, hourly ad costs'!Z72=0), ".", 'Predicted PPIs'!J71*('Summary, hourly ad costs'!J72/'Summary, hourly ad costs'!Z72)/('Summary, hourly ad costs'!J71/'Summary, hourly ad costs'!Z71)), 'Summary, PPI''s'!Z72))</f>
        <v>15.878589197925729</v>
      </c>
      <c r="K72" s="10" t="str">
        <f>IF(K71=".", ".", IF('Summary, PPI''s'!AA72=".",IF(OR('Summary, hourly ad costs'!AA72=-9999,'Summary, hourly ad costs'!AA72=0), ".", 'Predicted PPIs'!K71*('Summary, hourly ad costs'!K72/'Summary, hourly ad costs'!AA72)/('Summary, hourly ad costs'!K71/'Summary, hourly ad costs'!AA71)), 'Summary, PPI''s'!AA72))</f>
        <v>.</v>
      </c>
      <c r="L72" s="10" t="str">
        <f>IF(L71=".", ".", IF('Summary, PPI''s'!AB72=".",IF(OR('Summary, hourly ad costs'!AB72=-9999,'Summary, hourly ad costs'!AB72=0), ".", 'Predicted PPIs'!L71*('Summary, hourly ad costs'!L72/'Summary, hourly ad costs'!AB72)/('Summary, hourly ad costs'!L71/'Summary, hourly ad costs'!AB71)), 'Summary, PPI''s'!AB72))</f>
        <v>.</v>
      </c>
      <c r="M72" s="10" t="str">
        <f>IF(M71=".", ".", IF('Summary, PPI''s'!AC72=".",IF(OR('Summary, hourly ad costs'!AC72=-9999,'Summary, hourly ad costs'!AC72=0), ".", 'Predicted PPIs'!M71*('Summary, hourly ad costs'!M72/'Summary, hourly ad costs'!AC72)/('Summary, hourly ad costs'!M71/'Summary, hourly ad costs'!AC71)), 'Summary, PPI''s'!AC72))</f>
        <v>.</v>
      </c>
      <c r="N72" s="10" t="str">
        <f>IF(N71=".", ".", IF('Summary, PPI''s'!AD72=".",IF(OR('Summary, hourly ad costs'!AD72=-9999,'Summary, hourly ad costs'!AD72=0), ".", 'Predicted PPIs'!N71*('Summary, hourly ad costs'!N72/'Summary, hourly ad costs'!AD72)/('Summary, hourly ad costs'!N71/'Summary, hourly ad costs'!AD71)), 'Summary, PPI''s'!AD72))</f>
        <v>.</v>
      </c>
      <c r="O72" s="10" t="str">
        <f>IF(O71=".", ".", IF('Summary, PPI''s'!AE72=".",IF(OR('Summary, hourly ad costs'!AE72=-9999,'Summary, hourly ad costs'!AE72=0), ".", 'Predicted PPIs'!O71*('Summary, hourly ad costs'!O72/'Summary, hourly ad costs'!AE72)/('Summary, hourly ad costs'!O71/'Summary, hourly ad costs'!AE71)), 'Summary, PPI''s'!AE72))</f>
        <v>.</v>
      </c>
      <c r="P72" s="10" t="str">
        <f>IF(P71=".", ".", IF('Summary, PPI''s'!AF72=".",IF(OR('Summary, hourly ad costs'!AF72=-9999,'Summary, hourly ad costs'!AF72=0), ".", 'Predicted PPIs'!P71*('Summary, hourly ad costs'!P72/'Summary, hourly ad costs'!AF72)/('Summary, hourly ad costs'!P71/'Summary, hourly ad costs'!AF71)), 'Summary, PPI''s'!AF72))</f>
        <v>.</v>
      </c>
      <c r="R72" s="1">
        <f>IF(E$26=".", 0, 'Summary, PPI''s'!E72)+IF(F$26=".", 0, 'Summary, PPI''s'!F72)+IF(G$26=".", 0, 'Summary, PPI''s'!G72)+IF(H$26=".", 0, 'Summary, PPI''s'!H72)+IF(I$26=".", 0, 'Summary, PPI''s'!I72)+IF(J$26=".", 0, 'Summary, PPI''s'!J72)+IF(K$26=".", 0, 'Summary, PPI''s'!K72)+IF(L$26=".", 0, 'Summary, PPI''s'!L72)+IF(M$26=".", 0, 'Summary, PPI''s'!M72)+IF(B$26=".", 0, 'Summary, PPI''s'!B72)+IF(C$26=".", 0, 'Summary, PPI''s'!C72)+IF(D$26=".", 0, 'Summary, PPI''s'!D72)+IF(N$26=".", 0, 'Summary, PPI''s'!N72)+IF(O$26=".", 0, 'Summary, PPI''s'!O72)+IF(P$26=".", 0, 'Summary, PPI''s'!P72)</f>
        <v>6617294.9846126391</v>
      </c>
      <c r="S72" s="1">
        <f>IF(E$36=".", 0, 'Summary, PPI''s'!E72)+IF(F$36=".", 0, 'Summary, PPI''s'!F72)+IF(G$36=".", 0, 'Summary, PPI''s'!G72)+IF(H$36=".", 0, 'Summary, PPI''s'!H72)+IF(I$36=".", 0, 'Summary, PPI''s'!I72)+IF(J$36=".", 0, 'Summary, PPI''s'!J72)+IF(K$36=".", 0, 'Summary, PPI''s'!K72)+IF(L$36=".", 0, 'Summary, PPI''s'!L72)+IF(M$36=".", 0, 'Summary, PPI''s'!M72)+IF(B$36=".", 0, 'Summary, PPI''s'!B72)+IF(C$36=".", 0, 'Summary, PPI''s'!C72)+IF(D$36=".", 0, 'Summary, PPI''s'!D72)+IF(N$36=".", 0, 'Summary, PPI''s'!N72)+IF(O$36=".", 0, 'Summary, PPI''s'!O72)+IF(P$36=".", 0, 'Summary, PPI''s'!P72)</f>
        <v>6617294.9846126391</v>
      </c>
      <c r="T72" s="1">
        <f>IF(E$46=".", 0, 'Summary, PPI''s'!E72)+IF(F$46=".", 0, 'Summary, PPI''s'!F72)+IF(G$46=".", 0, 'Summary, PPI''s'!G72)+IF(H$46=".", 0, 'Summary, PPI''s'!H72)+IF(I$46=".", 0, 'Summary, PPI''s'!I72)+IF(J$46=".", 0, 'Summary, PPI''s'!J72)+IF(K$46=".", 0, 'Summary, PPI''s'!K72)+IF(L$46=".", 0, 'Summary, PPI''s'!L72)+IF(M$46=".", 0, 'Summary, PPI''s'!M72)+IF(B$46=".", 0, 'Summary, PPI''s'!B72)+IF(C$46=".", 0, 'Summary, PPI''s'!C72)+IF(D$46=".", 0, 'Summary, PPI''s'!D72)+IF(N$46=".", 0, 'Summary, PPI''s'!N72)+IF(O$46=".", 0, 'Summary, PPI''s'!O72)+IF(P$46=".", 0, 'Summary, PPI''s'!P72)</f>
        <v>5067379.5429038126</v>
      </c>
      <c r="U72" s="1">
        <f>IF(E$60=".", 0, 'Summary, PPI''s'!E72)+IF(F$60=".", 0, 'Summary, PPI''s'!F72)+IF(G$60=".", 0, 'Summary, PPI''s'!G72)+IF(H$60=".", 0, 'Summary, PPI''s'!H72)+IF(I$60=".", 0, 'Summary, PPI''s'!I72)+IF(J$60=".", 0, 'Summary, PPI''s'!J72)+IF(K$60=".", 0, 'Summary, PPI''s'!K72)+IF(L$60=".", 0, 'Summary, PPI''s'!L72)+IF(M$60=".", 0, 'Summary, PPI''s'!M72)+IF(B$60=".", 0, 'Summary, PPI''s'!B72)+IF(C$60=".", 0, 'Summary, PPI''s'!C72)+IF(D$60=".", 0, 'Summary, PPI''s'!D72)+IF(N$60=".", 0, 'Summary, PPI''s'!N72)+IF(O$60=".", 0, 'Summary, PPI''s'!O72)+IF(P$60=".", 0, 'Summary, PPI''s'!P72)</f>
        <v>4610401.4940426117</v>
      </c>
      <c r="V72" s="1">
        <f>IF(E$73=".", 0, 'Summary, PPI''s'!E72)+IF(F$73=".", 0, 'Summary, PPI''s'!F72)+IF(G$73=".", 0, 'Summary, PPI''s'!G72)+IF(H$73=".", 0, 'Summary, PPI''s'!H72)+IF(I$73=".", 0, 'Summary, PPI''s'!I72)+IF(J$73=".", 0, 'Summary, PPI''s'!J72)+IF(K$73=".", 0, 'Summary, PPI''s'!K72)+IF(L$73=".", 0, 'Summary, PPI''s'!L72)+IF(M$73=".", 0, 'Summary, PPI''s'!M72)+IF(B$73=".", 0, 'Summary, PPI''s'!B72)+IF(C$73=".", 0, 'Summary, PPI''s'!C72)+IF(D$73=".", 0, 'Summary, PPI''s'!D72)+IF(N$73=".", 0, 'Summary, PPI''s'!N72)+IF(O$73=".", 0, 'Summary, PPI''s'!O72)+IF(P$73=".", 0, 'Summary, PPI''s'!P72)</f>
        <v>3992255.1844667774</v>
      </c>
      <c r="W72" s="1">
        <f>IF(E$94=".",0,'Summary, PPI''s'!E72)+IF(F$94=".",0,'Summary, PPI''s'!F72)+IF(G$94=".",0,'Summary, PPI''s'!G72)+IF(H$94=".",0,'Summary, PPI''s'!H72)+IF(I$94=".",0,'Summary, PPI''s'!I72)+IF(J$94=".",0,'Summary, PPI''s'!J72)+IF(K$94=".",0,'Summary, PPI''s'!K72)+IF(L$94=".",0,'Summary, PPI''s'!L72)+IF(M$94=".",0,'Summary, PPI''s'!M72)+IF(B$94=".",0,'Summary, PPI''s'!B72)+IF(C$94=".",0,'Summary, PPI''s'!C72)+IF(D$94=".",0,'Summary, PPI''s'!D72)+IF(N$94=".",0,'Summary, PPI''s'!N72)+IF(O$94=".",0,'Summary, PPI''s'!O72)+IF(P$94=".",0,'Summary, PPI''s'!P72)</f>
        <v>3743651.7401232226</v>
      </c>
      <c r="X72" s="1">
        <f>IF(E$123=".", 0, 'Summary, PPI''s'!E72)+IF(F$123=".", 0, 'Summary, PPI''s'!F72)+IF(G$123=".", 0, 'Summary, PPI''s'!G72)+IF(H$123=".", 0, 'Summary, PPI''s'!H72)+IF(I$123=".", 0, 'Summary, PPI''s'!I72)+IF(J$123=".", 0, 'Summary, PPI''s'!J72)+IF(K$123=".", 0, 'Summary, PPI''s'!K72)+IF(L$123=".", 0, 'Summary, PPI''s'!L72)+IF(M$123=".", 0, 'Summary, PPI''s'!M72)+IF(B$123=".", 0, 'Summary, PPI''s'!B72)+IF(C$123=".", 0, 'Summary, PPI''s'!C72)+IF(D$123=".", 0, 'Summary, PPI''s'!D72)+IF(N$123=".", 0, 'Summary, PPI''s'!N72)+IF(O$123=".", 0, 'Summary, PPI''s'!O72)+IF(P$123=".", 0, 'Summary, PPI''s'!P72)</f>
        <v>3260624.5184044968</v>
      </c>
      <c r="Z72" s="4" t="e">
        <f>Z71*IF(E$26=".", 1, (E72/E71)^(('Summary, PPI''s'!$E72+'Summary, PPI''s'!$E71)/('Predicted PPIs'!R72+'Predicted PPIs'!R71)))*IF(F$26=".", 1, (F72/F71)^(('Summary, PPI''s'!$F72+'Summary, PPI''s'!$F71)/('Predicted PPIs'!R72+'Predicted PPIs'!R71)))*IF(G$26=".", 1, (G72/G71)^(('Summary, PPI''s'!$G72+'Summary, PPI''s'!$G71)/('Predicted PPIs'!R72+'Predicted PPIs'!R71)))*IF(H$26=".", 1, (H72/H71)^(('Summary, PPI''s'!$H72+'Summary, PPI''s'!$H71)/('Predicted PPIs'!R72+'Predicted PPIs'!R71)))*IF(I$26=".", 1, (I72/I71)^(('Summary, PPI''s'!$I72+'Summary, PPI''s'!$I71)/('Predicted PPIs'!R72+'Predicted PPIs'!R71)))*IF(J$26=".", 1, (J72/J71)^(('Summary, PPI''s'!$J72+'Summary, PPI''s'!$J71)/('Predicted PPIs'!R72+'Predicted PPIs'!R71)))*IF(K$26=".", 1, (K72/K71)^(('Summary, PPI''s'!$K72+'Summary, PPI''s'!$K71)/('Predicted PPIs'!R72+'Predicted PPIs'!R71)))*IF(L$26=".", 1, (L72/L71)^(('Summary, PPI''s'!$L72+'Summary, PPI''s'!$L71)/('Predicted PPIs'!R72+'Predicted PPIs'!R71)))*IF(M$26=".", 1, (M72/M71)^(('Summary, PPI''s'!$M72+'Summary, PPI''s'!$M71)/('Predicted PPIs'!R72+'Predicted PPIs'!R71)))*IF(B$26=".", 1, (B72/B71)^(('Summary, PPI''s'!$B72+'Summary, PPI''s'!$B71)/('Predicted PPIs'!R72+'Predicted PPIs'!R71)))*IF(C$26=".", 1, (C72/C71)^(('Summary, PPI''s'!$C72+'Summary, PPI''s'!$C71)/('Predicted PPIs'!R72+'Predicted PPIs'!R71)))*IF(D$26=".", 1, (D72/D71)^(('Summary, PPI''s'!$D72+'Summary, PPI''s'!$D71)/('Predicted PPIs'!R72+'Predicted PPIs'!R71)))*IF(N$26=".", 1, (N72/N71)^(('Summary, PPI''s'!$N72+'Summary, PPI''s'!$N71)/('Predicted PPIs'!R72+'Predicted PPIs'!R71)))*IF(O$26=".", 1, (O72/O71)^(('Summary, PPI''s'!$O72+'Summary, PPI''s'!$O71)/('Predicted PPIs'!R72+'Predicted PPIs'!R71)))*IF(P$26=".", 1, (P72/P71)^(('Summary, PPI''s'!$P72+'Summary, PPI''s'!$P71)/('Predicted PPIs'!R72+'Predicted PPIs'!R71)))</f>
        <v>#VALUE!</v>
      </c>
      <c r="AA72" s="4" t="e">
        <f>AA71*IF(E$36=".", 1, (E72/E71)^(('Summary, PPI''s'!$E72+'Summary, PPI''s'!$E71)/('Predicted PPIs'!S72+'Predicted PPIs'!S71)))*IF(F$36=".", 1, (F72/F71)^(('Summary, PPI''s'!$F72+'Summary, PPI''s'!$F71)/('Predicted PPIs'!S72+'Predicted PPIs'!S71)))*IF(G$36=".", 1, (G72/G71)^(('Summary, PPI''s'!$G72+'Summary, PPI''s'!$G71)/('Predicted PPIs'!S72+'Predicted PPIs'!S71)))*IF(H$36=".", 1, (H72/H71)^(('Summary, PPI''s'!$H72+'Summary, PPI''s'!$H71)/('Predicted PPIs'!S72+'Predicted PPIs'!S71)))*IF(I$36=".", 1, (I72/I71)^(('Summary, PPI''s'!$I72+'Summary, PPI''s'!$I71)/('Predicted PPIs'!S72+'Predicted PPIs'!S71)))*IF(J$36=".", 1, (J72/J71)^(('Summary, PPI''s'!$J72+'Summary, PPI''s'!$J71)/('Predicted PPIs'!S72+'Predicted PPIs'!S71)))*IF(K$36=".", 1, (K72/K71)^(('Summary, PPI''s'!$K72+'Summary, PPI''s'!$K71)/('Predicted PPIs'!S72+'Predicted PPIs'!S71)))*IF(L$36=".", 1, (L72/L71)^(('Summary, PPI''s'!$L72+'Summary, PPI''s'!$L71)/('Predicted PPIs'!S72+'Predicted PPIs'!S71)))*IF(M$36=".", 1, (M72/M71)^(('Summary, PPI''s'!$M72+'Summary, PPI''s'!$M71)/('Predicted PPIs'!S72+'Predicted PPIs'!S71)))*IF(B$36=".", 1, (B72/B71)^(('Summary, PPI''s'!$B72+'Summary, PPI''s'!$B71)/('Predicted PPIs'!S72+'Predicted PPIs'!S71)))*IF(C$36=".", 1, (C72/C71)^(('Summary, PPI''s'!$C72+'Summary, PPI''s'!$C71)/('Predicted PPIs'!S72+'Predicted PPIs'!S71)))*IF(D$36=".", 1, (D72/D71)^(('Summary, PPI''s'!$D72+'Summary, PPI''s'!$D71)/('Predicted PPIs'!S72+'Predicted PPIs'!S71)))*IF(N$36=".", 1, (N72/N71)^(('Summary, PPI''s'!$N72+'Summary, PPI''s'!$N71)/('Predicted PPIs'!S72+'Predicted PPIs'!S71)))*IF(O$36=".", 1, (O72/O71)^(('Summary, PPI''s'!$O72+'Summary, PPI''s'!$O71)/('Predicted PPIs'!S72+'Predicted PPIs'!S71)))*IF(P$36=".", 1, (P72/P71)^(('Summary, PPI''s'!$P72+'Summary, PPI''s'!$P71)/('Predicted PPIs'!S72+'Predicted PPIs'!S71)))</f>
        <v>#VALUE!</v>
      </c>
      <c r="AB72" s="4" t="e">
        <f>AB71*IF(E$46=".", 1, (E72/E71)^(('Summary, PPI''s'!$E72+'Summary, PPI''s'!$E71)/('Predicted PPIs'!T72+'Predicted PPIs'!T71)))*IF(F$46=".", 1, (F72/F71)^(('Summary, PPI''s'!$F72+'Summary, PPI''s'!$F71)/('Predicted PPIs'!T72+'Predicted PPIs'!T71)))*IF(G$46=".", 1, (G72/G71)^(('Summary, PPI''s'!$G72+'Summary, PPI''s'!$G71)/('Predicted PPIs'!T72+'Predicted PPIs'!T71)))*IF(H$46=".", 1, (H72/H71)^(('Summary, PPI''s'!$H72+'Summary, PPI''s'!$H71)/('Predicted PPIs'!T72+'Predicted PPIs'!T71)))*IF(I$46=".", 1, (I72/I71)^(('Summary, PPI''s'!$I72+'Summary, PPI''s'!$I71)/('Predicted PPIs'!T72+'Predicted PPIs'!T71)))*IF(J$46=".", 1, (J72/J71)^(('Summary, PPI''s'!$J72+'Summary, PPI''s'!$J71)/('Predicted PPIs'!T72+'Predicted PPIs'!T71)))*IF(K$46=".", 1, (K72/K71)^(('Summary, PPI''s'!$K72+'Summary, PPI''s'!$K71)/('Predicted PPIs'!T72+'Predicted PPIs'!T71)))*IF(L$46=".", 1, (L72/L71)^(('Summary, PPI''s'!$L72+'Summary, PPI''s'!$L71)/('Predicted PPIs'!T72+'Predicted PPIs'!T71)))*IF(M$46=".", 1, (M72/M71)^(('Summary, PPI''s'!$M72+'Summary, PPI''s'!$M71)/('Predicted PPIs'!T72+'Predicted PPIs'!T71)))*IF(B$46=".", 1, (B72/B71)^(('Summary, PPI''s'!$B72+'Summary, PPI''s'!$B71)/('Predicted PPIs'!T72+'Predicted PPIs'!T71)))*IF(C$46=".", 1, (C72/C71)^(('Summary, PPI''s'!$C72+'Summary, PPI''s'!$C71)/('Predicted PPIs'!T72+'Predicted PPIs'!T71)))*IF(D$46=".", 1, (D72/D71)^(('Summary, PPI''s'!$D72+'Summary, PPI''s'!$D71)/('Predicted PPIs'!T72+'Predicted PPIs'!T71)))*IF(N$46=".", 1, (N72/N71)^(('Summary, PPI''s'!$N72+'Summary, PPI''s'!$N71)/('Predicted PPIs'!T72+'Predicted PPIs'!T71)))*IF(O$46=".", 1, (O72/O71)^(('Summary, PPI''s'!$O72+'Summary, PPI''s'!$O71)/('Predicted PPIs'!T72+'Predicted PPIs'!T71)))*IF(P$46=".", 1, (P72/P71)^(('Summary, PPI''s'!$P72+'Summary, PPI''s'!$P71)/('Predicted PPIs'!T72+'Predicted PPIs'!T71)))</f>
        <v>#VALUE!</v>
      </c>
      <c r="AC72" s="4" t="e">
        <f>AC71*IF(E$60=".",1,(E72/E71)^(('Summary, PPI''s'!$E72+'Summary, PPI''s'!$E71)/('Predicted PPIs'!U72+'Predicted PPIs'!U71)))*IF(F$60=".",1,(F72/F71)^(('Summary, PPI''s'!$F72+'Summary, PPI''s'!$F71)/('Predicted PPIs'!U72+'Predicted PPIs'!U71)))*IF(G$60=".",1,(G72/G71)^(('Summary, PPI''s'!$G72+'Summary, PPI''s'!$G71)/('Predicted PPIs'!U72+'Predicted PPIs'!U71)))*IF(H$60=".",1,(H72/H71)^(('Summary, PPI''s'!$H72+'Summary, PPI''s'!$H71)/('Predicted PPIs'!U72+'Predicted PPIs'!U71)))*IF(I$60=".",1,(I72/I71)^(('Summary, PPI''s'!$I72+'Summary, PPI''s'!$I71)/('Predicted PPIs'!U72+'Predicted PPIs'!U71)))*IF(J$60=".",1,(J72/J71)^(('Summary, PPI''s'!$J72+'Summary, PPI''s'!$J71)/('Predicted PPIs'!U72+'Predicted PPIs'!U71)))*IF(K$60=".",1,(K72/K71)^(('Summary, PPI''s'!$K72+'Summary, PPI''s'!$K71)/('Predicted PPIs'!U72+'Predicted PPIs'!U71)))*IF(L$60=".",1,(L72/L71)^(('Summary, PPI''s'!$L72+'Summary, PPI''s'!$L71)/('Predicted PPIs'!U72+'Predicted PPIs'!U71)))*IF(M$60=".",1,(M72/M71)^(('Summary, PPI''s'!$M72+'Summary, PPI''s'!$M71)/('Predicted PPIs'!U72+'Predicted PPIs'!U71)))*IF(B$60=".",1,(B72/B71)^(('Summary, PPI''s'!$B72+'Summary, PPI''s'!$B71)/('Predicted PPIs'!U72+'Predicted PPIs'!U71)))*IF(C$60=".",1,(C72/C71)^(('Summary, PPI''s'!$C72+'Summary, PPI''s'!$C71)/('Predicted PPIs'!U72+'Predicted PPIs'!U71)))*IF(D$60=".",1,(D72/D71)^(('Summary, PPI''s'!$D72+'Summary, PPI''s'!$D71)/('Predicted PPIs'!U72+'Predicted PPIs'!U71)))*IF(N$60=".",1,(N72/N71)^(('Summary, PPI''s'!$N72+'Summary, PPI''s'!$N71)/('Predicted PPIs'!U72+'Predicted PPIs'!U71)))*IF(O$60=".",1,(O72/O71)^(('Summary, PPI''s'!$O72+'Summary, PPI''s'!$O71)/('Predicted PPIs'!U72+'Predicted PPIs'!U71)))*IF(P$60=".",1,(P72/P71)^(('Summary, PPI''s'!$P72+'Summary, PPI''s'!$P71)/('Predicted PPIs'!U72+'Predicted PPIs'!U71)))</f>
        <v>#VALUE!</v>
      </c>
      <c r="AD72" s="4">
        <f>AD71*IF(E$73=".", 1, (E72/E71)^(('Summary, PPI''s'!$E72+'Summary, PPI''s'!$E71)/('Predicted PPIs'!V72+'Predicted PPIs'!V71)))*IF(F$73=".", 1, (F72/F71)^(('Summary, PPI''s'!$F72+'Summary, PPI''s'!$F71)/('Predicted PPIs'!V72+'Predicted PPIs'!V71)))*IF(G$73=".", 1, (G72/G71)^(('Summary, PPI''s'!$G72+'Summary, PPI''s'!$G71)/('Predicted PPIs'!V72+'Predicted PPIs'!V71)))*IF(H$73=".", 1, (H72/H71)^(('Summary, PPI''s'!$H72+'Summary, PPI''s'!$H71)/('Predicted PPIs'!V72+'Predicted PPIs'!V71)))*IF(I$73=".", 1, (I72/I71)^(('Summary, PPI''s'!$I72+'Summary, PPI''s'!$I71)/('Predicted PPIs'!V72+'Predicted PPIs'!V71)))*IF(J$73=".", 1, (J72/J71)^(('Summary, PPI''s'!$J72+'Summary, PPI''s'!$J71)/('Predicted PPIs'!V72+'Predicted PPIs'!V71)))*IF(K$73=".", 1, (K72/K71)^(('Summary, PPI''s'!$K72+'Summary, PPI''s'!$K71)/('Predicted PPIs'!V72+'Predicted PPIs'!V71)))*IF(L$73=".", 1, (L72/L71)^(('Summary, PPI''s'!$L72+'Summary, PPI''s'!$L71)/('Predicted PPIs'!V72+'Predicted PPIs'!V71)))*IF(M$73=".", 1, (M72/M71)^(('Summary, PPI''s'!$M72+'Summary, PPI''s'!$M71)/('Predicted PPIs'!V72+'Predicted PPIs'!V71)))*IF(B$73=".", 1, (B72/B71)^(('Summary, PPI''s'!$B72+'Summary, PPI''s'!$B71)/('Predicted PPIs'!V72+'Predicted PPIs'!V71)))*IF(C$73=".", 1, (C72/C71)^(('Summary, PPI''s'!$C72+'Summary, PPI''s'!$C71)/('Predicted PPIs'!V72+'Predicted PPIs'!V71)))*IF(D$73=".", 1, (D72/D71)^(('Summary, PPI''s'!$D72+'Summary, PPI''s'!$D71)/('Predicted PPIs'!V72+'Predicted PPIs'!V71)))*IF(N$73=".", 1, (N72/N71)^(('Summary, PPI''s'!$N72+'Summary, PPI''s'!$N71)/('Predicted PPIs'!V72+'Predicted PPIs'!V71)))*IF(O$73=".", 1, (O72/O71)^(('Summary, PPI''s'!$O72+'Summary, PPI''s'!$O71)/('Predicted PPIs'!V72+'Predicted PPIs'!V71)))*IF(P$73=".", 1, (P72/P71)^(('Summary, PPI''s'!$P72+'Summary, PPI''s'!$P71)/('Predicted PPIs'!V72+'Predicted PPIs'!V71)))</f>
        <v>7.0808513192975946</v>
      </c>
      <c r="AE72" s="4">
        <f>AE71*IF(E$94=".", 1, (E72/E71)^(('Summary, PPI''s'!$E72+'Summary, PPI''s'!$E71)/('Predicted PPIs'!W72+'Predicted PPIs'!W71)))*IF(F$94=".", 1, (F72/F71)^(('Summary, PPI''s'!$F72+'Summary, PPI''s'!$F71)/('Predicted PPIs'!W72+'Predicted PPIs'!W71)))*IF(G$94=".", 1, (G72/G71)^(('Summary, PPI''s'!$G72+'Summary, PPI''s'!$G71)/('Predicted PPIs'!W72+'Predicted PPIs'!W71)))*IF(H$94=".", 1, (H72/H71)^(('Summary, PPI''s'!$H72+'Summary, PPI''s'!$H71)/('Predicted PPIs'!W72+'Predicted PPIs'!W71)))*IF(I$94=".", 1, (I72/I71)^(('Summary, PPI''s'!$I72+'Summary, PPI''s'!$I71)/('Predicted PPIs'!W72+'Predicted PPIs'!W71)))*IF(J$94=".", 1, (J72/J71)^(('Summary, PPI''s'!$J72+'Summary, PPI''s'!$J71)/('Predicted PPIs'!W72+'Predicted PPIs'!W71)))*IF(K$94=".", 1, (K72/K71)^(('Summary, PPI''s'!$K72+'Summary, PPI''s'!$K71)/('Predicted PPIs'!W72+'Predicted PPIs'!W71)))*IF(L$94=".", 1, (L72/L71)^(('Summary, PPI''s'!$L72+'Summary, PPI''s'!$L71)/('Predicted PPIs'!W72+'Predicted PPIs'!W71)))*IF(M$94=".", 1, (M72/M71)^(('Summary, PPI''s'!$M72+'Summary, PPI''s'!$M71)/('Predicted PPIs'!W72+'Predicted PPIs'!W71)))*IF(B$94=".", 1, (B72/B71)^(('Summary, PPI''s'!$B72+'Summary, PPI''s'!$B71)/('Predicted PPIs'!W72+'Predicted PPIs'!W71)))*IF(C$94=".", 1, (C72/C71)^(('Summary, PPI''s'!$C72+'Summary, PPI''s'!$C71)/('Predicted PPIs'!W72+'Predicted PPIs'!W71)))*IF(D$94=".", 1, (D72/D71)^(('Summary, PPI''s'!$D72+'Summary, PPI''s'!$D71)/('Predicted PPIs'!W72+'Predicted PPIs'!W71)))*IF(N$94=".", 1, (N72/N71)^(('Summary, PPI''s'!$N72+'Summary, PPI''s'!$N71)/('Predicted PPIs'!W72+'Predicted PPIs'!W71)))*IF(O$94=".", 1, (O72/O71)^(('Summary, PPI''s'!$O72+'Summary, PPI''s'!$O71)/('Predicted PPIs'!W72+'Predicted PPIs'!W71)))*IF(P$94=".", 1, (P72/P71)^(('Summary, PPI''s'!$P72+'Summary, PPI''s'!$P71)/('Predicted PPIs'!W72+'Predicted PPIs'!W71)))</f>
        <v>5.9465096545105398</v>
      </c>
      <c r="AF72" s="4">
        <f>AF71*IF(E$123=".", 1, (E72/E71)^(('Summary, PPI''s'!$E72+'Summary, PPI''s'!$E71)/('Predicted PPIs'!X72+'Predicted PPIs'!X71)))*IF(F$123=".", 1, (F72/F71)^(('Summary, PPI''s'!$F72+'Summary, PPI''s'!$F71)/('Predicted PPIs'!X72+'Predicted PPIs'!X71)))*IF(G$123=".", 1, (G72/G71)^(('Summary, PPI''s'!$G72+'Summary, PPI''s'!$G71)/('Predicted PPIs'!X72+'Predicted PPIs'!X71)))*IF(H$123=".", 1, (H72/H71)^(('Summary, PPI''s'!$H72+'Summary, PPI''s'!$H71)/('Predicted PPIs'!X72+'Predicted PPIs'!X71)))*IF(I$123=".", 1, (I72/I71)^(('Summary, PPI''s'!$I72+'Summary, PPI''s'!$I71)/('Predicted PPIs'!X72+'Predicted PPIs'!X71)))*IF(J$123=".", 1, (J72/J71)^(('Summary, PPI''s'!$J72+'Summary, PPI''s'!$J71)/('Predicted PPIs'!X72+'Predicted PPIs'!X71)))*IF(K$123=".", 1, (K72/K71)^(('Summary, PPI''s'!$K72+'Summary, PPI''s'!$K71)/('Predicted PPIs'!X72+'Predicted PPIs'!X71)))*IF(L$123=".", 1, (L72/L71)^(('Summary, PPI''s'!$L72+'Summary, PPI''s'!$L71)/('Predicted PPIs'!X72+'Predicted PPIs'!X71)))*IF(M$123=".", 1, (M72/M71)^(('Summary, PPI''s'!$M72+'Summary, PPI''s'!$M71)/('Predicted PPIs'!X72+'Predicted PPIs'!X71)))*IF(B$123=".", 1, (B72/B71)^(('Summary, PPI''s'!$B72+'Summary, PPI''s'!$B71)/('Predicted PPIs'!X72+'Predicted PPIs'!X71)))*IF(C$123=".", 1, (C72/C71)^(('Summary, PPI''s'!$C72+'Summary, PPI''s'!$C71)/('Predicted PPIs'!X72+'Predicted PPIs'!X71)))*IF(D$123=".", 1, (D72/D71)^(('Summary, PPI''s'!$D72+'Summary, PPI''s'!$D71)/('Predicted PPIs'!X72+'Predicted PPIs'!X71)))*IF(N$123=".", 1, (N72/N71)^(('Summary, PPI''s'!$N72+'Summary, PPI''s'!$N71)/('Predicted PPIs'!X72+'Predicted PPIs'!X71)))*IF(O$123=".", 1, (O72/O71)^(('Summary, PPI''s'!$O72+'Summary, PPI''s'!$O71)/('Predicted PPIs'!X72+'Predicted PPIs'!X71)))*IF(P$123=".", 1, (P72/P71)^(('Summary, PPI''s'!$P72+'Summary, PPI''s'!$P71)/('Predicted PPIs'!X72+'Predicted PPIs'!X71)))</f>
        <v>5.4591872445644887</v>
      </c>
      <c r="AH72" s="13">
        <f t="shared" si="152"/>
        <v>8.2074304112630436</v>
      </c>
      <c r="AJ72" s="4">
        <v>208.3</v>
      </c>
      <c r="AK72" s="4">
        <v>-2.3039999999999998</v>
      </c>
      <c r="AL72" s="4">
        <v>-14.089</v>
      </c>
      <c r="AM72" s="4">
        <v>-1.607</v>
      </c>
      <c r="AN72" s="4">
        <v>290.8</v>
      </c>
      <c r="AO72" s="4">
        <v>53.1</v>
      </c>
      <c r="AP72" s="4">
        <f>('[4]1951'!$I$14+'[4]1951'!$I$51+'[4]1951'!$I$53-'[4]1951'!$I$55)*0.001</f>
        <v>-4.984</v>
      </c>
      <c r="AQ72" s="4">
        <f>('[4]1951'!$AK$42+'[4]1951'!$AK$51+'[4]1951'!$AK$53-'[4]1951'!$AK$55)*0.001</f>
        <v>-8.3670000000000009</v>
      </c>
      <c r="AR72" s="4">
        <f t="shared" si="148"/>
        <v>-2.8077917934593733E-3</v>
      </c>
      <c r="AS72" s="4">
        <v>-0.98299999999999998</v>
      </c>
      <c r="AT72" s="4">
        <v>14.154999999999999</v>
      </c>
      <c r="AU72" s="4">
        <v>26.172000000000001</v>
      </c>
      <c r="AV72" s="4">
        <v>11.475</v>
      </c>
      <c r="AW72" s="4">
        <v>10.471</v>
      </c>
      <c r="AX72" s="4">
        <v>14.454000000000001</v>
      </c>
      <c r="AY72" s="4">
        <v>19.948</v>
      </c>
      <c r="AZ72" s="4">
        <v>7.4710000000000001</v>
      </c>
      <c r="BA72" s="4">
        <v>17.045000000000002</v>
      </c>
      <c r="BB72" s="4">
        <f t="shared" si="150"/>
        <v>97.493198389506972</v>
      </c>
      <c r="BC72" s="4">
        <v>13.148</v>
      </c>
      <c r="BG72" s="4">
        <f t="shared" si="50"/>
        <v>14.824302334671703</v>
      </c>
      <c r="BI72" s="4">
        <f>BI$13*'[2]Ordinary Experience'!$D$354/'[2]Ordinary Experience'!$D$413</f>
        <v>153473232.86401069</v>
      </c>
      <c r="BJ72" s="4">
        <f>'[2]Ordinary Experience'!$E$354</f>
        <v>27.293114107079294</v>
      </c>
      <c r="BL72" s="4">
        <f t="shared" si="151"/>
        <v>33.519829947268839</v>
      </c>
      <c r="BM72" s="4">
        <f t="shared" si="153"/>
        <v>-2.1411168424599447E-2</v>
      </c>
      <c r="BO72" s="4" t="str">
        <f>IF(OR('Summary, hourly ad costs'!R72=-9999,'Summary, PPI''s'!R72="."),".",(('Summary, hourly ad costs'!B72/'Summary, hourly ad costs'!R72)*100/('Summary, hourly ad costs'!B$11/'Summary, hourly ad costs'!R$11))/('Summary, PPI''s'!R72))</f>
        <v>.</v>
      </c>
      <c r="BP72" s="4" t="str">
        <f>IF(OR('Summary, hourly ad costs'!S72=-9999,'Summary, PPI''s'!S72="."),".",(('Summary, hourly ad costs'!C72/'Summary, hourly ad costs'!S72)*100/('Summary, hourly ad costs'!C$11/'Summary, hourly ad costs'!S$11))/('Summary, PPI''s'!S72))</f>
        <v>.</v>
      </c>
      <c r="BQ72" s="4" t="str">
        <f>IF(OR('Summary, hourly ad costs'!T72=-9999,'Summary, PPI''s'!T72="."),".",(('Summary, hourly ad costs'!D72/'Summary, hourly ad costs'!T72)*100/('Summary, hourly ad costs'!D$11/'Summary, hourly ad costs'!T$11))/('Summary, PPI''s'!T72))</f>
        <v>.</v>
      </c>
      <c r="BR72" s="4" t="str">
        <f>IF(OR('Summary, hourly ad costs'!U72=-9999,'Summary, PPI''s'!U72="."),".",(('Summary, hourly ad costs'!E72/'Summary, hourly ad costs'!U72)*100/('Summary, hourly ad costs'!E$11/'Summary, hourly ad costs'!U$11))/('Summary, PPI''s'!U72))</f>
        <v>.</v>
      </c>
      <c r="BS72" s="4" t="str">
        <f>IF(OR('Summary, hourly ad costs'!V72=-9999,'Summary, PPI''s'!V72="."),".",(('Summary, hourly ad costs'!F72/'Summary, hourly ad costs'!V72)*100/('Summary, hourly ad costs'!F$11/'Summary, hourly ad costs'!V$11))/('Summary, PPI''s'!V72))</f>
        <v>.</v>
      </c>
      <c r="BT72" s="4" t="str">
        <f>IF(OR('Summary, hourly ad costs'!W72=-9999,'Summary, PPI''s'!W72="."),".",(('Summary, hourly ad costs'!G72/'Summary, hourly ad costs'!W72)*100/('Summary, hourly ad costs'!G$11/'Summary, hourly ad costs'!W$11))/('Summary, PPI''s'!W72))</f>
        <v>.</v>
      </c>
      <c r="BU72" s="4" t="str">
        <f>IF(OR('Summary, hourly ad costs'!X72=-9999,'Summary, PPI''s'!X72="."),".",(('Summary, hourly ad costs'!H72/'Summary, hourly ad costs'!X72)*100/('Summary, hourly ad costs'!H$11/'Summary, hourly ad costs'!X$11))/('Summary, PPI''s'!X72))</f>
        <v>.</v>
      </c>
      <c r="BV72" s="4" t="str">
        <f>IF(OR('Summary, hourly ad costs'!Y72=-9999,'Summary, PPI''s'!Y72="."),".",(('Summary, hourly ad costs'!I72/'Summary, hourly ad costs'!Y72)*100/('Summary, hourly ad costs'!I$11/'Summary, hourly ad costs'!Y$11))/('Summary, PPI''s'!Y72))</f>
        <v>.</v>
      </c>
      <c r="BW72" s="4" t="str">
        <f>IF(OR('Summary, hourly ad costs'!Z72=-9999,'Summary, PPI''s'!Z72="."),".",(('Summary, hourly ad costs'!J72/'Summary, hourly ad costs'!Z72)*100/('Summary, hourly ad costs'!J$11/'Summary, hourly ad costs'!Z$11))/('Summary, PPI''s'!Z72))</f>
        <v>.</v>
      </c>
      <c r="BX72" s="4" t="str">
        <f>IF(OR('Summary, hourly ad costs'!AA72=-9999,'Summary, PPI''s'!AA72="."),".",(('Summary, hourly ad costs'!K72/'Summary, hourly ad costs'!AA72)*100/('Summary, hourly ad costs'!K$11/'Summary, hourly ad costs'!AA$11))/('Summary, PPI''s'!AA72))</f>
        <v>.</v>
      </c>
      <c r="BY72" s="4" t="str">
        <f>IF(OR('Summary, hourly ad costs'!AB72=-9999,'Summary, PPI''s'!AB72="."),".",(('Summary, hourly ad costs'!L72/'Summary, hourly ad costs'!AB72)*100/('Summary, hourly ad costs'!L$11/'Summary, hourly ad costs'!AB$11))/('Summary, PPI''s'!AB72))</f>
        <v>.</v>
      </c>
      <c r="BZ72" s="4" t="str">
        <f>IF(OR('Summary, hourly ad costs'!AC72=-9999,'Summary, PPI''s'!AC72="."),".",(('Summary, hourly ad costs'!M72/'Summary, hourly ad costs'!AC72)*100/('Summary, hourly ad costs'!M$11/'Summary, hourly ad costs'!AC$11))/('Summary, PPI''s'!AC72))</f>
        <v>.</v>
      </c>
      <c r="CA72" s="4" t="str">
        <f>IF(OR('Summary, hourly ad costs'!AD72=-9999,'Summary, PPI''s'!AD72="."),".",(('Summary, hourly ad costs'!N72/'Summary, hourly ad costs'!AD72)*100/('Summary, hourly ad costs'!N$11/'Summary, hourly ad costs'!AD$11))/('Summary, PPI''s'!AD72))</f>
        <v>.</v>
      </c>
      <c r="CB72" s="4" t="str">
        <f>IF(OR('Summary, hourly ad costs'!AE72=-9999,'Summary, PPI''s'!AE72="."),".",(('Summary, hourly ad costs'!O72/'Summary, hourly ad costs'!AE72)*100/('Summary, hourly ad costs'!O$11/'Summary, hourly ad costs'!AE$11))/('Summary, PPI''s'!AE72))</f>
        <v>.</v>
      </c>
      <c r="CC72" s="4" t="str">
        <f>IF(OR('Summary, hourly ad costs'!AF72=-9999,'Summary, PPI''s'!AF72="."),".",(('Summary, hourly ad costs'!P72/'Summary, hourly ad costs'!AF72)*100/('Summary, hourly ad costs'!P$11/'Summary, hourly ad costs'!AF$11))/('Summary, PPI''s'!AF72))</f>
        <v>.</v>
      </c>
      <c r="CE72" s="4">
        <f t="shared" si="134"/>
        <v>-5.2156196241980791E-2</v>
      </c>
      <c r="CF72" s="4" t="str">
        <f t="shared" si="135"/>
        <v>.</v>
      </c>
      <c r="CG72" s="4" t="str">
        <f t="shared" si="136"/>
        <v>.</v>
      </c>
      <c r="CH72" s="4">
        <f t="shared" si="145"/>
        <v>-4.8887645088047986E-2</v>
      </c>
      <c r="CI72" s="4">
        <f t="shared" si="145"/>
        <v>-5.3818879243260093E-2</v>
      </c>
      <c r="CJ72" s="4" t="str">
        <f t="shared" si="147"/>
        <v>.</v>
      </c>
      <c r="CK72" s="4">
        <f t="shared" si="149"/>
        <v>5.7502135001942806E-3</v>
      </c>
      <c r="CL72" s="4">
        <f t="shared" si="130"/>
        <v>-3.7900790334500327E-2</v>
      </c>
      <c r="CM72" s="4">
        <f t="shared" si="130"/>
        <v>1.1405049049824888E-3</v>
      </c>
      <c r="CN72" s="4">
        <f t="shared" si="89"/>
        <v>-5.2626759190855479E-2</v>
      </c>
      <c r="CO72" s="4">
        <f t="shared" si="120"/>
        <v>-0.14652658569751026</v>
      </c>
      <c r="CP72" s="4">
        <f t="shared" si="120"/>
        <v>0.24758694719917404</v>
      </c>
      <c r="CQ72" s="4" t="str">
        <f t="shared" si="110"/>
        <v>.</v>
      </c>
      <c r="CR72" s="4" t="str">
        <f t="shared" si="111"/>
        <v>.</v>
      </c>
      <c r="CS72" s="4" t="str">
        <f t="shared" si="112"/>
        <v>.</v>
      </c>
      <c r="CU72" s="5">
        <f>IF(CU71=".", ".", IF('Summary, PPI''s'!R72=".",IF(OR('Summary, hourly ad costs'!R72=-9999,'Summary, hourly ad costs'!R72=0), ".", 'Predicted PPIs'!CU71*('Summary, hourly ad costs'!B72/'Summary, hourly ad costs'!R72)/('Summary, hourly ad costs'!B71/'Summary, hourly ad costs'!R71)/(1-CE71)), 'Summary, PPI''s'!R72))</f>
        <v>25.567749724209328</v>
      </c>
      <c r="CV72" s="5" t="str">
        <f>IF(CV71=".", ".", IF('Summary, PPI''s'!S72=".",IF(OR('Summary, hourly ad costs'!S72=-9999,'Summary, hourly ad costs'!S72=0), ".", 'Predicted PPIs'!CV71*('Summary, hourly ad costs'!C72/'Summary, hourly ad costs'!S72)/('Summary, hourly ad costs'!C71/'Summary, hourly ad costs'!S71)/(1-CF71)), 'Summary, PPI''s'!S72))</f>
        <v>.</v>
      </c>
      <c r="CW72" s="5" t="str">
        <f>IF(CW71=".", ".", IF('Summary, PPI''s'!T72=".",IF(OR('Summary, hourly ad costs'!T72=-9999,'Summary, hourly ad costs'!T72=0), ".", 'Predicted PPIs'!CW71*('Summary, hourly ad costs'!D72/'Summary, hourly ad costs'!T72)/('Summary, hourly ad costs'!D71/'Summary, hourly ad costs'!T71)/(1-CG71)), 'Summary, PPI''s'!T72))</f>
        <v>.</v>
      </c>
      <c r="CX72" s="5">
        <f>IF(CX71=".", ".", IF('Summary, PPI''s'!U72=".",IF(OR('Summary, hourly ad costs'!U72=-9999,'Summary, hourly ad costs'!U72=0), ".", 'Predicted PPIs'!CX71*('Summary, hourly ad costs'!E72/'Summary, hourly ad costs'!U72)/('Summary, hourly ad costs'!E71/'Summary, hourly ad costs'!U71)/(1-CH71)), 'Summary, PPI''s'!U72))</f>
        <v>3.9809830753081261</v>
      </c>
      <c r="CY72" s="5">
        <f>IF(CY71=".", ".", IF('Summary, PPI''s'!V72=".",IF(OR('Summary, hourly ad costs'!V72=-9999,'Summary, hourly ad costs'!V72=0), ".", 'Predicted PPIs'!CY71*('Summary, hourly ad costs'!F72/'Summary, hourly ad costs'!V72)/('Summary, hourly ad costs'!F71/'Summary, hourly ad costs'!V71)/(1-CI71)), 'Summary, PPI''s'!V72))</f>
        <v>6.9695407910888312</v>
      </c>
      <c r="CZ72" s="5" t="str">
        <f>IF(CZ71=".", ".", IF('Summary, PPI''s'!W72=".",IF(OR('Summary, hourly ad costs'!W72=-9999,'Summary, hourly ad costs'!W72=0), ".", 'Predicted PPIs'!CZ71*('Summary, hourly ad costs'!G72/'Summary, hourly ad costs'!W72)/('Summary, hourly ad costs'!G71/'Summary, hourly ad costs'!W71)/(1-CJ71)), 'Summary, PPI''s'!W72))</f>
        <v>.</v>
      </c>
      <c r="DA72" s="5">
        <f>IF(DA71=".", ".", IF('Summary, PPI''s'!X72=".",IF(OR('Summary, hourly ad costs'!X72=-9999,'Summary, hourly ad costs'!X72=0), ".", 'Predicted PPIs'!DA71*('Summary, hourly ad costs'!H72/'Summary, hourly ad costs'!X72)/('Summary, hourly ad costs'!H71/'Summary, hourly ad costs'!X71)/(1-CK71)), 'Summary, PPI''s'!X72))</f>
        <v>3.4878509985907158</v>
      </c>
      <c r="DB72" s="5">
        <f>IF(DB71=".", ".", IF('Summary, PPI''s'!Y72=".",IF(OR('Summary, hourly ad costs'!Y72=-9999,'Summary, hourly ad costs'!Y72=0), ".", 'Predicted PPIs'!DB71*('Summary, hourly ad costs'!I72/'Summary, hourly ad costs'!Y72)/('Summary, hourly ad costs'!I71/'Summary, hourly ad costs'!Y71)/(1-CL71)), 'Summary, PPI''s'!Y72))</f>
        <v>9.5269727962368034</v>
      </c>
      <c r="DC72" s="5">
        <f>IF(DC71=".", ".", IF('Summary, PPI''s'!Z72=".",IF(OR('Summary, hourly ad costs'!Z72=-9999,'Summary, hourly ad costs'!Z72=0), ".", 'Predicted PPIs'!DC71*('Summary, hourly ad costs'!J72/'Summary, hourly ad costs'!Z72)/('Summary, hourly ad costs'!J71/'Summary, hourly ad costs'!Z71)/(1-CM71)), 'Summary, PPI''s'!Z72))</f>
        <v>26.249788651435473</v>
      </c>
      <c r="DD72" s="5" t="str">
        <f>IF(DD71=".", ".", IF('Summary, PPI''s'!AA72=".",IF(OR('Summary, hourly ad costs'!AA72=-9999,'Summary, hourly ad costs'!AA72=0), ".", 'Predicted PPIs'!DD71*('Summary, hourly ad costs'!K72/'Summary, hourly ad costs'!AA72)/('Summary, hourly ad costs'!K71/'Summary, hourly ad costs'!AA71)/(1-CN71)), 'Summary, PPI''s'!AA72))</f>
        <v>.</v>
      </c>
      <c r="DE72" s="5" t="str">
        <f>IF(DE71=".", ".", IF('Summary, PPI''s'!AB72=".",IF(OR('Summary, hourly ad costs'!AB72=-9999,'Summary, hourly ad costs'!AB72=0), ".", 'Predicted PPIs'!DE71*('Summary, hourly ad costs'!L72/'Summary, hourly ad costs'!AB72)/('Summary, hourly ad costs'!L71/'Summary, hourly ad costs'!AB71)/(1-CO71)), 'Summary, PPI''s'!AB72))</f>
        <v>.</v>
      </c>
      <c r="DF72" s="5" t="str">
        <f>IF(DF71=".", ".", IF('Summary, PPI''s'!AC72=".",IF(OR('Summary, hourly ad costs'!AC72=-9999,'Summary, hourly ad costs'!AC72=0), ".", 'Predicted PPIs'!DF71*('Summary, hourly ad costs'!M72/'Summary, hourly ad costs'!AC72)/('Summary, hourly ad costs'!M71/'Summary, hourly ad costs'!AC71)/(1-CP71)), 'Summary, PPI''s'!AC72))</f>
        <v>.</v>
      </c>
      <c r="DG72" s="5" t="str">
        <f>IF(DG71=".", ".", IF('Summary, PPI''s'!AD72=".",IF(OR('Summary, hourly ad costs'!AD72=-9999,'Summary, hourly ad costs'!AD72=0), ".", 'Predicted PPIs'!DG71*('Summary, hourly ad costs'!N72/'Summary, hourly ad costs'!AD72)/('Summary, hourly ad costs'!N71/'Summary, hourly ad costs'!AD71)/(1-CQ71)), 'Summary, PPI''s'!AD72))</f>
        <v>.</v>
      </c>
      <c r="DH72" s="5" t="str">
        <f>IF(DH71=".", ".", IF('Summary, PPI''s'!AE72=".",IF(OR('Summary, hourly ad costs'!AE72=-9999,'Summary, hourly ad costs'!AE72=0), ".", 'Predicted PPIs'!DH71*('Summary, hourly ad costs'!O72/'Summary, hourly ad costs'!AE72)/('Summary, hourly ad costs'!O71/'Summary, hourly ad costs'!AE71)/(1-CR71)), 'Summary, PPI''s'!AE72))</f>
        <v>.</v>
      </c>
      <c r="DI72" s="5" t="str">
        <f>IF(DI71=".", ".", IF('Summary, PPI''s'!AF72=".",IF(OR('Summary, hourly ad costs'!AF72=-9999,'Summary, hourly ad costs'!AF72=0), ".", 'Predicted PPIs'!DI71*('Summary, hourly ad costs'!P72/'Summary, hourly ad costs'!AF72)/('Summary, hourly ad costs'!P71/'Summary, hourly ad costs'!AF71)/(1-CS71)), 'Summary, PPI''s'!AF72))</f>
        <v>.</v>
      </c>
      <c r="DK72" s="4">
        <v>4.3879999999999999</v>
      </c>
      <c r="DM72" s="5">
        <f t="shared" si="138"/>
        <v>7.7071662707698829E-2</v>
      </c>
      <c r="DN72" s="4">
        <f t="shared" si="139"/>
        <v>-1.549647113101512E-2</v>
      </c>
      <c r="DO72" s="4">
        <f t="shared" si="123"/>
        <v>-2.2991983662675679E-2</v>
      </c>
      <c r="DP72" s="5">
        <f t="shared" si="140"/>
        <v>0.10310913194440752</v>
      </c>
      <c r="DQ72" s="5">
        <f t="shared" si="141"/>
        <v>0.11497702956265732</v>
      </c>
      <c r="DR72" s="4">
        <f t="shared" si="146"/>
        <v>-1.4251906295695779E-2</v>
      </c>
      <c r="DS72" s="5">
        <f t="shared" si="142"/>
        <v>-0.27069045064531083</v>
      </c>
      <c r="DT72" s="5">
        <f t="shared" si="143"/>
        <v>-3.6411240503077646E-2</v>
      </c>
      <c r="DU72" s="5">
        <f t="shared" si="144"/>
        <v>0.23985240824652898</v>
      </c>
      <c r="DV72" s="4">
        <f t="shared" si="131"/>
        <v>1.650865080272375E-3</v>
      </c>
      <c r="DW72" s="4">
        <f t="shared" si="133"/>
        <v>4.4097762438041088E-2</v>
      </c>
      <c r="DX72" s="4">
        <f t="shared" si="133"/>
        <v>-0.25769426649523175</v>
      </c>
      <c r="DY72" s="4">
        <f t="shared" si="108"/>
        <v>-2.2929958657547992E-2</v>
      </c>
      <c r="DZ72" s="4">
        <f t="shared" si="132"/>
        <v>-1.6803521853107864E-2</v>
      </c>
      <c r="EA72" s="4">
        <f t="shared" si="109"/>
        <v>-1.3712978931247925E-2</v>
      </c>
      <c r="EC72" s="1">
        <f t="shared" si="154"/>
        <v>25.567749724209328</v>
      </c>
      <c r="ED72" s="1">
        <f t="shared" si="155"/>
        <v>10.580835298188511</v>
      </c>
      <c r="EE72" s="1">
        <f t="shared" si="156"/>
        <v>5.9508560926394569</v>
      </c>
      <c r="EF72" s="1">
        <f t="shared" si="157"/>
        <v>3.9809830753081261</v>
      </c>
      <c r="EG72" s="1">
        <f t="shared" si="158"/>
        <v>6.9695407910888312</v>
      </c>
      <c r="EH72" s="1">
        <f t="shared" si="159"/>
        <v>5.2487411278261362</v>
      </c>
      <c r="EI72" s="1">
        <f t="shared" si="160"/>
        <v>3.4878509985907158</v>
      </c>
      <c r="EJ72" s="1">
        <f t="shared" si="161"/>
        <v>9.5269727962368034</v>
      </c>
      <c r="EK72" s="1">
        <f t="shared" si="162"/>
        <v>26.249788651435473</v>
      </c>
      <c r="EL72" s="1">
        <f t="shared" si="163"/>
        <v>3.5836168357907314</v>
      </c>
      <c r="EM72" s="1">
        <f t="shared" si="164"/>
        <v>0.88144961692609458</v>
      </c>
      <c r="EN72" s="1">
        <f t="shared" si="165"/>
        <v>3.1482671741357935</v>
      </c>
      <c r="EO72" s="1">
        <f t="shared" si="166"/>
        <v>3.7802327263959716</v>
      </c>
      <c r="EP72" s="1">
        <f t="shared" si="167"/>
        <v>5.3973921738244961</v>
      </c>
      <c r="EQ72" s="1">
        <f t="shared" si="168"/>
        <v>4.1660172197922414</v>
      </c>
      <c r="ES72" s="1">
        <f>IF(EF$26=".", 0, 'Summary, PPI''s'!E72)+IF(EG$26=".", 0, 'Summary, PPI''s'!F72)+IF(EH$26=".", 0, 'Summary, PPI''s'!G72)+IF(EI$26=".", 0, 'Summary, PPI''s'!H72)+IF(EJ$26=".", 0, 'Summary, PPI''s'!I72)+IF(EK$26=".", 0, 'Summary, PPI''s'!J72)+IF(EL$26=".", 0, 'Summary, PPI''s'!K72)+IF(EM$26=".", 0, 'Summary, PPI''s'!L72)+IF(EN$26=".", 0, 'Summary, PPI''s'!M72)+IF(EC$26=".", 0, 'Summary, PPI''s'!B72)+IF(ED$26=".", 0, 'Summary, PPI''s'!C72)+IF(EE$26=".", 0, 'Summary, PPI''s'!D72)+IF(EO$26=".", 0, 'Summary, PPI''s'!N72)+IF(EP$26=".", 0, 'Summary, PPI''s'!O72)+IF(EQ$26=".", 0, 'Summary, PPI''s'!P72)</f>
        <v>6617294.9846126391</v>
      </c>
      <c r="ET72" s="1">
        <f>'Summary, hourly ad costs'!E72+'Summary, hourly ad costs'!F72+'Summary, hourly ad costs'!H72+'Summary, hourly ad costs'!I72+'Summary, hourly ad costs'!J72+'Summary, hourly ad costs'!K72+'Summary, hourly ad costs'!L72+'Summary, hourly ad costs'!M72+'Summary, hourly ad costs'!B72</f>
        <v>3992255.1844667774</v>
      </c>
      <c r="EV72" s="13">
        <f>EV71*IF(EF$26=".", 1, (EF72/EF71)^(('Summary, PPI''s'!$E72+'Summary, PPI''s'!$E71)/('Predicted PPIs'!ES72+'Predicted PPIs'!ES71)))*IF(EG$26=".", 1, (EG72/EG71)^(('Summary, PPI''s'!$F72+'Summary, PPI''s'!$F71)/('Predicted PPIs'!ES72+'Predicted PPIs'!ES71)))*IF(EH$26=".", 1, (EH72/EH71)^(('Summary, PPI''s'!$G72+'Summary, PPI''s'!$G71)/('Predicted PPIs'!ES72+'Predicted PPIs'!ES71)))*IF(EI$26=".", 1, (EI72/EI71)^(('Summary, PPI''s'!$H72+'Summary, PPI''s'!$H71)/('Predicted PPIs'!ES72+'Predicted PPIs'!ES71)))*IF(EJ$26=".", 1, (EJ72/EJ71)^(('Summary, PPI''s'!$I72+'Summary, PPI''s'!$I71)/('Predicted PPIs'!ES72+'Predicted PPIs'!ES71)))*IF(EK$26=".", 1, (EK72/EK71)^(('Summary, PPI''s'!$J72+'Summary, PPI''s'!$J71)/('Predicted PPIs'!ES72+'Predicted PPIs'!ES71)))*IF(EL$26=".", 1, (EL72/EL71)^(('Summary, PPI''s'!$K72+'Summary, PPI''s'!$K71)/('Predicted PPIs'!ES72+'Predicted PPIs'!ES71)))*IF(EM$26=".", 1, (EM72/EM71)^(('Summary, PPI''s'!$L72+'Summary, PPI''s'!$L71)/('Predicted PPIs'!ES72+'Predicted PPIs'!ES71)))*IF(EN$26=".", 1, (EN72/EN71)^(('Summary, PPI''s'!$M72+'Summary, PPI''s'!$M71)/('Predicted PPIs'!ES72+'Predicted PPIs'!ES71)))*IF(EC$26=".", 1, (EC72/EC71)^(('Summary, PPI''s'!$B72+'Summary, PPI''s'!$B71)/('Predicted PPIs'!ES72+'Predicted PPIs'!ES71)))*IF(ED$26=".", 1, (ED72/ED71)^(('Summary, PPI''s'!$C72+'Summary, PPI''s'!$C71)/('Predicted PPIs'!ES72+'Predicted PPIs'!ES71)))*IF(EE$26=".", 1, (EE72/EE71)^(('Summary, PPI''s'!$D72+'Summary, PPI''s'!$D71)/('Predicted PPIs'!ES72+'Predicted PPIs'!ES71)))*IF(EO$26=".", 1, (EO72/EO71)^(('Summary, PPI''s'!$N72+'Summary, PPI''s'!$N71)/('Predicted PPIs'!ES72+'Predicted PPIs'!ES71)))*IF(EP$26=".", 1, (EP72/EP71)^(('Summary, PPI''s'!$O72+'Summary, PPI''s'!$O71)/('Predicted PPIs'!ES72+'Predicted PPIs'!ES71)))*IF(EQ$26=".", 1, (EQ72/EQ71)^(('Summary, PPI''s'!$P72+'Summary, PPI''s'!$P71)/('Predicted PPIs'!ES72+'Predicted PPIs'!ES71)))</f>
        <v>7.1868717546187169</v>
      </c>
      <c r="EW72" s="13">
        <f>EW71*IF(EF$26=".", 1, (EF72/EF71)^(('Summary, PPI''s'!$E72+'Summary, PPI''s'!$E71)/('Predicted PPIs'!ET72+'Predicted PPIs'!ET71)))*IF(EG$26=".", 1, (EG72/EG71)^(('Summary, PPI''s'!$F72+'Summary, PPI''s'!$F71)/('Predicted PPIs'!ET72+'Predicted PPIs'!ET71)))*IF(EH$26=".", 1, (EH72/EH71)^(('Summary, PPI''s'!$G72+'Summary, PPI''s'!$G71)/('Predicted PPIs'!ET72+'Predicted PPIs'!ET71)))*IF(EK$26=".", 1, (EK72/EK71)^(('Summary, PPI''s'!$J72+'Summary, PPI''s'!$J71)/('Predicted PPIs'!ET72+'Predicted PPIs'!ET71)))*IF(EL$26=".", 1, (EL72/EL71)^(('Summary, PPI''s'!$K72+'Summary, PPI''s'!$K71)/('Predicted PPIs'!ET72+'Predicted PPIs'!ET71)))*IF(EM$26=".", 1, (EM72/EM71)^(('Summary, PPI''s'!$L72+'Summary, PPI''s'!$L71)/('Predicted PPIs'!ET72+'Predicted PPIs'!ET71)))*IF(EN$26=".", 1, (EN72/EN71)^(('Summary, PPI''s'!$M72+'Summary, PPI''s'!$M71)/('Predicted PPIs'!ET72+'Predicted PPIs'!ET71)))*IF(EC$26=".", 1, (EC72/EC71)^(('Summary, PPI''s'!$B72+'Summary, PPI''s'!$B71)/('Predicted PPIs'!ET72+'Predicted PPIs'!ET71)))</f>
        <v>9.9242117554518252</v>
      </c>
      <c r="EY72" s="2"/>
    </row>
    <row r="73" spans="1:155" x14ac:dyDescent="0.3">
      <c r="A73" s="4">
        <v>1950</v>
      </c>
      <c r="B73" s="10">
        <f>IF(B72=".", ".", IF('Summary, PPI''s'!R73=".",IF(OR('Summary, hourly ad costs'!R73=-9999,'Summary, hourly ad costs'!R73=0), ".", 'Predicted PPIs'!B72*('Summary, hourly ad costs'!B73/'Summary, hourly ad costs'!R73)/('Summary, hourly ad costs'!B72/'Summary, hourly ad costs'!R72)), 'Summary, PPI''s'!R73))</f>
        <v>27.068156830706286</v>
      </c>
      <c r="C73" s="10" t="str">
        <f>IF(C72=".", ".", IF('Summary, PPI''s'!S73=".",IF(OR('Summary, hourly ad costs'!S73=-9999,'Summary, hourly ad costs'!S73=0), ".", 'Predicted PPIs'!C72*('Summary, hourly ad costs'!C73/'Summary, hourly ad costs'!S73)/('Summary, hourly ad costs'!C72/'Summary, hourly ad costs'!S72)), 'Summary, PPI''s'!S73))</f>
        <v>.</v>
      </c>
      <c r="D73" s="10" t="str">
        <f>IF(D72=".", ".", IF('Summary, PPI''s'!T73=".",IF(OR('Summary, hourly ad costs'!T73=-9999,'Summary, hourly ad costs'!T73=0), ".", 'Predicted PPIs'!D72*('Summary, hourly ad costs'!D73/'Summary, hourly ad costs'!T73)/('Summary, hourly ad costs'!D72/'Summary, hourly ad costs'!T72)), 'Summary, PPI''s'!T73))</f>
        <v>.</v>
      </c>
      <c r="E73" s="10">
        <f>IF(E72=".", ".", IF('Summary, PPI''s'!U73=".",IF(OR('Summary, hourly ad costs'!U73=-9999,'Summary, hourly ad costs'!U73=0), ".", 'Predicted PPIs'!E72*('Summary, hourly ad costs'!E73/'Summary, hourly ad costs'!U73)/('Summary, hourly ad costs'!E72/'Summary, hourly ad costs'!U72)), 'Summary, PPI''s'!U73))</f>
        <v>3.2984491833075991</v>
      </c>
      <c r="F73" s="10">
        <f>IF(F72=".", ".", IF('Summary, PPI''s'!V73=".",IF(OR('Summary, hourly ad costs'!V73=-9999,'Summary, hourly ad costs'!V73=0), ".", 'Predicted PPIs'!F72*('Summary, hourly ad costs'!F73/'Summary, hourly ad costs'!V73)/('Summary, hourly ad costs'!F72/'Summary, hourly ad costs'!V72)), 'Summary, PPI''s'!V73))</f>
        <v>5.5569547886616446</v>
      </c>
      <c r="G73" s="10" t="str">
        <f>IF(G72=".", ".", IF('Summary, PPI''s'!W73=".",IF(OR('Summary, hourly ad costs'!W73=-9999,'Summary, hourly ad costs'!W73=0), ".", 'Predicted PPIs'!G72*('Summary, hourly ad costs'!G73/'Summary, hourly ad costs'!W73)/('Summary, hourly ad costs'!G72/'Summary, hourly ad costs'!W72)), 'Summary, PPI''s'!W73))</f>
        <v>.</v>
      </c>
      <c r="H73" s="10">
        <f>IF(H72=".", ".", IF('Summary, PPI''s'!X73=".",IF(OR('Summary, hourly ad costs'!X73=-9999,'Summary, hourly ad costs'!X73=0), ".", 'Predicted PPIs'!H72*('Summary, hourly ad costs'!H73/'Summary, hourly ad costs'!X73)/('Summary, hourly ad costs'!H72/'Summary, hourly ad costs'!X72)), 'Summary, PPI''s'!X73))</f>
        <v>4.3557824423866123</v>
      </c>
      <c r="I73" s="10">
        <f>IF(I72=".", ".", IF('Summary, PPI''s'!Y73=".",IF(OR('Summary, hourly ad costs'!Y73=-9999,'Summary, hourly ad costs'!Y73=0), ".", 'Predicted PPIs'!I72*('Summary, hourly ad costs'!I73/'Summary, hourly ad costs'!Y73)/('Summary, hourly ad costs'!I72/'Summary, hourly ad costs'!Y72)), 'Summary, PPI''s'!Y73))</f>
        <v>7.9785021448316042</v>
      </c>
      <c r="J73" s="10">
        <f>IF(J72=".", ".", IF('Summary, PPI''s'!Z73=".",IF(OR('Summary, hourly ad costs'!Z73=-9999,'Summary, hourly ad costs'!Z73=0), ".", 'Predicted PPIs'!J72*('Summary, hourly ad costs'!J73/'Summary, hourly ad costs'!Z73)/('Summary, hourly ad costs'!J72/'Summary, hourly ad costs'!Z72)), 'Summary, PPI''s'!Z73))</f>
        <v>12.025514309581045</v>
      </c>
      <c r="K73" s="10" t="str">
        <f>IF(K72=".", ".", IF('Summary, PPI''s'!AA73=".",IF(OR('Summary, hourly ad costs'!AA73=-9999,'Summary, hourly ad costs'!AA73=0), ".", 'Predicted PPIs'!K72*('Summary, hourly ad costs'!K73/'Summary, hourly ad costs'!AA73)/('Summary, hourly ad costs'!K72/'Summary, hourly ad costs'!AA72)), 'Summary, PPI''s'!AA73))</f>
        <v>.</v>
      </c>
      <c r="L73" s="10" t="str">
        <f>IF(L72=".", ".", IF('Summary, PPI''s'!AB73=".",IF(OR('Summary, hourly ad costs'!AB73=-9999,'Summary, hourly ad costs'!AB73=0), ".", 'Predicted PPIs'!L72*('Summary, hourly ad costs'!L73/'Summary, hourly ad costs'!AB73)/('Summary, hourly ad costs'!L72/'Summary, hourly ad costs'!AB72)), 'Summary, PPI''s'!AB73))</f>
        <v>.</v>
      </c>
      <c r="M73" s="10" t="str">
        <f>IF(M72=".", ".", IF('Summary, PPI''s'!AC73=".",IF(OR('Summary, hourly ad costs'!AC73=-9999,'Summary, hourly ad costs'!AC73=0), ".", 'Predicted PPIs'!M72*('Summary, hourly ad costs'!M73/'Summary, hourly ad costs'!AC73)/('Summary, hourly ad costs'!M72/'Summary, hourly ad costs'!AC72)), 'Summary, PPI''s'!AC73))</f>
        <v>.</v>
      </c>
      <c r="N73" s="10" t="str">
        <f>IF(N72=".", ".", IF('Summary, PPI''s'!AD73=".",IF(OR('Summary, hourly ad costs'!AD73=-9999,'Summary, hourly ad costs'!AD73=0), ".", 'Predicted PPIs'!N72*('Summary, hourly ad costs'!N73/'Summary, hourly ad costs'!AD73)/('Summary, hourly ad costs'!N72/'Summary, hourly ad costs'!AD72)), 'Summary, PPI''s'!AD73))</f>
        <v>.</v>
      </c>
      <c r="O73" s="10" t="str">
        <f>IF(O72=".", ".", IF('Summary, PPI''s'!AE73=".",IF(OR('Summary, hourly ad costs'!AE73=-9999,'Summary, hourly ad costs'!AE73=0), ".", 'Predicted PPIs'!O72*('Summary, hourly ad costs'!O73/'Summary, hourly ad costs'!AE73)/('Summary, hourly ad costs'!O72/'Summary, hourly ad costs'!AE72)), 'Summary, PPI''s'!AE73))</f>
        <v>.</v>
      </c>
      <c r="P73" s="10" t="str">
        <f>IF(P72=".", ".", IF('Summary, PPI''s'!AF73=".",IF(OR('Summary, hourly ad costs'!AF73=-9999,'Summary, hourly ad costs'!AF73=0), ".", 'Predicted PPIs'!P72*('Summary, hourly ad costs'!P73/'Summary, hourly ad costs'!AF73)/('Summary, hourly ad costs'!P72/'Summary, hourly ad costs'!AF72)), 'Summary, PPI''s'!AF73))</f>
        <v>.</v>
      </c>
      <c r="R73" s="1">
        <f>IF(E$26=".", 0, 'Summary, PPI''s'!E73)+IF(F$26=".", 0, 'Summary, PPI''s'!F73)+IF(G$26=".", 0, 'Summary, PPI''s'!G73)+IF(H$26=".", 0, 'Summary, PPI''s'!H73)+IF(I$26=".", 0, 'Summary, PPI''s'!I73)+IF(J$26=".", 0, 'Summary, PPI''s'!J73)+IF(K$26=".", 0, 'Summary, PPI''s'!K73)+IF(L$26=".", 0, 'Summary, PPI''s'!L73)+IF(M$26=".", 0, 'Summary, PPI''s'!M73)+IF(B$26=".", 0, 'Summary, PPI''s'!B73)+IF(C$26=".", 0, 'Summary, PPI''s'!C73)+IF(D$26=".", 0, 'Summary, PPI''s'!D73)+IF(N$26=".", 0, 'Summary, PPI''s'!N73)+IF(O$26=".", 0, 'Summary, PPI''s'!O73)+IF(P$26=".", 0, 'Summary, PPI''s'!P73)</f>
        <v>5970939.1700094808</v>
      </c>
      <c r="S73" s="1">
        <f>IF(E$36=".", 0, 'Summary, PPI''s'!E73)+IF(F$36=".", 0, 'Summary, PPI''s'!F73)+IF(G$36=".", 0, 'Summary, PPI''s'!G73)+IF(H$36=".", 0, 'Summary, PPI''s'!H73)+IF(I$36=".", 0, 'Summary, PPI''s'!I73)+IF(J$36=".", 0, 'Summary, PPI''s'!J73)+IF(K$36=".", 0, 'Summary, PPI''s'!K73)+IF(L$36=".", 0, 'Summary, PPI''s'!L73)+IF(M$36=".", 0, 'Summary, PPI''s'!M73)+IF(B$36=".", 0, 'Summary, PPI''s'!B73)+IF(C$36=".", 0, 'Summary, PPI''s'!C73)+IF(D$36=".", 0, 'Summary, PPI''s'!D73)+IF(N$36=".", 0, 'Summary, PPI''s'!N73)+IF(O$36=".", 0, 'Summary, PPI''s'!O73)+IF(P$36=".", 0, 'Summary, PPI''s'!P73)</f>
        <v>5970939.1700094808</v>
      </c>
      <c r="T73" s="1">
        <f>IF(E$46=".", 0, 'Summary, PPI''s'!E73)+IF(F$46=".", 0, 'Summary, PPI''s'!F73)+IF(G$46=".", 0, 'Summary, PPI''s'!G73)+IF(H$46=".", 0, 'Summary, PPI''s'!H73)+IF(I$46=".", 0, 'Summary, PPI''s'!I73)+IF(J$46=".", 0, 'Summary, PPI''s'!J73)+IF(K$46=".", 0, 'Summary, PPI''s'!K73)+IF(L$46=".", 0, 'Summary, PPI''s'!L73)+IF(M$46=".", 0, 'Summary, PPI''s'!M73)+IF(B$46=".", 0, 'Summary, PPI''s'!B73)+IF(C$46=".", 0, 'Summary, PPI''s'!C73)+IF(D$46=".", 0, 'Summary, PPI''s'!D73)+IF(N$46=".", 0, 'Summary, PPI''s'!N73)+IF(O$46=".", 0, 'Summary, PPI''s'!O73)+IF(P$46=".", 0, 'Summary, PPI''s'!P73)</f>
        <v>4551653.7060543392</v>
      </c>
      <c r="U73" s="1">
        <f>IF(E$60=".", 0, 'Summary, PPI''s'!E73)+IF(F$60=".", 0, 'Summary, PPI''s'!F73)+IF(G$60=".", 0, 'Summary, PPI''s'!G73)+IF(H$60=".", 0, 'Summary, PPI''s'!H73)+IF(I$60=".", 0, 'Summary, PPI''s'!I73)+IF(J$60=".", 0, 'Summary, PPI''s'!J73)+IF(K$60=".", 0, 'Summary, PPI''s'!K73)+IF(L$60=".", 0, 'Summary, PPI''s'!L73)+IF(M$60=".", 0, 'Summary, PPI''s'!M73)+IF(B$60=".", 0, 'Summary, PPI''s'!B73)+IF(C$60=".", 0, 'Summary, PPI''s'!C73)+IF(D$60=".", 0, 'Summary, PPI''s'!D73)+IF(N$60=".", 0, 'Summary, PPI''s'!N73)+IF(O$60=".", 0, 'Summary, PPI''s'!O73)+IF(P$60=".", 0, 'Summary, PPI''s'!P73)</f>
        <v>4142040.4384233919</v>
      </c>
      <c r="V73" s="1">
        <f>IF(E$73=".", 0, 'Summary, PPI''s'!E73)+IF(F$73=".", 0, 'Summary, PPI''s'!F73)+IF(G$73=".", 0, 'Summary, PPI''s'!G73)+IF(H$73=".", 0, 'Summary, PPI''s'!H73)+IF(I$73=".", 0, 'Summary, PPI''s'!I73)+IF(J$73=".", 0, 'Summary, PPI''s'!J73)+IF(K$73=".", 0, 'Summary, PPI''s'!K73)+IF(L$73=".", 0, 'Summary, PPI''s'!L73)+IF(M$73=".", 0, 'Summary, PPI''s'!M73)+IF(B$73=".", 0, 'Summary, PPI''s'!B73)+IF(C$73=".", 0, 'Summary, PPI''s'!C73)+IF(D$73=".", 0, 'Summary, PPI''s'!D73)+IF(N$73=".", 0, 'Summary, PPI''s'!N73)+IF(O$73=".", 0, 'Summary, PPI''s'!O73)+IF(P$73=".", 0, 'Summary, PPI''s'!P73)</f>
        <v>3572392.1995865712</v>
      </c>
      <c r="W73" s="1">
        <f>IF(E$94=".",0,'Summary, PPI''s'!E73)+IF(F$94=".",0,'Summary, PPI''s'!F73)+IF(G$94=".",0,'Summary, PPI''s'!G73)+IF(H$94=".",0,'Summary, PPI''s'!H73)+IF(I$94=".",0,'Summary, PPI''s'!I73)+IF(J$94=".",0,'Summary, PPI''s'!J73)+IF(K$94=".",0,'Summary, PPI''s'!K73)+IF(L$94=".",0,'Summary, PPI''s'!L73)+IF(M$94=".",0,'Summary, PPI''s'!M73)+IF(B$94=".",0,'Summary, PPI''s'!B73)+IF(C$94=".",0,'Summary, PPI''s'!C73)+IF(D$94=".",0,'Summary, PPI''s'!D73)+IF(N$94=".",0,'Summary, PPI''s'!N73)+IF(O$94=".",0,'Summary, PPI''s'!O73)+IF(P$94=".",0,'Summary, PPI''s'!P73)</f>
        <v>3444346.4496385353</v>
      </c>
      <c r="X73" s="1">
        <f>IF(E$123=".", 0, 'Summary, PPI''s'!E73)+IF(F$123=".", 0, 'Summary, PPI''s'!F73)+IF(G$123=".", 0, 'Summary, PPI''s'!G73)+IF(H$123=".", 0, 'Summary, PPI''s'!H73)+IF(I$123=".", 0, 'Summary, PPI''s'!I73)+IF(J$123=".", 0, 'Summary, PPI''s'!J73)+IF(K$123=".", 0, 'Summary, PPI''s'!K73)+IF(L$123=".", 0, 'Summary, PPI''s'!L73)+IF(M$123=".", 0, 'Summary, PPI''s'!M73)+IF(B$123=".", 0, 'Summary, PPI''s'!B73)+IF(C$123=".", 0, 'Summary, PPI''s'!C73)+IF(D$123=".", 0, 'Summary, PPI''s'!D73)+IF(N$123=".", 0, 'Summary, PPI''s'!N73)+IF(O$123=".", 0, 'Summary, PPI''s'!O73)+IF(P$123=".", 0, 'Summary, PPI''s'!P73)</f>
        <v>2962033.1781488201</v>
      </c>
      <c r="Z73" s="4" t="e">
        <f>Z72*IF(E$26=".", 1, (E73/E72)^(('Summary, PPI''s'!$E73+'Summary, PPI''s'!$E72)/('Predicted PPIs'!R73+'Predicted PPIs'!R72)))*IF(F$26=".", 1, (F73/F72)^(('Summary, PPI''s'!$F73+'Summary, PPI''s'!$F72)/('Predicted PPIs'!R73+'Predicted PPIs'!R72)))*IF(G$26=".", 1, (G73/G72)^(('Summary, PPI''s'!$G73+'Summary, PPI''s'!$G72)/('Predicted PPIs'!R73+'Predicted PPIs'!R72)))*IF(H$26=".", 1, (H73/H72)^(('Summary, PPI''s'!$H73+'Summary, PPI''s'!$H72)/('Predicted PPIs'!R73+'Predicted PPIs'!R72)))*IF(I$26=".", 1, (I73/I72)^(('Summary, PPI''s'!$I73+'Summary, PPI''s'!$I72)/('Predicted PPIs'!R73+'Predicted PPIs'!R72)))*IF(J$26=".", 1, (J73/J72)^(('Summary, PPI''s'!$J73+'Summary, PPI''s'!$J72)/('Predicted PPIs'!R73+'Predicted PPIs'!R72)))*IF(K$26=".", 1, (K73/K72)^(('Summary, PPI''s'!$K73+'Summary, PPI''s'!$K72)/('Predicted PPIs'!R73+'Predicted PPIs'!R72)))*IF(L$26=".", 1, (L73/L72)^(('Summary, PPI''s'!$L73+'Summary, PPI''s'!$L72)/('Predicted PPIs'!R73+'Predicted PPIs'!R72)))*IF(M$26=".", 1, (M73/M72)^(('Summary, PPI''s'!$M73+'Summary, PPI''s'!$M72)/('Predicted PPIs'!R73+'Predicted PPIs'!R72)))*IF(B$26=".", 1, (B73/B72)^(('Summary, PPI''s'!$B73+'Summary, PPI''s'!$B72)/('Predicted PPIs'!R73+'Predicted PPIs'!R72)))*IF(C$26=".", 1, (C73/C72)^(('Summary, PPI''s'!$C73+'Summary, PPI''s'!$C72)/('Predicted PPIs'!R73+'Predicted PPIs'!R72)))*IF(D$26=".", 1, (D73/D72)^(('Summary, PPI''s'!$D73+'Summary, PPI''s'!$D72)/('Predicted PPIs'!R73+'Predicted PPIs'!R72)))*IF(N$26=".", 1, (N73/N72)^(('Summary, PPI''s'!$N73+'Summary, PPI''s'!$N72)/('Predicted PPIs'!R73+'Predicted PPIs'!R72)))*IF(O$26=".", 1, (O73/O72)^(('Summary, PPI''s'!$O73+'Summary, PPI''s'!$O72)/('Predicted PPIs'!R73+'Predicted PPIs'!R72)))*IF(P$26=".", 1, (P73/P72)^(('Summary, PPI''s'!$P73+'Summary, PPI''s'!$P72)/('Predicted PPIs'!R73+'Predicted PPIs'!R72)))</f>
        <v>#VALUE!</v>
      </c>
      <c r="AA73" s="4" t="e">
        <f>AA72*IF(E$36=".", 1, (E73/E72)^(('Summary, PPI''s'!$E73+'Summary, PPI''s'!$E72)/('Predicted PPIs'!S73+'Predicted PPIs'!S72)))*IF(F$36=".", 1, (F73/F72)^(('Summary, PPI''s'!$F73+'Summary, PPI''s'!$F72)/('Predicted PPIs'!S73+'Predicted PPIs'!S72)))*IF(G$36=".", 1, (G73/G72)^(('Summary, PPI''s'!$G73+'Summary, PPI''s'!$G72)/('Predicted PPIs'!S73+'Predicted PPIs'!S72)))*IF(H$36=".", 1, (H73/H72)^(('Summary, PPI''s'!$H73+'Summary, PPI''s'!$H72)/('Predicted PPIs'!S73+'Predicted PPIs'!S72)))*IF(I$36=".", 1, (I73/I72)^(('Summary, PPI''s'!$I73+'Summary, PPI''s'!$I72)/('Predicted PPIs'!S73+'Predicted PPIs'!S72)))*IF(J$36=".", 1, (J73/J72)^(('Summary, PPI''s'!$J73+'Summary, PPI''s'!$J72)/('Predicted PPIs'!S73+'Predicted PPIs'!S72)))*IF(K$36=".", 1, (K73/K72)^(('Summary, PPI''s'!$K73+'Summary, PPI''s'!$K72)/('Predicted PPIs'!S73+'Predicted PPIs'!S72)))*IF(L$36=".", 1, (L73/L72)^(('Summary, PPI''s'!$L73+'Summary, PPI''s'!$L72)/('Predicted PPIs'!S73+'Predicted PPIs'!S72)))*IF(M$36=".", 1, (M73/M72)^(('Summary, PPI''s'!$M73+'Summary, PPI''s'!$M72)/('Predicted PPIs'!S73+'Predicted PPIs'!S72)))*IF(B$36=".", 1, (B73/B72)^(('Summary, PPI''s'!$B73+'Summary, PPI''s'!$B72)/('Predicted PPIs'!S73+'Predicted PPIs'!S72)))*IF(C$36=".", 1, (C73/C72)^(('Summary, PPI''s'!$C73+'Summary, PPI''s'!$C72)/('Predicted PPIs'!S73+'Predicted PPIs'!S72)))*IF(D$36=".", 1, (D73/D72)^(('Summary, PPI''s'!$D73+'Summary, PPI''s'!$D72)/('Predicted PPIs'!S73+'Predicted PPIs'!S72)))*IF(N$36=".", 1, (N73/N72)^(('Summary, PPI''s'!$N73+'Summary, PPI''s'!$N72)/('Predicted PPIs'!S73+'Predicted PPIs'!S72)))*IF(O$36=".", 1, (O73/O72)^(('Summary, PPI''s'!$O73+'Summary, PPI''s'!$O72)/('Predicted PPIs'!S73+'Predicted PPIs'!S72)))*IF(P$36=".", 1, (P73/P72)^(('Summary, PPI''s'!$P73+'Summary, PPI''s'!$P72)/('Predicted PPIs'!S73+'Predicted PPIs'!S72)))</f>
        <v>#VALUE!</v>
      </c>
      <c r="AB73" s="4" t="e">
        <f>AB72*IF(E$46=".", 1, (E73/E72)^(('Summary, PPI''s'!$E73+'Summary, PPI''s'!$E72)/('Predicted PPIs'!T73+'Predicted PPIs'!T72)))*IF(F$46=".", 1, (F73/F72)^(('Summary, PPI''s'!$F73+'Summary, PPI''s'!$F72)/('Predicted PPIs'!T73+'Predicted PPIs'!T72)))*IF(G$46=".", 1, (G73/G72)^(('Summary, PPI''s'!$G73+'Summary, PPI''s'!$G72)/('Predicted PPIs'!T73+'Predicted PPIs'!T72)))*IF(H$46=".", 1, (H73/H72)^(('Summary, PPI''s'!$H73+'Summary, PPI''s'!$H72)/('Predicted PPIs'!T73+'Predicted PPIs'!T72)))*IF(I$46=".", 1, (I73/I72)^(('Summary, PPI''s'!$I73+'Summary, PPI''s'!$I72)/('Predicted PPIs'!T73+'Predicted PPIs'!T72)))*IF(J$46=".", 1, (J73/J72)^(('Summary, PPI''s'!$J73+'Summary, PPI''s'!$J72)/('Predicted PPIs'!T73+'Predicted PPIs'!T72)))*IF(K$46=".", 1, (K73/K72)^(('Summary, PPI''s'!$K73+'Summary, PPI''s'!$K72)/('Predicted PPIs'!T73+'Predicted PPIs'!T72)))*IF(L$46=".", 1, (L73/L72)^(('Summary, PPI''s'!$L73+'Summary, PPI''s'!$L72)/('Predicted PPIs'!T73+'Predicted PPIs'!T72)))*IF(M$46=".", 1, (M73/M72)^(('Summary, PPI''s'!$M73+'Summary, PPI''s'!$M72)/('Predicted PPIs'!T73+'Predicted PPIs'!T72)))*IF(B$46=".", 1, (B73/B72)^(('Summary, PPI''s'!$B73+'Summary, PPI''s'!$B72)/('Predicted PPIs'!T73+'Predicted PPIs'!T72)))*IF(C$46=".", 1, (C73/C72)^(('Summary, PPI''s'!$C73+'Summary, PPI''s'!$C72)/('Predicted PPIs'!T73+'Predicted PPIs'!T72)))*IF(D$46=".", 1, (D73/D72)^(('Summary, PPI''s'!$D73+'Summary, PPI''s'!$D72)/('Predicted PPIs'!T73+'Predicted PPIs'!T72)))*IF(N$46=".", 1, (N73/N72)^(('Summary, PPI''s'!$N73+'Summary, PPI''s'!$N72)/('Predicted PPIs'!T73+'Predicted PPIs'!T72)))*IF(O$46=".", 1, (O73/O72)^(('Summary, PPI''s'!$O73+'Summary, PPI''s'!$O72)/('Predicted PPIs'!T73+'Predicted PPIs'!T72)))*IF(P$46=".", 1, (P73/P72)^(('Summary, PPI''s'!$P73+'Summary, PPI''s'!$P72)/('Predicted PPIs'!T73+'Predicted PPIs'!T72)))</f>
        <v>#VALUE!</v>
      </c>
      <c r="AC73" s="4" t="e">
        <f>AC72*IF(E$60=".",1,(E73/E72)^(('Summary, PPI''s'!$E73+'Summary, PPI''s'!$E72)/('Predicted PPIs'!U73+'Predicted PPIs'!U72)))*IF(F$60=".",1,(F73/F72)^(('Summary, PPI''s'!$F73+'Summary, PPI''s'!$F72)/('Predicted PPIs'!U73+'Predicted PPIs'!U72)))*IF(G$60=".",1,(G73/G72)^(('Summary, PPI''s'!$G73+'Summary, PPI''s'!$G72)/('Predicted PPIs'!U73+'Predicted PPIs'!U72)))*IF(H$60=".",1,(H73/H72)^(('Summary, PPI''s'!$H73+'Summary, PPI''s'!$H72)/('Predicted PPIs'!U73+'Predicted PPIs'!U72)))*IF(I$60=".",1,(I73/I72)^(('Summary, PPI''s'!$I73+'Summary, PPI''s'!$I72)/('Predicted PPIs'!U73+'Predicted PPIs'!U72)))*IF(J$60=".",1,(J73/J72)^(('Summary, PPI''s'!$J73+'Summary, PPI''s'!$J72)/('Predicted PPIs'!U73+'Predicted PPIs'!U72)))*IF(K$60=".",1,(K73/K72)^(('Summary, PPI''s'!$K73+'Summary, PPI''s'!$K72)/('Predicted PPIs'!U73+'Predicted PPIs'!U72)))*IF(L$60=".",1,(L73/L72)^(('Summary, PPI''s'!$L73+'Summary, PPI''s'!$L72)/('Predicted PPIs'!U73+'Predicted PPIs'!U72)))*IF(M$60=".",1,(M73/M72)^(('Summary, PPI''s'!$M73+'Summary, PPI''s'!$M72)/('Predicted PPIs'!U73+'Predicted PPIs'!U72)))*IF(B$60=".",1,(B73/B72)^(('Summary, PPI''s'!$B73+'Summary, PPI''s'!$B72)/('Predicted PPIs'!U73+'Predicted PPIs'!U72)))*IF(C$60=".",1,(C73/C72)^(('Summary, PPI''s'!$C73+'Summary, PPI''s'!$C72)/('Predicted PPIs'!U73+'Predicted PPIs'!U72)))*IF(D$60=".",1,(D73/D72)^(('Summary, PPI''s'!$D73+'Summary, PPI''s'!$D72)/('Predicted PPIs'!U73+'Predicted PPIs'!U72)))*IF(N$60=".",1,(N73/N72)^(('Summary, PPI''s'!$N73+'Summary, PPI''s'!$N72)/('Predicted PPIs'!U73+'Predicted PPIs'!U72)))*IF(O$60=".",1,(O73/O72)^(('Summary, PPI''s'!$O73+'Summary, PPI''s'!$O72)/('Predicted PPIs'!U73+'Predicted PPIs'!U72)))*IF(P$60=".",1,(P73/P72)^(('Summary, PPI''s'!$P73+'Summary, PPI''s'!$P72)/('Predicted PPIs'!U73+'Predicted PPIs'!U72)))</f>
        <v>#VALUE!</v>
      </c>
      <c r="AD73" s="4">
        <f>AD72*IF(E$73=".", 1, (E73/E72)^(('Summary, PPI''s'!$E73+'Summary, PPI''s'!$E72)/('Predicted PPIs'!V73+'Predicted PPIs'!V72)))*IF(F$73=".", 1, (F73/F72)^(('Summary, PPI''s'!$F73+'Summary, PPI''s'!$F72)/('Predicted PPIs'!V73+'Predicted PPIs'!V72)))*IF(G$73=".", 1, (G73/G72)^(('Summary, PPI''s'!$G73+'Summary, PPI''s'!$G72)/('Predicted PPIs'!V73+'Predicted PPIs'!V72)))*IF(H$73=".", 1, (H73/H72)^(('Summary, PPI''s'!$H73+'Summary, PPI''s'!$H72)/('Predicted PPIs'!V73+'Predicted PPIs'!V72)))*IF(I$73=".", 1, (I73/I72)^(('Summary, PPI''s'!$I73+'Summary, PPI''s'!$I72)/('Predicted PPIs'!V73+'Predicted PPIs'!V72)))*IF(J$73=".", 1, (J73/J72)^(('Summary, PPI''s'!$J73+'Summary, PPI''s'!$J72)/('Predicted PPIs'!V73+'Predicted PPIs'!V72)))*IF(K$73=".", 1, (K73/K72)^(('Summary, PPI''s'!$K73+'Summary, PPI''s'!$K72)/('Predicted PPIs'!V73+'Predicted PPIs'!V72)))*IF(L$73=".", 1, (L73/L72)^(('Summary, PPI''s'!$L73+'Summary, PPI''s'!$L72)/('Predicted PPIs'!V73+'Predicted PPIs'!V72)))*IF(M$73=".", 1, (M73/M72)^(('Summary, PPI''s'!$M73+'Summary, PPI''s'!$M72)/('Predicted PPIs'!V73+'Predicted PPIs'!V72)))*IF(B$73=".", 1, (B73/B72)^(('Summary, PPI''s'!$B73+'Summary, PPI''s'!$B72)/('Predicted PPIs'!V73+'Predicted PPIs'!V72)))*IF(C$73=".", 1, (C73/C72)^(('Summary, PPI''s'!$C73+'Summary, PPI''s'!$C72)/('Predicted PPIs'!V73+'Predicted PPIs'!V72)))*IF(D$73=".", 1, (D73/D72)^(('Summary, PPI''s'!$D73+'Summary, PPI''s'!$D72)/('Predicted PPIs'!V73+'Predicted PPIs'!V72)))*IF(N$73=".", 1, (N73/N72)^(('Summary, PPI''s'!$N73+'Summary, PPI''s'!$N72)/('Predicted PPIs'!V73+'Predicted PPIs'!V72)))*IF(O$73=".", 1, (O73/O72)^(('Summary, PPI''s'!$O73+'Summary, PPI''s'!$O72)/('Predicted PPIs'!V73+'Predicted PPIs'!V72)))*IF(P$73=".", 1, (P73/P72)^(('Summary, PPI''s'!$P73+'Summary, PPI''s'!$P72)/('Predicted PPIs'!V73+'Predicted PPIs'!V72)))</f>
        <v>6.395292756956648</v>
      </c>
      <c r="AE73" s="4">
        <f>AE72*IF(E$94=".", 1, (E73/E72)^(('Summary, PPI''s'!$E73+'Summary, PPI''s'!$E72)/('Predicted PPIs'!W73+'Predicted PPIs'!W72)))*IF(F$94=".", 1, (F73/F72)^(('Summary, PPI''s'!$F73+'Summary, PPI''s'!$F72)/('Predicted PPIs'!W73+'Predicted PPIs'!W72)))*IF(G$94=".", 1, (G73/G72)^(('Summary, PPI''s'!$G73+'Summary, PPI''s'!$G72)/('Predicted PPIs'!W73+'Predicted PPIs'!W72)))*IF(H$94=".", 1, (H73/H72)^(('Summary, PPI''s'!$H73+'Summary, PPI''s'!$H72)/('Predicted PPIs'!W73+'Predicted PPIs'!W72)))*IF(I$94=".", 1, (I73/I72)^(('Summary, PPI''s'!$I73+'Summary, PPI''s'!$I72)/('Predicted PPIs'!W73+'Predicted PPIs'!W72)))*IF(J$94=".", 1, (J73/J72)^(('Summary, PPI''s'!$J73+'Summary, PPI''s'!$J72)/('Predicted PPIs'!W73+'Predicted PPIs'!W72)))*IF(K$94=".", 1, (K73/K72)^(('Summary, PPI''s'!$K73+'Summary, PPI''s'!$K72)/('Predicted PPIs'!W73+'Predicted PPIs'!W72)))*IF(L$94=".", 1, (L73/L72)^(('Summary, PPI''s'!$L73+'Summary, PPI''s'!$L72)/('Predicted PPIs'!W73+'Predicted PPIs'!W72)))*IF(M$94=".", 1, (M73/M72)^(('Summary, PPI''s'!$M73+'Summary, PPI''s'!$M72)/('Predicted PPIs'!W73+'Predicted PPIs'!W72)))*IF(B$94=".", 1, (B73/B72)^(('Summary, PPI''s'!$B73+'Summary, PPI''s'!$B72)/('Predicted PPIs'!W73+'Predicted PPIs'!W72)))*IF(C$94=".", 1, (C73/C72)^(('Summary, PPI''s'!$C73+'Summary, PPI''s'!$C72)/('Predicted PPIs'!W73+'Predicted PPIs'!W72)))*IF(D$94=".", 1, (D73/D72)^(('Summary, PPI''s'!$D73+'Summary, PPI''s'!$D72)/('Predicted PPIs'!W73+'Predicted PPIs'!W72)))*IF(N$94=".", 1, (N73/N72)^(('Summary, PPI''s'!$N73+'Summary, PPI''s'!$N72)/('Predicted PPIs'!W73+'Predicted PPIs'!W72)))*IF(O$94=".", 1, (O73/O72)^(('Summary, PPI''s'!$O73+'Summary, PPI''s'!$O72)/('Predicted PPIs'!W73+'Predicted PPIs'!W72)))*IF(P$94=".", 1, (P73/P72)^(('Summary, PPI''s'!$P73+'Summary, PPI''s'!$P72)/('Predicted PPIs'!W73+'Predicted PPIs'!W72)))</f>
        <v>5.4205678222417406</v>
      </c>
      <c r="AF73" s="4">
        <f>AF72*IF(E$123=".", 1, (E73/E72)^(('Summary, PPI''s'!$E73+'Summary, PPI''s'!$E72)/('Predicted PPIs'!X73+'Predicted PPIs'!X72)))*IF(F$123=".", 1, (F73/F72)^(('Summary, PPI''s'!$F73+'Summary, PPI''s'!$F72)/('Predicted PPIs'!X73+'Predicted PPIs'!X72)))*IF(G$123=".", 1, (G73/G72)^(('Summary, PPI''s'!$G73+'Summary, PPI''s'!$G72)/('Predicted PPIs'!X73+'Predicted PPIs'!X72)))*IF(H$123=".", 1, (H73/H72)^(('Summary, PPI''s'!$H73+'Summary, PPI''s'!$H72)/('Predicted PPIs'!X73+'Predicted PPIs'!X72)))*IF(I$123=".", 1, (I73/I72)^(('Summary, PPI''s'!$I73+'Summary, PPI''s'!$I72)/('Predicted PPIs'!X73+'Predicted PPIs'!X72)))*IF(J$123=".", 1, (J73/J72)^(('Summary, PPI''s'!$J73+'Summary, PPI''s'!$J72)/('Predicted PPIs'!X73+'Predicted PPIs'!X72)))*IF(K$123=".", 1, (K73/K72)^(('Summary, PPI''s'!$K73+'Summary, PPI''s'!$K72)/('Predicted PPIs'!X73+'Predicted PPIs'!X72)))*IF(L$123=".", 1, (L73/L72)^(('Summary, PPI''s'!$L73+'Summary, PPI''s'!$L72)/('Predicted PPIs'!X73+'Predicted PPIs'!X72)))*IF(M$123=".", 1, (M73/M72)^(('Summary, PPI''s'!$M73+'Summary, PPI''s'!$M72)/('Predicted PPIs'!X73+'Predicted PPIs'!X72)))*IF(B$123=".", 1, (B73/B72)^(('Summary, PPI''s'!$B73+'Summary, PPI''s'!$B72)/('Predicted PPIs'!X73+'Predicted PPIs'!X72)))*IF(C$123=".", 1, (C73/C72)^(('Summary, PPI''s'!$C73+'Summary, PPI''s'!$C72)/('Predicted PPIs'!X73+'Predicted PPIs'!X72)))*IF(D$123=".", 1, (D73/D72)^(('Summary, PPI''s'!$D73+'Summary, PPI''s'!$D72)/('Predicted PPIs'!X73+'Predicted PPIs'!X72)))*IF(N$123=".", 1, (N73/N72)^(('Summary, PPI''s'!$N73+'Summary, PPI''s'!$N72)/('Predicted PPIs'!X73+'Predicted PPIs'!X72)))*IF(O$123=".", 1, (O73/O72)^(('Summary, PPI''s'!$O73+'Summary, PPI''s'!$O72)/('Predicted PPIs'!X73+'Predicted PPIs'!X72)))*IF(P$123=".", 1, (P73/P72)^(('Summary, PPI''s'!$P73+'Summary, PPI''s'!$P72)/('Predicted PPIs'!X73+'Predicted PPIs'!X72)))</f>
        <v>4.8958776312604098</v>
      </c>
      <c r="AH73" s="13">
        <f t="shared" si="152"/>
        <v>7.4127979667257096</v>
      </c>
      <c r="AJ73" s="4">
        <v>192</v>
      </c>
      <c r="AK73" s="4">
        <v>-2.0630000000000002</v>
      </c>
      <c r="AL73" s="4">
        <v>-12.391</v>
      </c>
      <c r="AM73" s="4">
        <v>-1.464</v>
      </c>
      <c r="AN73" s="4">
        <v>267.8</v>
      </c>
      <c r="AO73" s="4">
        <v>50.9</v>
      </c>
      <c r="AP73" s="4">
        <f>('[4]1950'!$I$14+'[4]1950'!$I$51+'[4]1950'!$I$53-'[4]1950'!$I$55)*0.001</f>
        <v>-4.4590000000000005</v>
      </c>
      <c r="AQ73" s="4">
        <f>('[4]1950'!$AK$42+'[4]1950'!$AK$51+'[4]1950'!$AK$53-'[4]1950'!$AK$55)*0.001</f>
        <v>-7.835</v>
      </c>
      <c r="AR73" s="4">
        <f t="shared" si="148"/>
        <v>-2.6466037460570755E-3</v>
      </c>
      <c r="AS73" s="4">
        <v>-1.069</v>
      </c>
      <c r="AT73" s="4">
        <v>13.252000000000001</v>
      </c>
      <c r="AU73" s="4">
        <v>22.196999999999999</v>
      </c>
      <c r="AV73" s="4">
        <v>11.026999999999999</v>
      </c>
      <c r="AW73" s="4">
        <v>9.6660000000000004</v>
      </c>
      <c r="AX73" s="4">
        <v>13.071</v>
      </c>
      <c r="AY73" s="4">
        <v>18.382999999999999</v>
      </c>
      <c r="AZ73" s="4">
        <v>6.6989999999999998</v>
      </c>
      <c r="BA73" s="4">
        <v>15.664</v>
      </c>
      <c r="BB73" s="4">
        <f t="shared" si="150"/>
        <v>89.59421880746477</v>
      </c>
      <c r="BC73" s="4">
        <v>12.778</v>
      </c>
      <c r="BG73" s="4">
        <f t="shared" si="50"/>
        <v>14.967965194164769</v>
      </c>
      <c r="BI73" s="4">
        <f>BI$13*'[2]Ordinary Experience'!$D$353/'[2]Ordinary Experience'!$D$413</f>
        <v>150827163.69885635</v>
      </c>
      <c r="BJ73" s="4">
        <f>'[2]Ordinary Experience'!$E$353</f>
        <v>26.9</v>
      </c>
      <c r="BL73" s="4">
        <f t="shared" si="151"/>
        <v>34.253231659415405</v>
      </c>
      <c r="BM73" s="4">
        <f t="shared" si="153"/>
        <v>0.10635121519059698</v>
      </c>
      <c r="BO73" s="4" t="str">
        <f>IF(OR('Summary, hourly ad costs'!R73=-9999,'Summary, PPI''s'!R73="."),".",(('Summary, hourly ad costs'!B73/'Summary, hourly ad costs'!R73)*100/('Summary, hourly ad costs'!B$11/'Summary, hourly ad costs'!R$11))/('Summary, PPI''s'!R73))</f>
        <v>.</v>
      </c>
      <c r="BP73" s="4" t="str">
        <f>IF(OR('Summary, hourly ad costs'!S73=-9999,'Summary, PPI''s'!S73="."),".",(('Summary, hourly ad costs'!C73/'Summary, hourly ad costs'!S73)*100/('Summary, hourly ad costs'!C$11/'Summary, hourly ad costs'!S$11))/('Summary, PPI''s'!S73))</f>
        <v>.</v>
      </c>
      <c r="BQ73" s="4" t="str">
        <f>IF(OR('Summary, hourly ad costs'!T73=-9999,'Summary, PPI''s'!T73="."),".",(('Summary, hourly ad costs'!D73/'Summary, hourly ad costs'!T73)*100/('Summary, hourly ad costs'!D$11/'Summary, hourly ad costs'!T$11))/('Summary, PPI''s'!T73))</f>
        <v>.</v>
      </c>
      <c r="BR73" s="4" t="str">
        <f>IF(OR('Summary, hourly ad costs'!U73=-9999,'Summary, PPI''s'!U73="."),".",(('Summary, hourly ad costs'!E73/'Summary, hourly ad costs'!U73)*100/('Summary, hourly ad costs'!E$11/'Summary, hourly ad costs'!U$11))/('Summary, PPI''s'!U73))</f>
        <v>.</v>
      </c>
      <c r="BS73" s="4" t="str">
        <f>IF(OR('Summary, hourly ad costs'!V73=-9999,'Summary, PPI''s'!V73="."),".",(('Summary, hourly ad costs'!F73/'Summary, hourly ad costs'!V73)*100/('Summary, hourly ad costs'!F$11/'Summary, hourly ad costs'!V$11))/('Summary, PPI''s'!V73))</f>
        <v>.</v>
      </c>
      <c r="BT73" s="4" t="str">
        <f>IF(OR('Summary, hourly ad costs'!W73=-9999,'Summary, PPI''s'!W73="."),".",(('Summary, hourly ad costs'!G73/'Summary, hourly ad costs'!W73)*100/('Summary, hourly ad costs'!G$11/'Summary, hourly ad costs'!W$11))/('Summary, PPI''s'!W73))</f>
        <v>.</v>
      </c>
      <c r="BU73" s="4" t="str">
        <f>IF(OR('Summary, hourly ad costs'!X73=-9999,'Summary, PPI''s'!X73="."),".",(('Summary, hourly ad costs'!H73/'Summary, hourly ad costs'!X73)*100/('Summary, hourly ad costs'!H$11/'Summary, hourly ad costs'!X$11))/('Summary, PPI''s'!X73))</f>
        <v>.</v>
      </c>
      <c r="BV73" s="4" t="str">
        <f>IF(OR('Summary, hourly ad costs'!Y73=-9999,'Summary, PPI''s'!Y73="."),".",(('Summary, hourly ad costs'!I73/'Summary, hourly ad costs'!Y73)*100/('Summary, hourly ad costs'!I$11/'Summary, hourly ad costs'!Y$11))/('Summary, PPI''s'!Y73))</f>
        <v>.</v>
      </c>
      <c r="BW73" s="4" t="str">
        <f>IF(OR('Summary, hourly ad costs'!Z73=-9999,'Summary, PPI''s'!Z73="."),".",(('Summary, hourly ad costs'!J73/'Summary, hourly ad costs'!Z73)*100/('Summary, hourly ad costs'!J$11/'Summary, hourly ad costs'!Z$11))/('Summary, PPI''s'!Z73))</f>
        <v>.</v>
      </c>
      <c r="BX73" s="4" t="str">
        <f>IF(OR('Summary, hourly ad costs'!AA73=-9999,'Summary, PPI''s'!AA73="."),".",(('Summary, hourly ad costs'!K73/'Summary, hourly ad costs'!AA73)*100/('Summary, hourly ad costs'!K$11/'Summary, hourly ad costs'!AA$11))/('Summary, PPI''s'!AA73))</f>
        <v>.</v>
      </c>
      <c r="BY73" s="4" t="str">
        <f>IF(OR('Summary, hourly ad costs'!AB73=-9999,'Summary, PPI''s'!AB73="."),".",(('Summary, hourly ad costs'!L73/'Summary, hourly ad costs'!AB73)*100/('Summary, hourly ad costs'!L$11/'Summary, hourly ad costs'!AB$11))/('Summary, PPI''s'!AB73))</f>
        <v>.</v>
      </c>
      <c r="BZ73" s="4" t="str">
        <f>IF(OR('Summary, hourly ad costs'!AC73=-9999,'Summary, PPI''s'!AC73="."),".",(('Summary, hourly ad costs'!M73/'Summary, hourly ad costs'!AC73)*100/('Summary, hourly ad costs'!M$11/'Summary, hourly ad costs'!AC$11))/('Summary, PPI''s'!AC73))</f>
        <v>.</v>
      </c>
      <c r="CA73" s="4" t="str">
        <f>IF(OR('Summary, hourly ad costs'!AD73=-9999,'Summary, PPI''s'!AD73="."),".",(('Summary, hourly ad costs'!N73/'Summary, hourly ad costs'!AD73)*100/('Summary, hourly ad costs'!N$11/'Summary, hourly ad costs'!AD$11))/('Summary, PPI''s'!AD73))</f>
        <v>.</v>
      </c>
      <c r="CB73" s="4" t="str">
        <f>IF(OR('Summary, hourly ad costs'!AE73=-9999,'Summary, PPI''s'!AE73="."),".",(('Summary, hourly ad costs'!O73/'Summary, hourly ad costs'!AE73)*100/('Summary, hourly ad costs'!O$11/'Summary, hourly ad costs'!AE$11))/('Summary, PPI''s'!AE73))</f>
        <v>.</v>
      </c>
      <c r="CC73" s="4" t="str">
        <f>IF(OR('Summary, hourly ad costs'!AF73=-9999,'Summary, PPI''s'!AF73="."),".",(('Summary, hourly ad costs'!P73/'Summary, hourly ad costs'!AF73)*100/('Summary, hourly ad costs'!P$11/'Summary, hourly ad costs'!AF$11))/('Summary, PPI''s'!AF73))</f>
        <v>.</v>
      </c>
      <c r="CE73" s="4">
        <f t="shared" si="134"/>
        <v>6.8665755155707664E-2</v>
      </c>
      <c r="CF73" s="4" t="str">
        <f t="shared" si="135"/>
        <v>.</v>
      </c>
      <c r="CG73" s="4" t="str">
        <f t="shared" si="136"/>
        <v>.</v>
      </c>
      <c r="CH73" s="4">
        <f t="shared" si="145"/>
        <v>0.11620900201491727</v>
      </c>
      <c r="CI73" s="4">
        <f t="shared" si="145"/>
        <v>0.13368569408001935</v>
      </c>
      <c r="CJ73" s="4" t="str">
        <f t="shared" si="147"/>
        <v>.</v>
      </c>
      <c r="CK73" s="4">
        <f t="shared" si="149"/>
        <v>-1.4830468715384204E-3</v>
      </c>
      <c r="CL73" s="4">
        <f t="shared" si="130"/>
        <v>9.3170925324198461E-2</v>
      </c>
      <c r="CM73" s="4">
        <f t="shared" si="130"/>
        <v>5.3768536109392986E-2</v>
      </c>
      <c r="CN73" s="4">
        <f t="shared" si="89"/>
        <v>7.9591069321209018E-2</v>
      </c>
      <c r="CO73" s="4">
        <f t="shared" si="120"/>
        <v>0.69289270291864291</v>
      </c>
      <c r="CP73" s="4">
        <f t="shared" si="120"/>
        <v>-9.07257914924543E-2</v>
      </c>
      <c r="CQ73" s="4" t="str">
        <f t="shared" si="110"/>
        <v>.</v>
      </c>
      <c r="CR73" s="4" t="str">
        <f t="shared" si="111"/>
        <v>.</v>
      </c>
      <c r="CS73" s="4" t="str">
        <f t="shared" si="112"/>
        <v>.</v>
      </c>
      <c r="CU73" s="5">
        <f>IF(CU72=".", ".", IF('Summary, PPI''s'!R73=".",IF(OR('Summary, hourly ad costs'!R73=-9999,'Summary, hourly ad costs'!R73=0), ".", 'Predicted PPIs'!CU72*('Summary, hourly ad costs'!B73/'Summary, hourly ad costs'!R73)/('Summary, hourly ad costs'!B72/'Summary, hourly ad costs'!R72)/(1-CE72)), 'Summary, PPI''s'!R73))</f>
        <v>22.315429010977049</v>
      </c>
      <c r="CV73" s="5" t="str">
        <f>IF(CV72=".", ".", IF('Summary, PPI''s'!S73=".",IF(OR('Summary, hourly ad costs'!S73=-9999,'Summary, hourly ad costs'!S73=0), ".", 'Predicted PPIs'!CV72*('Summary, hourly ad costs'!C73/'Summary, hourly ad costs'!S73)/('Summary, hourly ad costs'!C72/'Summary, hourly ad costs'!S72)/(1-CF72)), 'Summary, PPI''s'!S73))</f>
        <v>.</v>
      </c>
      <c r="CW73" s="5" t="str">
        <f>IF(CW72=".", ".", IF('Summary, PPI''s'!T73=".",IF(OR('Summary, hourly ad costs'!T73=-9999,'Summary, hourly ad costs'!T73=0), ".", 'Predicted PPIs'!CW72*('Summary, hourly ad costs'!D73/'Summary, hourly ad costs'!T73)/('Summary, hourly ad costs'!D72/'Summary, hourly ad costs'!T72)/(1-CG72)), 'Summary, PPI''s'!T73))</f>
        <v>.</v>
      </c>
      <c r="CX73" s="5">
        <f>IF(CX72=".", ".", IF('Summary, PPI''s'!U73=".",IF(OR('Summary, hourly ad costs'!U73=-9999,'Summary, hourly ad costs'!U73=0), ".", 'Predicted PPIs'!CX72*('Summary, hourly ad costs'!E73/'Summary, hourly ad costs'!U73)/('Summary, hourly ad costs'!E72/'Summary, hourly ad costs'!U72)/(1-CH72)), 'Summary, PPI''s'!U73))</f>
        <v>3.3925728747105812</v>
      </c>
      <c r="CY73" s="5">
        <f>IF(CY72=".", ".", IF('Summary, PPI''s'!V73=".",IF(OR('Summary, hourly ad costs'!V73=-9999,'Summary, hourly ad costs'!V73=0), ".", 'Predicted PPIs'!CY72*('Summary, hourly ad costs'!F73/'Summary, hourly ad costs'!V73)/('Summary, hourly ad costs'!F72/'Summary, hourly ad costs'!V72)/(1-CI72)), 'Summary, PPI''s'!V73))</f>
        <v>5.8761865931203943</v>
      </c>
      <c r="CZ73" s="5" t="str">
        <f>IF(CZ72=".", ".", IF('Summary, PPI''s'!W73=".",IF(OR('Summary, hourly ad costs'!W73=-9999,'Summary, hourly ad costs'!W73=0), ".", 'Predicted PPIs'!CZ72*('Summary, hourly ad costs'!G73/'Summary, hourly ad costs'!W73)/('Summary, hourly ad costs'!G72/'Summary, hourly ad costs'!W72)/(1-CJ72)), 'Summary, PPI''s'!W73))</f>
        <v>.</v>
      </c>
      <c r="DA73" s="5">
        <f>IF(DA72=".", ".", IF('Summary, PPI''s'!X73=".",IF(OR('Summary, hourly ad costs'!X73=-9999,'Summary, hourly ad costs'!X73=0), ".", 'Predicted PPIs'!DA72*('Summary, hourly ad costs'!H73/'Summary, hourly ad costs'!X73)/('Summary, hourly ad costs'!H72/'Summary, hourly ad costs'!X72)/(1-CK72)), 'Summary, PPI''s'!X73))</f>
        <v>4.4957624683727486</v>
      </c>
      <c r="DB73" s="5">
        <f>IF(DB72=".", ".", IF('Summary, PPI''s'!Y73=".",IF(OR('Summary, hourly ad costs'!Y73=-9999,'Summary, hourly ad costs'!Y73=0), ".", 'Predicted PPIs'!DB72*('Summary, hourly ad costs'!I73/'Summary, hourly ad costs'!Y73)/('Summary, hourly ad costs'!I72/'Summary, hourly ad costs'!Y72)/(1-CL72)), 'Summary, PPI''s'!Y73))</f>
        <v>9.2943823390041231</v>
      </c>
      <c r="DC73" s="5">
        <f>IF(DC72=".", ".", IF('Summary, PPI''s'!Z73=".",IF(OR('Summary, hourly ad costs'!Z73=-9999,'Summary, hourly ad costs'!Z73=0), ".", 'Predicted PPIs'!DC72*('Summary, hourly ad costs'!J73/'Summary, hourly ad costs'!Z73)/('Summary, hourly ad costs'!J72/'Summary, hourly ad costs'!Z72)/(1-CM72)), 'Summary, PPI''s'!Z73))</f>
        <v>19.902753083773444</v>
      </c>
      <c r="DD73" s="5" t="str">
        <f>IF(DD72=".", ".", IF('Summary, PPI''s'!AA73=".",IF(OR('Summary, hourly ad costs'!AA73=-9999,'Summary, hourly ad costs'!AA73=0), ".", 'Predicted PPIs'!DD72*('Summary, hourly ad costs'!K73/'Summary, hourly ad costs'!AA73)/('Summary, hourly ad costs'!K72/'Summary, hourly ad costs'!AA72)/(1-CN72)), 'Summary, PPI''s'!AA73))</f>
        <v>.</v>
      </c>
      <c r="DE73" s="5" t="str">
        <f>IF(DE72=".", ".", IF('Summary, PPI''s'!AB73=".",IF(OR('Summary, hourly ad costs'!AB73=-9999,'Summary, hourly ad costs'!AB73=0), ".", 'Predicted PPIs'!DE72*('Summary, hourly ad costs'!L73/'Summary, hourly ad costs'!AB73)/('Summary, hourly ad costs'!L72/'Summary, hourly ad costs'!AB72)/(1-CO72)), 'Summary, PPI''s'!AB73))</f>
        <v>.</v>
      </c>
      <c r="DF73" s="5" t="str">
        <f>IF(DF72=".", ".", IF('Summary, PPI''s'!AC73=".",IF(OR('Summary, hourly ad costs'!AC73=-9999,'Summary, hourly ad costs'!AC73=0), ".", 'Predicted PPIs'!DF72*('Summary, hourly ad costs'!M73/'Summary, hourly ad costs'!AC73)/('Summary, hourly ad costs'!M72/'Summary, hourly ad costs'!AC72)/(1-CP72)), 'Summary, PPI''s'!AC73))</f>
        <v>.</v>
      </c>
      <c r="DG73" s="5" t="str">
        <f>IF(DG72=".", ".", IF('Summary, PPI''s'!AD73=".",IF(OR('Summary, hourly ad costs'!AD73=-9999,'Summary, hourly ad costs'!AD73=0), ".", 'Predicted PPIs'!DG72*('Summary, hourly ad costs'!N73/'Summary, hourly ad costs'!AD73)/('Summary, hourly ad costs'!N72/'Summary, hourly ad costs'!AD72)/(1-CQ72)), 'Summary, PPI''s'!AD73))</f>
        <v>.</v>
      </c>
      <c r="DH73" s="5" t="str">
        <f>IF(DH72=".", ".", IF('Summary, PPI''s'!AE73=".",IF(OR('Summary, hourly ad costs'!AE73=-9999,'Summary, hourly ad costs'!AE73=0), ".", 'Predicted PPIs'!DH72*('Summary, hourly ad costs'!O73/'Summary, hourly ad costs'!AE73)/('Summary, hourly ad costs'!O72/'Summary, hourly ad costs'!AE72)/(1-CR72)), 'Summary, PPI''s'!AE73))</f>
        <v>.</v>
      </c>
      <c r="DI73" s="5" t="str">
        <f>IF(DI72=".", ".", IF('Summary, PPI''s'!AF73=".",IF(OR('Summary, hourly ad costs'!AF73=-9999,'Summary, hourly ad costs'!AF73=0), ".", 'Predicted PPIs'!DI72*('Summary, hourly ad costs'!P73/'Summary, hourly ad costs'!AF73)/('Summary, hourly ad costs'!P72/'Summary, hourly ad costs'!AF72)/(1-CS72)), 'Summary, PPI''s'!AF73))</f>
        <v>.</v>
      </c>
      <c r="DK73" s="4">
        <v>4.125</v>
      </c>
      <c r="DM73" s="5">
        <f t="shared" si="138"/>
        <v>-0.19499780135271849</v>
      </c>
      <c r="DN73" s="4">
        <f t="shared" si="139"/>
        <v>-4.0252080602403761E-2</v>
      </c>
      <c r="DO73" s="4">
        <f t="shared" si="123"/>
        <v>-2.2110997622462915E-2</v>
      </c>
      <c r="DP73" s="5">
        <f t="shared" si="140"/>
        <v>-5.5613017656884201E-2</v>
      </c>
      <c r="DQ73" s="5">
        <f t="shared" si="141"/>
        <v>-0.14025943481050618</v>
      </c>
      <c r="DR73" s="4">
        <f t="shared" si="146"/>
        <v>3.4316640832385784E-3</v>
      </c>
      <c r="DS73" s="5">
        <f t="shared" ref="DS73:DS93" si="169">IF(OR(DA73=".", DA74="."), ".",(DA73/$DK73)/(DA74/$DK74)-1)</f>
        <v>4.7750155956992391E-2</v>
      </c>
      <c r="DT73" s="5">
        <f t="shared" ref="DT73:DT93" si="170">IF(OR(DB73=".", DB74="."), ".",(DB73/$DK73)/(DB74/$DK74)-1)</f>
        <v>-8.024571260615132E-2</v>
      </c>
      <c r="DU73" s="4">
        <f>_xlfn.FORECAST.LINEAR($BM73,DU$4:DU$72,$BM$4:$BM$72)</f>
        <v>1.1585756828320137E-2</v>
      </c>
      <c r="DV73" s="4">
        <f t="shared" si="131"/>
        <v>-3.1159139694584958E-3</v>
      </c>
      <c r="DW73" s="4">
        <f t="shared" si="133"/>
        <v>-0.32654663821024255</v>
      </c>
      <c r="DX73" s="4">
        <f t="shared" si="133"/>
        <v>0.42995398969507215</v>
      </c>
      <c r="DY73" s="4">
        <f t="shared" si="108"/>
        <v>-6.4997949890503309E-3</v>
      </c>
      <c r="DZ73" s="4">
        <f t="shared" si="132"/>
        <v>1.1132871449452374E-3</v>
      </c>
      <c r="EA73" s="4">
        <f t="shared" si="109"/>
        <v>-3.4476982945571156E-3</v>
      </c>
      <c r="EC73" s="1">
        <f t="shared" si="154"/>
        <v>22.315429010977049</v>
      </c>
      <c r="ED73" s="1">
        <f t="shared" si="155"/>
        <v>9.7948743597965287</v>
      </c>
      <c r="EE73" s="1">
        <f t="shared" si="156"/>
        <v>5.4684538519175812</v>
      </c>
      <c r="EF73" s="1">
        <f t="shared" si="157"/>
        <v>3.3925728747105812</v>
      </c>
      <c r="EG73" s="1">
        <f t="shared" si="158"/>
        <v>5.8761865931203943</v>
      </c>
      <c r="EH73" s="1">
        <f t="shared" si="159"/>
        <v>4.8648186449124795</v>
      </c>
      <c r="EI73" s="1">
        <f t="shared" si="160"/>
        <v>4.4957624683727486</v>
      </c>
      <c r="EJ73" s="1">
        <f t="shared" si="161"/>
        <v>9.2943823390041231</v>
      </c>
      <c r="EK73" s="1">
        <f t="shared" si="162"/>
        <v>19.902753083773444</v>
      </c>
      <c r="EL73" s="1">
        <f t="shared" si="163"/>
        <v>3.3743991754038527</v>
      </c>
      <c r="EM73" s="1">
        <f t="shared" si="164"/>
        <v>0.86684480169174749</v>
      </c>
      <c r="EN73" s="1">
        <f t="shared" si="165"/>
        <v>2.3531728772982365</v>
      </c>
      <c r="EO73" s="1">
        <f t="shared" si="166"/>
        <v>3.4740012753247869</v>
      </c>
      <c r="EP73" s="1">
        <f t="shared" si="167"/>
        <v>4.990042760530776</v>
      </c>
      <c r="EQ73" s="1">
        <f t="shared" si="168"/>
        <v>3.8633440660150633</v>
      </c>
      <c r="ES73" s="1">
        <f>IF(EF$26=".", 0, 'Summary, PPI''s'!E73)+IF(EG$26=".", 0, 'Summary, PPI''s'!F73)+IF(EH$26=".", 0, 'Summary, PPI''s'!G73)+IF(EI$26=".", 0, 'Summary, PPI''s'!H73)+IF(EJ$26=".", 0, 'Summary, PPI''s'!I73)+IF(EK$26=".", 0, 'Summary, PPI''s'!J73)+IF(EL$26=".", 0, 'Summary, PPI''s'!K73)+IF(EM$26=".", 0, 'Summary, PPI''s'!L73)+IF(EN$26=".", 0, 'Summary, PPI''s'!M73)+IF(EC$26=".", 0, 'Summary, PPI''s'!B73)+IF(ED$26=".", 0, 'Summary, PPI''s'!C73)+IF(EE$26=".", 0, 'Summary, PPI''s'!D73)+IF(EO$26=".", 0, 'Summary, PPI''s'!N73)+IF(EP$26=".", 0, 'Summary, PPI''s'!O73)+IF(EQ$26=".", 0, 'Summary, PPI''s'!P73)</f>
        <v>5970939.1700094808</v>
      </c>
      <c r="ET73" s="1">
        <f>'Summary, hourly ad costs'!E73+'Summary, hourly ad costs'!F73+'Summary, hourly ad costs'!H73+'Summary, hourly ad costs'!I73+'Summary, hourly ad costs'!J73+'Summary, hourly ad costs'!K73+'Summary, hourly ad costs'!L73+'Summary, hourly ad costs'!M73+'Summary, hourly ad costs'!B73</f>
        <v>3572392.1995865712</v>
      </c>
      <c r="EV73" s="13">
        <f>EV72*IF(EF$26=".", 1, (EF73/EF72)^(('Summary, PPI''s'!$E73+'Summary, PPI''s'!$E72)/('Predicted PPIs'!ES73+'Predicted PPIs'!ES72)))*IF(EG$26=".", 1, (EG73/EG72)^(('Summary, PPI''s'!$F73+'Summary, PPI''s'!$F72)/('Predicted PPIs'!ES73+'Predicted PPIs'!ES72)))*IF(EH$26=".", 1, (EH73/EH72)^(('Summary, PPI''s'!$G73+'Summary, PPI''s'!$G72)/('Predicted PPIs'!ES73+'Predicted PPIs'!ES72)))*IF(EI$26=".", 1, (EI73/EI72)^(('Summary, PPI''s'!$H73+'Summary, PPI''s'!$H72)/('Predicted PPIs'!ES73+'Predicted PPIs'!ES72)))*IF(EJ$26=".", 1, (EJ73/EJ72)^(('Summary, PPI''s'!$I73+'Summary, PPI''s'!$I72)/('Predicted PPIs'!ES73+'Predicted PPIs'!ES72)))*IF(EK$26=".", 1, (EK73/EK72)^(('Summary, PPI''s'!$J73+'Summary, PPI''s'!$J72)/('Predicted PPIs'!ES73+'Predicted PPIs'!ES72)))*IF(EL$26=".", 1, (EL73/EL72)^(('Summary, PPI''s'!$K73+'Summary, PPI''s'!$K72)/('Predicted PPIs'!ES73+'Predicted PPIs'!ES72)))*IF(EM$26=".", 1, (EM73/EM72)^(('Summary, PPI''s'!$L73+'Summary, PPI''s'!$L72)/('Predicted PPIs'!ES73+'Predicted PPIs'!ES72)))*IF(EN$26=".", 1, (EN73/EN72)^(('Summary, PPI''s'!$M73+'Summary, PPI''s'!$M72)/('Predicted PPIs'!ES73+'Predicted PPIs'!ES72)))*IF(EC$26=".", 1, (EC73/EC72)^(('Summary, PPI''s'!$B73+'Summary, PPI''s'!$B72)/('Predicted PPIs'!ES73+'Predicted PPIs'!ES72)))*IF(ED$26=".", 1, (ED73/ED72)^(('Summary, PPI''s'!$C73+'Summary, PPI''s'!$C72)/('Predicted PPIs'!ES73+'Predicted PPIs'!ES72)))*IF(EE$26=".", 1, (EE73/EE72)^(('Summary, PPI''s'!$D73+'Summary, PPI''s'!$D72)/('Predicted PPIs'!ES73+'Predicted PPIs'!ES72)))*IF(EO$26=".", 1, (EO73/EO72)^(('Summary, PPI''s'!$N73+'Summary, PPI''s'!$N72)/('Predicted PPIs'!ES73+'Predicted PPIs'!ES72)))*IF(EP$26=".", 1, (EP73/EP72)^(('Summary, PPI''s'!$O73+'Summary, PPI''s'!$O72)/('Predicted PPIs'!ES73+'Predicted PPIs'!ES72)))*IF(EQ$26=".", 1, (EQ73/EQ72)^(('Summary, PPI''s'!$P73+'Summary, PPI''s'!$P72)/('Predicted PPIs'!ES73+'Predicted PPIs'!ES72)))</f>
        <v>6.3659546358918186</v>
      </c>
      <c r="EW73" s="13">
        <f>EW72*IF(EF$26=".", 1, (EF73/EF72)^(('Summary, PPI''s'!$E73+'Summary, PPI''s'!$E72)/('Predicted PPIs'!ET73+'Predicted PPIs'!ET72)))*IF(EG$26=".", 1, (EG73/EG72)^(('Summary, PPI''s'!$F73+'Summary, PPI''s'!$F72)/('Predicted PPIs'!ET73+'Predicted PPIs'!ET72)))*IF(EH$26=".", 1, (EH73/EH72)^(('Summary, PPI''s'!$G73+'Summary, PPI''s'!$G72)/('Predicted PPIs'!ET73+'Predicted PPIs'!ET72)))*IF(EK$26=".", 1, (EK73/EK72)^(('Summary, PPI''s'!$J73+'Summary, PPI''s'!$J72)/('Predicted PPIs'!ET73+'Predicted PPIs'!ET72)))*IF(EL$26=".", 1, (EL73/EL72)^(('Summary, PPI''s'!$K73+'Summary, PPI''s'!$K72)/('Predicted PPIs'!ET73+'Predicted PPIs'!ET72)))*IF(EM$26=".", 1, (EM73/EM72)^(('Summary, PPI''s'!$L73+'Summary, PPI''s'!$L72)/('Predicted PPIs'!ET73+'Predicted PPIs'!ET72)))*IF(EN$26=".", 1, (EN73/EN72)^(('Summary, PPI''s'!$M73+'Summary, PPI''s'!$M72)/('Predicted PPIs'!ET73+'Predicted PPIs'!ET72)))*IF(EC$26=".", 1, (EC73/EC72)^(('Summary, PPI''s'!$B73+'Summary, PPI''s'!$B72)/('Predicted PPIs'!ET73+'Predicted PPIs'!ET72)))</f>
        <v>8.5566434640943321</v>
      </c>
      <c r="EY73" s="2"/>
    </row>
    <row r="74" spans="1:155" x14ac:dyDescent="0.3">
      <c r="A74" s="4">
        <v>1949</v>
      </c>
      <c r="B74" s="10">
        <f>IF(B73=".", ".", IF('Summary, PPI''s'!R74=".",IF(OR('Summary, hourly ad costs'!R74=-9999,'Summary, hourly ad costs'!R74=0), ".", 'Predicted PPIs'!B73*('Summary, hourly ad costs'!B74/'Summary, hourly ad costs'!R74)/('Summary, hourly ad costs'!B73/'Summary, hourly ad costs'!R73)), 'Summary, PPI''s'!R74))</f>
        <v>30.435419562888953</v>
      </c>
      <c r="C74" s="10" t="str">
        <f>IF(C73=".", ".", IF('Summary, PPI''s'!S74=".",IF(OR('Summary, hourly ad costs'!S74=-9999,'Summary, hourly ad costs'!S74=0), ".", 'Predicted PPIs'!C73*('Summary, hourly ad costs'!C74/'Summary, hourly ad costs'!S74)/('Summary, hourly ad costs'!C73/'Summary, hourly ad costs'!S73)), 'Summary, PPI''s'!S74))</f>
        <v>.</v>
      </c>
      <c r="D74" s="10" t="str">
        <f>IF(D73=".", ".", IF('Summary, PPI''s'!T74=".",IF(OR('Summary, hourly ad costs'!T74=-9999,'Summary, hourly ad costs'!T74=0), ".", 'Predicted PPIs'!D73*('Summary, hourly ad costs'!D74/'Summary, hourly ad costs'!T74)/('Summary, hourly ad costs'!D73/'Summary, hourly ad costs'!T73)), 'Summary, PPI''s'!T74))</f>
        <v>.</v>
      </c>
      <c r="E74" s="10">
        <f>IF(E73=".", ".", IF('Summary, PPI''s'!U74=".",IF(OR('Summary, hourly ad costs'!U74=-9999,'Summary, hourly ad costs'!U74=0), ".", 'Predicted PPIs'!E73*('Summary, hourly ad costs'!E74/'Summary, hourly ad costs'!U74)/('Summary, hourly ad costs'!E73/'Summary, hourly ad costs'!U73)), 'Summary, PPI''s'!U74))</f>
        <v>3.0000015743000943</v>
      </c>
      <c r="F74" s="10">
        <f>IF(F73=".", ".", IF('Summary, PPI''s'!V74=".",IF(OR('Summary, hourly ad costs'!V74=-9999,'Summary, hourly ad costs'!V74=0), ".", 'Predicted PPIs'!F73*('Summary, hourly ad costs'!F74/'Summary, hourly ad costs'!V74)/('Summary, hourly ad costs'!F73/'Summary, hourly ad costs'!V73)), 'Summary, PPI''s'!V74))</f>
        <v>5.4419811656880839</v>
      </c>
      <c r="G74" s="10" t="str">
        <f>IF(G73=".", ".", IF('Summary, PPI''s'!W74=".",IF(OR('Summary, hourly ad costs'!W74=-9999,'Summary, hourly ad costs'!W74=0), ".", 'Predicted PPIs'!G73*('Summary, hourly ad costs'!G74/'Summary, hourly ad costs'!W74)/('Summary, hourly ad costs'!G73/'Summary, hourly ad costs'!W73)), 'Summary, PPI''s'!W74))</f>
        <v>.</v>
      </c>
      <c r="H74" s="10">
        <f>IF(H73=".", ".", IF('Summary, PPI''s'!X74=".",IF(OR('Summary, hourly ad costs'!X74=-9999,'Summary, hourly ad costs'!X74=0), ".", 'Predicted PPIs'!H73*('Summary, hourly ad costs'!H74/'Summary, hourly ad costs'!X74)/('Summary, hourly ad costs'!H73/'Summary, hourly ad costs'!X73)), 'Summary, PPI''s'!X74))</f>
        <v>4.0463565741835072</v>
      </c>
      <c r="I74" s="10">
        <f>IF(I73=".", ".", IF('Summary, PPI''s'!Y74=".",IF(OR('Summary, hourly ad costs'!Y74=-9999,'Summary, hourly ad costs'!Y74=0), ".", 'Predicted PPIs'!I73*('Summary, hourly ad costs'!I74/'Summary, hourly ad costs'!Y74)/('Summary, hourly ad costs'!I73/'Summary, hourly ad costs'!Y73)), 'Summary, PPI''s'!Y74))</f>
        <v>7.6451689013015951</v>
      </c>
      <c r="J74" s="10">
        <f>IF(J73=".", ".", IF('Summary, PPI''s'!Z74=".",IF(OR('Summary, hourly ad costs'!Z74=-9999,'Summary, hourly ad costs'!Z74=0), ".", 'Predicted PPIs'!J73*('Summary, hourly ad costs'!J74/'Summary, hourly ad costs'!Z74)/('Summary, hourly ad costs'!J73/'Summary, hourly ad costs'!Z73)), 'Summary, PPI''s'!Z74))</f>
        <v>5.7915640247901363</v>
      </c>
      <c r="K74" s="10" t="str">
        <f>IF(K73=".", ".", IF('Summary, PPI''s'!AA74=".",IF(OR('Summary, hourly ad costs'!AA74=-9999,'Summary, hourly ad costs'!AA74=0), ".", 'Predicted PPIs'!K73*('Summary, hourly ad costs'!K74/'Summary, hourly ad costs'!AA74)/('Summary, hourly ad costs'!K73/'Summary, hourly ad costs'!AA73)), 'Summary, PPI''s'!AA74))</f>
        <v>.</v>
      </c>
      <c r="L74" s="10" t="str">
        <f>IF(L73=".", ".", IF('Summary, PPI''s'!AB74=".",IF(OR('Summary, hourly ad costs'!AB74=-9999,'Summary, hourly ad costs'!AB74=0), ".", 'Predicted PPIs'!L73*('Summary, hourly ad costs'!L74/'Summary, hourly ad costs'!AB74)/('Summary, hourly ad costs'!L73/'Summary, hourly ad costs'!AB73)), 'Summary, PPI''s'!AB74))</f>
        <v>.</v>
      </c>
      <c r="M74" s="10" t="str">
        <f>IF(M73=".", ".", IF('Summary, PPI''s'!AC74=".",IF(OR('Summary, hourly ad costs'!AC74=-9999,'Summary, hourly ad costs'!AC74=0), ".", 'Predicted PPIs'!M73*('Summary, hourly ad costs'!M74/'Summary, hourly ad costs'!AC74)/('Summary, hourly ad costs'!M73/'Summary, hourly ad costs'!AC73)), 'Summary, PPI''s'!AC74))</f>
        <v>.</v>
      </c>
      <c r="N74" s="10" t="str">
        <f>IF(N73=".", ".", IF('Summary, PPI''s'!AD74=".",IF(OR('Summary, hourly ad costs'!AD74=-9999,'Summary, hourly ad costs'!AD74=0), ".", 'Predicted PPIs'!N73*('Summary, hourly ad costs'!N74/'Summary, hourly ad costs'!AD74)/('Summary, hourly ad costs'!N73/'Summary, hourly ad costs'!AD73)), 'Summary, PPI''s'!AD74))</f>
        <v>.</v>
      </c>
      <c r="O74" s="10" t="str">
        <f>IF(O73=".", ".", IF('Summary, PPI''s'!AE74=".",IF(OR('Summary, hourly ad costs'!AE74=-9999,'Summary, hourly ad costs'!AE74=0), ".", 'Predicted PPIs'!O73*('Summary, hourly ad costs'!O74/'Summary, hourly ad costs'!AE74)/('Summary, hourly ad costs'!O73/'Summary, hourly ad costs'!AE73)), 'Summary, PPI''s'!AE74))</f>
        <v>.</v>
      </c>
      <c r="P74" s="10" t="str">
        <f>IF(P73=".", ".", IF('Summary, PPI''s'!AF74=".",IF(OR('Summary, hourly ad costs'!AF74=-9999,'Summary, hourly ad costs'!AF74=0), ".", 'Predicted PPIs'!P73*('Summary, hourly ad costs'!P74/'Summary, hourly ad costs'!AF74)/('Summary, hourly ad costs'!P73/'Summary, hourly ad costs'!AF73)), 'Summary, PPI''s'!AF74))</f>
        <v>.</v>
      </c>
      <c r="R74" s="1">
        <f>IF(E$26=".", 0, 'Summary, PPI''s'!E74)+IF(F$26=".", 0, 'Summary, PPI''s'!F74)+IF(G$26=".", 0, 'Summary, PPI''s'!G74)+IF(H$26=".", 0, 'Summary, PPI''s'!H74)+IF(I$26=".", 0, 'Summary, PPI''s'!I74)+IF(J$26=".", 0, 'Summary, PPI''s'!J74)+IF(K$26=".", 0, 'Summary, PPI''s'!K74)+IF(L$26=".", 0, 'Summary, PPI''s'!L74)+IF(M$26=".", 0, 'Summary, PPI''s'!M74)+IF(B$26=".", 0, 'Summary, PPI''s'!B74)+IF(C$26=".", 0, 'Summary, PPI''s'!C74)+IF(D$26=".", 0, 'Summary, PPI''s'!D74)+IF(N$26=".", 0, 'Summary, PPI''s'!N74)+IF(O$26=".", 0, 'Summary, PPI''s'!O74)+IF(P$26=".", 0, 'Summary, PPI''s'!P74)</f>
        <v>5593308.6056825379</v>
      </c>
      <c r="S74" s="1">
        <f>IF(E$36=".", 0, 'Summary, PPI''s'!E74)+IF(F$36=".", 0, 'Summary, PPI''s'!F74)+IF(G$36=".", 0, 'Summary, PPI''s'!G74)+IF(H$36=".", 0, 'Summary, PPI''s'!H74)+IF(I$36=".", 0, 'Summary, PPI''s'!I74)+IF(J$36=".", 0, 'Summary, PPI''s'!J74)+IF(K$36=".", 0, 'Summary, PPI''s'!K74)+IF(L$36=".", 0, 'Summary, PPI''s'!L74)+IF(M$36=".", 0, 'Summary, PPI''s'!M74)+IF(B$36=".", 0, 'Summary, PPI''s'!B74)+IF(C$36=".", 0, 'Summary, PPI''s'!C74)+IF(D$36=".", 0, 'Summary, PPI''s'!D74)+IF(N$36=".", 0, 'Summary, PPI''s'!N74)+IF(O$36=".", 0, 'Summary, PPI''s'!O74)+IF(P$36=".", 0, 'Summary, PPI''s'!P74)</f>
        <v>5593308.6056825379</v>
      </c>
      <c r="T74" s="1">
        <f>IF(E$46=".", 0, 'Summary, PPI''s'!E74)+IF(F$46=".", 0, 'Summary, PPI''s'!F74)+IF(G$46=".", 0, 'Summary, PPI''s'!G74)+IF(H$46=".", 0, 'Summary, PPI''s'!H74)+IF(I$46=".", 0, 'Summary, PPI''s'!I74)+IF(J$46=".", 0, 'Summary, PPI''s'!J74)+IF(K$46=".", 0, 'Summary, PPI''s'!K74)+IF(L$46=".", 0, 'Summary, PPI''s'!L74)+IF(M$46=".", 0, 'Summary, PPI''s'!M74)+IF(B$46=".", 0, 'Summary, PPI''s'!B74)+IF(C$46=".", 0, 'Summary, PPI''s'!C74)+IF(D$46=".", 0, 'Summary, PPI''s'!D74)+IF(N$46=".", 0, 'Summary, PPI''s'!N74)+IF(O$46=".", 0, 'Summary, PPI''s'!O74)+IF(P$46=".", 0, 'Summary, PPI''s'!P74)</f>
        <v>4248884.9650106793</v>
      </c>
      <c r="U74" s="1">
        <f>IF(E$60=".", 0, 'Summary, PPI''s'!E74)+IF(F$60=".", 0, 'Summary, PPI''s'!F74)+IF(G$60=".", 0, 'Summary, PPI''s'!G74)+IF(H$60=".", 0, 'Summary, PPI''s'!H74)+IF(I$60=".", 0, 'Summary, PPI''s'!I74)+IF(J$60=".", 0, 'Summary, PPI''s'!J74)+IF(K$60=".", 0, 'Summary, PPI''s'!K74)+IF(L$60=".", 0, 'Summary, PPI''s'!L74)+IF(M$60=".", 0, 'Summary, PPI''s'!M74)+IF(B$60=".", 0, 'Summary, PPI''s'!B74)+IF(C$60=".", 0, 'Summary, PPI''s'!C74)+IF(D$60=".", 0, 'Summary, PPI''s'!D74)+IF(N$60=".", 0, 'Summary, PPI''s'!N74)+IF(O$60=".", 0, 'Summary, PPI''s'!O74)+IF(P$60=".", 0, 'Summary, PPI''s'!P74)</f>
        <v>3870449.041733569</v>
      </c>
      <c r="V74" s="1">
        <f>IF(E$73=".", 0, 'Summary, PPI''s'!E74)+IF(F$73=".", 0, 'Summary, PPI''s'!F74)+IF(G$73=".", 0, 'Summary, PPI''s'!G74)+IF(H$73=".", 0, 'Summary, PPI''s'!H74)+IF(I$73=".", 0, 'Summary, PPI''s'!I74)+IF(J$73=".", 0, 'Summary, PPI''s'!J74)+IF(K$73=".", 0, 'Summary, PPI''s'!K74)+IF(L$73=".", 0, 'Summary, PPI''s'!L74)+IF(M$73=".", 0, 'Summary, PPI''s'!M74)+IF(B$73=".", 0, 'Summary, PPI''s'!B74)+IF(C$73=".", 0, 'Summary, PPI''s'!C74)+IF(D$73=".", 0, 'Summary, PPI''s'!D74)+IF(N$73=".", 0, 'Summary, PPI''s'!N74)+IF(O$73=".", 0, 'Summary, PPI''s'!O74)+IF(P$73=".", 0, 'Summary, PPI''s'!P74)</f>
        <v>3312171.697582446</v>
      </c>
      <c r="W74" s="1">
        <f>IF(E$94=".",0,'Summary, PPI''s'!E74)+IF(F$94=".",0,'Summary, PPI''s'!F74)+IF(G$94=".",0,'Summary, PPI''s'!G74)+IF(H$94=".",0,'Summary, PPI''s'!H74)+IF(I$94=".",0,'Summary, PPI''s'!I74)+IF(J$94=".",0,'Summary, PPI''s'!J74)+IF(K$94=".",0,'Summary, PPI''s'!K74)+IF(L$94=".",0,'Summary, PPI''s'!L74)+IF(M$94=".",0,'Summary, PPI''s'!M74)+IF(B$94=".",0,'Summary, PPI''s'!B74)+IF(C$94=".",0,'Summary, PPI''s'!C74)+IF(D$94=".",0,'Summary, PPI''s'!D74)+IF(N$94=".",0,'Summary, PPI''s'!N74)+IF(O$94=".",0,'Summary, PPI''s'!O74)+IF(P$94=".",0,'Summary, PPI''s'!P74)</f>
        <v>3268740.9753778493</v>
      </c>
      <c r="X74" s="1">
        <f>IF(E$123=".", 0, 'Summary, PPI''s'!E74)+IF(F$123=".", 0, 'Summary, PPI''s'!F74)+IF(G$123=".", 0, 'Summary, PPI''s'!G74)+IF(H$123=".", 0, 'Summary, PPI''s'!H74)+IF(I$123=".", 0, 'Summary, PPI''s'!I74)+IF(J$123=".", 0, 'Summary, PPI''s'!J74)+IF(K$123=".", 0, 'Summary, PPI''s'!K74)+IF(L$123=".", 0, 'Summary, PPI''s'!L74)+IF(M$123=".", 0, 'Summary, PPI''s'!M74)+IF(B$123=".", 0, 'Summary, PPI''s'!B74)+IF(C$123=".", 0, 'Summary, PPI''s'!C74)+IF(D$123=".", 0, 'Summary, PPI''s'!D74)+IF(N$123=".", 0, 'Summary, PPI''s'!N74)+IF(O$123=".", 0, 'Summary, PPI''s'!O74)+IF(P$123=".", 0, 'Summary, PPI''s'!P74)</f>
        <v>2814569.0250136089</v>
      </c>
      <c r="Z74" s="4" t="e">
        <f>Z73*IF(E$26=".", 1, (E74/E73)^(('Summary, PPI''s'!$E74+'Summary, PPI''s'!$E73)/('Predicted PPIs'!R74+'Predicted PPIs'!R73)))*IF(F$26=".", 1, (F74/F73)^(('Summary, PPI''s'!$F74+'Summary, PPI''s'!$F73)/('Predicted PPIs'!R74+'Predicted PPIs'!R73)))*IF(G$26=".", 1, (G74/G73)^(('Summary, PPI''s'!$G74+'Summary, PPI''s'!$G73)/('Predicted PPIs'!R74+'Predicted PPIs'!R73)))*IF(H$26=".", 1, (H74/H73)^(('Summary, PPI''s'!$H74+'Summary, PPI''s'!$H73)/('Predicted PPIs'!R74+'Predicted PPIs'!R73)))*IF(I$26=".", 1, (I74/I73)^(('Summary, PPI''s'!$I74+'Summary, PPI''s'!$I73)/('Predicted PPIs'!R74+'Predicted PPIs'!R73)))*IF(J$26=".", 1, (J74/J73)^(('Summary, PPI''s'!$J74+'Summary, PPI''s'!$J73)/('Predicted PPIs'!R74+'Predicted PPIs'!R73)))*IF(K$26=".", 1, (K74/K73)^(('Summary, PPI''s'!$K74+'Summary, PPI''s'!$K73)/('Predicted PPIs'!R74+'Predicted PPIs'!R73)))*IF(L$26=".", 1, (L74/L73)^(('Summary, PPI''s'!$L74+'Summary, PPI''s'!$L73)/('Predicted PPIs'!R74+'Predicted PPIs'!R73)))*IF(M$26=".", 1, (M74/M73)^(('Summary, PPI''s'!$M74+'Summary, PPI''s'!$M73)/('Predicted PPIs'!R74+'Predicted PPIs'!R73)))*IF(B$26=".", 1, (B74/B73)^(('Summary, PPI''s'!$B74+'Summary, PPI''s'!$B73)/('Predicted PPIs'!R74+'Predicted PPIs'!R73)))*IF(C$26=".", 1, (C74/C73)^(('Summary, PPI''s'!$C74+'Summary, PPI''s'!$C73)/('Predicted PPIs'!R74+'Predicted PPIs'!R73)))*IF(D$26=".", 1, (D74/D73)^(('Summary, PPI''s'!$D74+'Summary, PPI''s'!$D73)/('Predicted PPIs'!R74+'Predicted PPIs'!R73)))*IF(N$26=".", 1, (N74/N73)^(('Summary, PPI''s'!$N74+'Summary, PPI''s'!$N73)/('Predicted PPIs'!R74+'Predicted PPIs'!R73)))*IF(O$26=".", 1, (O74/O73)^(('Summary, PPI''s'!$O74+'Summary, PPI''s'!$O73)/('Predicted PPIs'!R74+'Predicted PPIs'!R73)))*IF(P$26=".", 1, (P74/P73)^(('Summary, PPI''s'!$P74+'Summary, PPI''s'!$P73)/('Predicted PPIs'!R74+'Predicted PPIs'!R73)))</f>
        <v>#VALUE!</v>
      </c>
      <c r="AA74" s="4" t="e">
        <f>AA73*IF(E$36=".", 1, (E74/E73)^(('Summary, PPI''s'!$E74+'Summary, PPI''s'!$E73)/('Predicted PPIs'!S74+'Predicted PPIs'!S73)))*IF(F$36=".", 1, (F74/F73)^(('Summary, PPI''s'!$F74+'Summary, PPI''s'!$F73)/('Predicted PPIs'!S74+'Predicted PPIs'!S73)))*IF(G$36=".", 1, (G74/G73)^(('Summary, PPI''s'!$G74+'Summary, PPI''s'!$G73)/('Predicted PPIs'!S74+'Predicted PPIs'!S73)))*IF(H$36=".", 1, (H74/H73)^(('Summary, PPI''s'!$H74+'Summary, PPI''s'!$H73)/('Predicted PPIs'!S74+'Predicted PPIs'!S73)))*IF(I$36=".", 1, (I74/I73)^(('Summary, PPI''s'!$I74+'Summary, PPI''s'!$I73)/('Predicted PPIs'!S74+'Predicted PPIs'!S73)))*IF(J$36=".", 1, (J74/J73)^(('Summary, PPI''s'!$J74+'Summary, PPI''s'!$J73)/('Predicted PPIs'!S74+'Predicted PPIs'!S73)))*IF(K$36=".", 1, (K74/K73)^(('Summary, PPI''s'!$K74+'Summary, PPI''s'!$K73)/('Predicted PPIs'!S74+'Predicted PPIs'!S73)))*IF(L$36=".", 1, (L74/L73)^(('Summary, PPI''s'!$L74+'Summary, PPI''s'!$L73)/('Predicted PPIs'!S74+'Predicted PPIs'!S73)))*IF(M$36=".", 1, (M74/M73)^(('Summary, PPI''s'!$M74+'Summary, PPI''s'!$M73)/('Predicted PPIs'!S74+'Predicted PPIs'!S73)))*IF(B$36=".", 1, (B74/B73)^(('Summary, PPI''s'!$B74+'Summary, PPI''s'!$B73)/('Predicted PPIs'!S74+'Predicted PPIs'!S73)))*IF(C$36=".", 1, (C74/C73)^(('Summary, PPI''s'!$C74+'Summary, PPI''s'!$C73)/('Predicted PPIs'!S74+'Predicted PPIs'!S73)))*IF(D$36=".", 1, (D74/D73)^(('Summary, PPI''s'!$D74+'Summary, PPI''s'!$D73)/('Predicted PPIs'!S74+'Predicted PPIs'!S73)))*IF(N$36=".", 1, (N74/N73)^(('Summary, PPI''s'!$N74+'Summary, PPI''s'!$N73)/('Predicted PPIs'!S74+'Predicted PPIs'!S73)))*IF(O$36=".", 1, (O74/O73)^(('Summary, PPI''s'!$O74+'Summary, PPI''s'!$O73)/('Predicted PPIs'!S74+'Predicted PPIs'!S73)))*IF(P$36=".", 1, (P74/P73)^(('Summary, PPI''s'!$P74+'Summary, PPI''s'!$P73)/('Predicted PPIs'!S74+'Predicted PPIs'!S73)))</f>
        <v>#VALUE!</v>
      </c>
      <c r="AB74" s="4" t="e">
        <f>AB73*IF(E$46=".", 1, (E74/E73)^(('Summary, PPI''s'!$E74+'Summary, PPI''s'!$E73)/('Predicted PPIs'!T74+'Predicted PPIs'!T73)))*IF(F$46=".", 1, (F74/F73)^(('Summary, PPI''s'!$F74+'Summary, PPI''s'!$F73)/('Predicted PPIs'!T74+'Predicted PPIs'!T73)))*IF(G$46=".", 1, (G74/G73)^(('Summary, PPI''s'!$G74+'Summary, PPI''s'!$G73)/('Predicted PPIs'!T74+'Predicted PPIs'!T73)))*IF(H$46=".", 1, (H74/H73)^(('Summary, PPI''s'!$H74+'Summary, PPI''s'!$H73)/('Predicted PPIs'!T74+'Predicted PPIs'!T73)))*IF(I$46=".", 1, (I74/I73)^(('Summary, PPI''s'!$I74+'Summary, PPI''s'!$I73)/('Predicted PPIs'!T74+'Predicted PPIs'!T73)))*IF(J$46=".", 1, (J74/J73)^(('Summary, PPI''s'!$J74+'Summary, PPI''s'!$J73)/('Predicted PPIs'!T74+'Predicted PPIs'!T73)))*IF(K$46=".", 1, (K74/K73)^(('Summary, PPI''s'!$K74+'Summary, PPI''s'!$K73)/('Predicted PPIs'!T74+'Predicted PPIs'!T73)))*IF(L$46=".", 1, (L74/L73)^(('Summary, PPI''s'!$L74+'Summary, PPI''s'!$L73)/('Predicted PPIs'!T74+'Predicted PPIs'!T73)))*IF(M$46=".", 1, (M74/M73)^(('Summary, PPI''s'!$M74+'Summary, PPI''s'!$M73)/('Predicted PPIs'!T74+'Predicted PPIs'!T73)))*IF(B$46=".", 1, (B74/B73)^(('Summary, PPI''s'!$B74+'Summary, PPI''s'!$B73)/('Predicted PPIs'!T74+'Predicted PPIs'!T73)))*IF(C$46=".", 1, (C74/C73)^(('Summary, PPI''s'!$C74+'Summary, PPI''s'!$C73)/('Predicted PPIs'!T74+'Predicted PPIs'!T73)))*IF(D$46=".", 1, (D74/D73)^(('Summary, PPI''s'!$D74+'Summary, PPI''s'!$D73)/('Predicted PPIs'!T74+'Predicted PPIs'!T73)))*IF(N$46=".", 1, (N74/N73)^(('Summary, PPI''s'!$N74+'Summary, PPI''s'!$N73)/('Predicted PPIs'!T74+'Predicted PPIs'!T73)))*IF(O$46=".", 1, (O74/O73)^(('Summary, PPI''s'!$O74+'Summary, PPI''s'!$O73)/('Predicted PPIs'!T74+'Predicted PPIs'!T73)))*IF(P$46=".", 1, (P74/P73)^(('Summary, PPI''s'!$P74+'Summary, PPI''s'!$P73)/('Predicted PPIs'!T74+'Predicted PPIs'!T73)))</f>
        <v>#VALUE!</v>
      </c>
      <c r="AC74" s="4" t="e">
        <f>AC73*IF(E$60=".",1,(E74/E73)^(('Summary, PPI''s'!$E74+'Summary, PPI''s'!$E73)/('Predicted PPIs'!U74+'Predicted PPIs'!U73)))*IF(F$60=".",1,(F74/F73)^(('Summary, PPI''s'!$F74+'Summary, PPI''s'!$F73)/('Predicted PPIs'!U74+'Predicted PPIs'!U73)))*IF(G$60=".",1,(G74/G73)^(('Summary, PPI''s'!$G74+'Summary, PPI''s'!$G73)/('Predicted PPIs'!U74+'Predicted PPIs'!U73)))*IF(H$60=".",1,(H74/H73)^(('Summary, PPI''s'!$H74+'Summary, PPI''s'!$H73)/('Predicted PPIs'!U74+'Predicted PPIs'!U73)))*IF(I$60=".",1,(I74/I73)^(('Summary, PPI''s'!$I74+'Summary, PPI''s'!$I73)/('Predicted PPIs'!U74+'Predicted PPIs'!U73)))*IF(J$60=".",1,(J74/J73)^(('Summary, PPI''s'!$J74+'Summary, PPI''s'!$J73)/('Predicted PPIs'!U74+'Predicted PPIs'!U73)))*IF(K$60=".",1,(K74/K73)^(('Summary, PPI''s'!$K74+'Summary, PPI''s'!$K73)/('Predicted PPIs'!U74+'Predicted PPIs'!U73)))*IF(L$60=".",1,(L74/L73)^(('Summary, PPI''s'!$L74+'Summary, PPI''s'!$L73)/('Predicted PPIs'!U74+'Predicted PPIs'!U73)))*IF(M$60=".",1,(M74/M73)^(('Summary, PPI''s'!$M74+'Summary, PPI''s'!$M73)/('Predicted PPIs'!U74+'Predicted PPIs'!U73)))*IF(B$60=".",1,(B74/B73)^(('Summary, PPI''s'!$B74+'Summary, PPI''s'!$B73)/('Predicted PPIs'!U74+'Predicted PPIs'!U73)))*IF(C$60=".",1,(C74/C73)^(('Summary, PPI''s'!$C74+'Summary, PPI''s'!$C73)/('Predicted PPIs'!U74+'Predicted PPIs'!U73)))*IF(D$60=".",1,(D74/D73)^(('Summary, PPI''s'!$D74+'Summary, PPI''s'!$D73)/('Predicted PPIs'!U74+'Predicted PPIs'!U73)))*IF(N$60=".",1,(N74/N73)^(('Summary, PPI''s'!$N74+'Summary, PPI''s'!$N73)/('Predicted PPIs'!U74+'Predicted PPIs'!U73)))*IF(O$60=".",1,(O74/O73)^(('Summary, PPI''s'!$O74+'Summary, PPI''s'!$O73)/('Predicted PPIs'!U74+'Predicted PPIs'!U73)))*IF(P$60=".",1,(P74/P73)^(('Summary, PPI''s'!$P74+'Summary, PPI''s'!$P73)/('Predicted PPIs'!U74+'Predicted PPIs'!U73)))</f>
        <v>#VALUE!</v>
      </c>
      <c r="AD74" s="4">
        <f>AD73*IF(E$73=".", 1, (E74/E73)^(('Summary, PPI''s'!$E74+'Summary, PPI''s'!$E73)/('Predicted PPIs'!V74+'Predicted PPIs'!V73)))*IF(F$73=".", 1, (F74/F73)^(('Summary, PPI''s'!$F74+'Summary, PPI''s'!$F73)/('Predicted PPIs'!V74+'Predicted PPIs'!V73)))*IF(G$73=".", 1, (G74/G73)^(('Summary, PPI''s'!$G74+'Summary, PPI''s'!$G73)/('Predicted PPIs'!V74+'Predicted PPIs'!V73)))*IF(H$73=".", 1, (H74/H73)^(('Summary, PPI''s'!$H74+'Summary, PPI''s'!$H73)/('Predicted PPIs'!V74+'Predicted PPIs'!V73)))*IF(I$73=".", 1, (I74/I73)^(('Summary, PPI''s'!$I74+'Summary, PPI''s'!$I73)/('Predicted PPIs'!V74+'Predicted PPIs'!V73)))*IF(J$73=".", 1, (J74/J73)^(('Summary, PPI''s'!$J74+'Summary, PPI''s'!$J73)/('Predicted PPIs'!V74+'Predicted PPIs'!V73)))*IF(K$73=".", 1, (K74/K73)^(('Summary, PPI''s'!$K74+'Summary, PPI''s'!$K73)/('Predicted PPIs'!V74+'Predicted PPIs'!V73)))*IF(L$73=".", 1, (L74/L73)^(('Summary, PPI''s'!$L74+'Summary, PPI''s'!$L73)/('Predicted PPIs'!V74+'Predicted PPIs'!V73)))*IF(M$73=".", 1, (M74/M73)^(('Summary, PPI''s'!$M74+'Summary, PPI''s'!$M73)/('Predicted PPIs'!V74+'Predicted PPIs'!V73)))*IF(B$73=".", 1, (B74/B73)^(('Summary, PPI''s'!$B74+'Summary, PPI''s'!$B73)/('Predicted PPIs'!V74+'Predicted PPIs'!V73)))*IF(C$73=".", 1, (C74/C73)^(('Summary, PPI''s'!$C74+'Summary, PPI''s'!$C73)/('Predicted PPIs'!V74+'Predicted PPIs'!V73)))*IF(D$73=".", 1, (D74/D73)^(('Summary, PPI''s'!$D74+'Summary, PPI''s'!$D73)/('Predicted PPIs'!V74+'Predicted PPIs'!V73)))*IF(N$73=".", 1, (N74/N73)^(('Summary, PPI''s'!$N74+'Summary, PPI''s'!$N73)/('Predicted PPIs'!V74+'Predicted PPIs'!V73)))*IF(O$73=".", 1, (O74/O73)^(('Summary, PPI''s'!$O74+'Summary, PPI''s'!$O73)/('Predicted PPIs'!V74+'Predicted PPIs'!V73)))*IF(P$73=".", 1, (P74/P73)^(('Summary, PPI''s'!$P74+'Summary, PPI''s'!$P73)/('Predicted PPIs'!V74+'Predicted PPIs'!V73)))</f>
        <v>6.0406861075586633</v>
      </c>
      <c r="AE74" s="4">
        <f>AE73*IF(E$94=".", 1, (E74/E73)^(('Summary, PPI''s'!$E74+'Summary, PPI''s'!$E73)/('Predicted PPIs'!W74+'Predicted PPIs'!W73)))*IF(F$94=".", 1, (F74/F73)^(('Summary, PPI''s'!$F74+'Summary, PPI''s'!$F73)/('Predicted PPIs'!W74+'Predicted PPIs'!W73)))*IF(G$94=".", 1, (G74/G73)^(('Summary, PPI''s'!$G74+'Summary, PPI''s'!$G73)/('Predicted PPIs'!W74+'Predicted PPIs'!W73)))*IF(H$94=".", 1, (H74/H73)^(('Summary, PPI''s'!$H74+'Summary, PPI''s'!$H73)/('Predicted PPIs'!W74+'Predicted PPIs'!W73)))*IF(I$94=".", 1, (I74/I73)^(('Summary, PPI''s'!$I74+'Summary, PPI''s'!$I73)/('Predicted PPIs'!W74+'Predicted PPIs'!W73)))*IF(J$94=".", 1, (J74/J73)^(('Summary, PPI''s'!$J74+'Summary, PPI''s'!$J73)/('Predicted PPIs'!W74+'Predicted PPIs'!W73)))*IF(K$94=".", 1, (K74/K73)^(('Summary, PPI''s'!$K74+'Summary, PPI''s'!$K73)/('Predicted PPIs'!W74+'Predicted PPIs'!W73)))*IF(L$94=".", 1, (L74/L73)^(('Summary, PPI''s'!$L74+'Summary, PPI''s'!$L73)/('Predicted PPIs'!W74+'Predicted PPIs'!W73)))*IF(M$94=".", 1, (M74/M73)^(('Summary, PPI''s'!$M74+'Summary, PPI''s'!$M73)/('Predicted PPIs'!W74+'Predicted PPIs'!W73)))*IF(B$94=".", 1, (B74/B73)^(('Summary, PPI''s'!$B74+'Summary, PPI''s'!$B73)/('Predicted PPIs'!W74+'Predicted PPIs'!W73)))*IF(C$94=".", 1, (C74/C73)^(('Summary, PPI''s'!$C74+'Summary, PPI''s'!$C73)/('Predicted PPIs'!W74+'Predicted PPIs'!W73)))*IF(D$94=".", 1, (D74/D73)^(('Summary, PPI''s'!$D74+'Summary, PPI''s'!$D73)/('Predicted PPIs'!W74+'Predicted PPIs'!W73)))*IF(N$94=".", 1, (N74/N73)^(('Summary, PPI''s'!$N74+'Summary, PPI''s'!$N73)/('Predicted PPIs'!W74+'Predicted PPIs'!W73)))*IF(O$94=".", 1, (O74/O73)^(('Summary, PPI''s'!$O74+'Summary, PPI''s'!$O73)/('Predicted PPIs'!W74+'Predicted PPIs'!W73)))*IF(P$94=".", 1, (P74/P73)^(('Summary, PPI''s'!$P74+'Summary, PPI''s'!$P73)/('Predicted PPIs'!W74+'Predicted PPIs'!W73)))</f>
        <v>5.2088636142870843</v>
      </c>
      <c r="AF74" s="4">
        <f>AF73*IF(E$123=".", 1, (E74/E73)^(('Summary, PPI''s'!$E74+'Summary, PPI''s'!$E73)/('Predicted PPIs'!X74+'Predicted PPIs'!X73)))*IF(F$123=".", 1, (F74/F73)^(('Summary, PPI''s'!$F74+'Summary, PPI''s'!$F73)/('Predicted PPIs'!X74+'Predicted PPIs'!X73)))*IF(G$123=".", 1, (G74/G73)^(('Summary, PPI''s'!$G74+'Summary, PPI''s'!$G73)/('Predicted PPIs'!X74+'Predicted PPIs'!X73)))*IF(H$123=".", 1, (H74/H73)^(('Summary, PPI''s'!$H74+'Summary, PPI''s'!$H73)/('Predicted PPIs'!X74+'Predicted PPIs'!X73)))*IF(I$123=".", 1, (I74/I73)^(('Summary, PPI''s'!$I74+'Summary, PPI''s'!$I73)/('Predicted PPIs'!X74+'Predicted PPIs'!X73)))*IF(J$123=".", 1, (J74/J73)^(('Summary, PPI''s'!$J74+'Summary, PPI''s'!$J73)/('Predicted PPIs'!X74+'Predicted PPIs'!X73)))*IF(K$123=".", 1, (K74/K73)^(('Summary, PPI''s'!$K74+'Summary, PPI''s'!$K73)/('Predicted PPIs'!X74+'Predicted PPIs'!X73)))*IF(L$123=".", 1, (L74/L73)^(('Summary, PPI''s'!$L74+'Summary, PPI''s'!$L73)/('Predicted PPIs'!X74+'Predicted PPIs'!X73)))*IF(M$123=".", 1, (M74/M73)^(('Summary, PPI''s'!$M74+'Summary, PPI''s'!$M73)/('Predicted PPIs'!X74+'Predicted PPIs'!X73)))*IF(B$123=".", 1, (B74/B73)^(('Summary, PPI''s'!$B74+'Summary, PPI''s'!$B73)/('Predicted PPIs'!X74+'Predicted PPIs'!X73)))*IF(C$123=".", 1, (C74/C73)^(('Summary, PPI''s'!$C74+'Summary, PPI''s'!$C73)/('Predicted PPIs'!X74+'Predicted PPIs'!X73)))*IF(D$123=".", 1, (D74/D73)^(('Summary, PPI''s'!$D74+'Summary, PPI''s'!$D73)/('Predicted PPIs'!X74+'Predicted PPIs'!X73)))*IF(N$123=".", 1, (N74/N73)^(('Summary, PPI''s'!$N74+'Summary, PPI''s'!$N73)/('Predicted PPIs'!X74+'Predicted PPIs'!X73)))*IF(O$123=".", 1, (O74/O73)^(('Summary, PPI''s'!$O74+'Summary, PPI''s'!$O73)/('Predicted PPIs'!X74+'Predicted PPIs'!X73)))*IF(P$123=".", 1, (P74/P73)^(('Summary, PPI''s'!$P74+'Summary, PPI''s'!$P73)/('Predicted PPIs'!X74+'Predicted PPIs'!X73)))</f>
        <v>4.7068305624735309</v>
      </c>
      <c r="AH74" s="13">
        <f t="shared" si="152"/>
        <v>7.1232857654699115</v>
      </c>
      <c r="AJ74" s="4">
        <v>178.3</v>
      </c>
      <c r="AK74" s="4">
        <v>-2.23</v>
      </c>
      <c r="AL74" s="4">
        <v>-10.968</v>
      </c>
      <c r="AM74" s="4">
        <v>-1.4079999999999999</v>
      </c>
      <c r="AN74" s="4">
        <v>227.7</v>
      </c>
      <c r="AO74" s="4">
        <v>42</v>
      </c>
      <c r="AP74" s="4">
        <f>('[4]1949'!$I$14+'[4]1949'!$I$51+'[4]1949'!$I$53-'[4]1949'!$I$55)*0.001</f>
        <v>-4.0140000000000002</v>
      </c>
      <c r="AQ74" s="4">
        <f>('[4]1949'!$AK$42+'[4]1949'!$AK$51+'[4]1949'!$AK$53-'[4]1949'!$AK$55)*0.001</f>
        <v>-7.3369999999999997</v>
      </c>
      <c r="AR74" s="4">
        <f t="shared" si="148"/>
        <v>-2.0933588951863873E-3</v>
      </c>
      <c r="AS74" s="4">
        <v>-1.069</v>
      </c>
      <c r="AT74" s="4">
        <v>13.096</v>
      </c>
      <c r="AU74" s="4">
        <v>23.459</v>
      </c>
      <c r="AV74" s="4">
        <v>10.653</v>
      </c>
      <c r="AW74" s="4">
        <v>9.44</v>
      </c>
      <c r="AX74" s="4">
        <v>12.670999999999999</v>
      </c>
      <c r="AY74" s="4">
        <v>17.983000000000001</v>
      </c>
      <c r="AZ74" s="4">
        <v>6.6159999999999997</v>
      </c>
      <c r="BA74" s="4">
        <v>15.093</v>
      </c>
      <c r="BB74" s="4">
        <f t="shared" si="150"/>
        <v>86.328239559567521</v>
      </c>
      <c r="BC74" s="4">
        <v>12.664</v>
      </c>
      <c r="BG74" s="4">
        <f t="shared" si="50"/>
        <v>13.388610376419463</v>
      </c>
      <c r="BI74" s="4">
        <f>BI$13*'[2]Ordinary Experience'!$D$352/'[2]Ordinary Experience'!$D$413</f>
        <v>148860853.23127213</v>
      </c>
      <c r="BJ74" s="4">
        <f>'[2]Ordinary Experience'!$E$352</f>
        <v>26.703676176290738</v>
      </c>
      <c r="BL74" s="4">
        <f t="shared" si="151"/>
        <v>30.960540549064632</v>
      </c>
      <c r="BM74" s="4">
        <f t="shared" si="153"/>
        <v>1.8869382844891813E-2</v>
      </c>
      <c r="BO74" s="4" t="str">
        <f>IF(OR('Summary, hourly ad costs'!R74=-9999,'Summary, PPI''s'!R74="."),".",(('Summary, hourly ad costs'!B74/'Summary, hourly ad costs'!R74)*100/('Summary, hourly ad costs'!B$11/'Summary, hourly ad costs'!R$11))/('Summary, PPI''s'!R74))</f>
        <v>.</v>
      </c>
      <c r="BP74" s="4" t="str">
        <f>IF(OR('Summary, hourly ad costs'!S74=-9999,'Summary, PPI''s'!S74="."),".",(('Summary, hourly ad costs'!C74/'Summary, hourly ad costs'!S74)*100/('Summary, hourly ad costs'!C$11/'Summary, hourly ad costs'!S$11))/('Summary, PPI''s'!S74))</f>
        <v>.</v>
      </c>
      <c r="BQ74" s="4" t="str">
        <f>IF(OR('Summary, hourly ad costs'!T74=-9999,'Summary, PPI''s'!T74="."),".",(('Summary, hourly ad costs'!D74/'Summary, hourly ad costs'!T74)*100/('Summary, hourly ad costs'!D$11/'Summary, hourly ad costs'!T$11))/('Summary, PPI''s'!T74))</f>
        <v>.</v>
      </c>
      <c r="BR74" s="4" t="str">
        <f>IF(OR('Summary, hourly ad costs'!U74=-9999,'Summary, PPI''s'!U74="."),".",(('Summary, hourly ad costs'!E74/'Summary, hourly ad costs'!U74)*100/('Summary, hourly ad costs'!E$11/'Summary, hourly ad costs'!U$11))/('Summary, PPI''s'!U74))</f>
        <v>.</v>
      </c>
      <c r="BS74" s="4" t="str">
        <f>IF(OR('Summary, hourly ad costs'!V74=-9999,'Summary, PPI''s'!V74="."),".",(('Summary, hourly ad costs'!F74/'Summary, hourly ad costs'!V74)*100/('Summary, hourly ad costs'!F$11/'Summary, hourly ad costs'!V$11))/('Summary, PPI''s'!V74))</f>
        <v>.</v>
      </c>
      <c r="BT74" s="4" t="str">
        <f>IF(OR('Summary, hourly ad costs'!W74=-9999,'Summary, PPI''s'!W74="."),".",(('Summary, hourly ad costs'!G74/'Summary, hourly ad costs'!W74)*100/('Summary, hourly ad costs'!G$11/'Summary, hourly ad costs'!W$11))/('Summary, PPI''s'!W74))</f>
        <v>.</v>
      </c>
      <c r="BU74" s="4" t="str">
        <f>IF(OR('Summary, hourly ad costs'!X74=-9999,'Summary, PPI''s'!X74="."),".",(('Summary, hourly ad costs'!H74/'Summary, hourly ad costs'!X74)*100/('Summary, hourly ad costs'!H$11/'Summary, hourly ad costs'!X$11))/('Summary, PPI''s'!X74))</f>
        <v>.</v>
      </c>
      <c r="BV74" s="4" t="str">
        <f>IF(OR('Summary, hourly ad costs'!Y74=-9999,'Summary, PPI''s'!Y74="."),".",(('Summary, hourly ad costs'!I74/'Summary, hourly ad costs'!Y74)*100/('Summary, hourly ad costs'!I$11/'Summary, hourly ad costs'!Y$11))/('Summary, PPI''s'!Y74))</f>
        <v>.</v>
      </c>
      <c r="BW74" s="4" t="str">
        <f>IF(OR('Summary, hourly ad costs'!Z74=-9999,'Summary, PPI''s'!Z74="."),".",(('Summary, hourly ad costs'!J74/'Summary, hourly ad costs'!Z74)*100/('Summary, hourly ad costs'!J$11/'Summary, hourly ad costs'!Z$11))/('Summary, PPI''s'!Z74))</f>
        <v>.</v>
      </c>
      <c r="BX74" s="4" t="str">
        <f>IF(OR('Summary, hourly ad costs'!AA74=-9999,'Summary, PPI''s'!AA74="."),".",(('Summary, hourly ad costs'!K74/'Summary, hourly ad costs'!AA74)*100/('Summary, hourly ad costs'!K$11/'Summary, hourly ad costs'!AA$11))/('Summary, PPI''s'!AA74))</f>
        <v>.</v>
      </c>
      <c r="BY74" s="4" t="str">
        <f>IF(OR('Summary, hourly ad costs'!AB74=-9999,'Summary, PPI''s'!AB74="."),".",(('Summary, hourly ad costs'!L74/'Summary, hourly ad costs'!AB74)*100/('Summary, hourly ad costs'!L$11/'Summary, hourly ad costs'!AB$11))/('Summary, PPI''s'!AB74))</f>
        <v>.</v>
      </c>
      <c r="BZ74" s="4" t="str">
        <f>IF(OR('Summary, hourly ad costs'!AC74=-9999,'Summary, PPI''s'!AC74="."),".",(('Summary, hourly ad costs'!M74/'Summary, hourly ad costs'!AC74)*100/('Summary, hourly ad costs'!M$11/'Summary, hourly ad costs'!AC$11))/('Summary, PPI''s'!AC74))</f>
        <v>.</v>
      </c>
      <c r="CA74" s="4" t="str">
        <f>IF(OR('Summary, hourly ad costs'!AD74=-9999,'Summary, PPI''s'!AD74="."),".",(('Summary, hourly ad costs'!N74/'Summary, hourly ad costs'!AD74)*100/('Summary, hourly ad costs'!N$11/'Summary, hourly ad costs'!AD$11))/('Summary, PPI''s'!AD74))</f>
        <v>.</v>
      </c>
      <c r="CB74" s="4" t="str">
        <f>IF(OR('Summary, hourly ad costs'!AE74=-9999,'Summary, PPI''s'!AE74="."),".",(('Summary, hourly ad costs'!O74/'Summary, hourly ad costs'!AE74)*100/('Summary, hourly ad costs'!O$11/'Summary, hourly ad costs'!AE$11))/('Summary, PPI''s'!AE74))</f>
        <v>.</v>
      </c>
      <c r="CC74" s="4" t="str">
        <f>IF(OR('Summary, hourly ad costs'!AF74=-9999,'Summary, PPI''s'!AF74="."),".",(('Summary, hourly ad costs'!P74/'Summary, hourly ad costs'!AF74)*100/('Summary, hourly ad costs'!P$11/'Summary, hourly ad costs'!AF$11))/('Summary, PPI''s'!AF74))</f>
        <v>.</v>
      </c>
      <c r="CE74" s="4">
        <f t="shared" si="134"/>
        <v>-1.4063804177563304E-2</v>
      </c>
      <c r="CF74" s="4" t="str">
        <f t="shared" si="135"/>
        <v>.</v>
      </c>
      <c r="CG74" s="4" t="str">
        <f t="shared" si="136"/>
        <v>.</v>
      </c>
      <c r="CH74" s="4">
        <f t="shared" si="145"/>
        <v>3.1635437664240887E-3</v>
      </c>
      <c r="CI74" s="4">
        <f t="shared" si="145"/>
        <v>5.2970151639736389E-3</v>
      </c>
      <c r="CJ74" s="4" t="str">
        <f t="shared" si="147"/>
        <v>.</v>
      </c>
      <c r="CK74" s="4">
        <f t="shared" si="149"/>
        <v>3.4697322896472408E-3</v>
      </c>
      <c r="CL74" s="4">
        <f t="shared" si="130"/>
        <v>3.423117479179668E-3</v>
      </c>
      <c r="CM74" s="4">
        <f t="shared" si="130"/>
        <v>1.7732916921389934E-2</v>
      </c>
      <c r="CN74" s="4">
        <f t="shared" si="89"/>
        <v>-1.094150826315167E-2</v>
      </c>
      <c r="CO74" s="4">
        <f t="shared" si="120"/>
        <v>0.118123076706574</v>
      </c>
      <c r="CP74" s="4">
        <f t="shared" si="120"/>
        <v>0.14092469473968525</v>
      </c>
      <c r="CQ74" s="4" t="str">
        <f t="shared" si="110"/>
        <v>.</v>
      </c>
      <c r="CR74" s="4" t="str">
        <f t="shared" si="111"/>
        <v>.</v>
      </c>
      <c r="CS74" s="4" t="str">
        <f t="shared" si="112"/>
        <v>.</v>
      </c>
      <c r="CU74" s="5">
        <f>IF(CU73=".", ".", IF('Summary, PPI''s'!R74=".",IF(OR('Summary, hourly ad costs'!R74=-9999,'Summary, hourly ad costs'!R74=0), ".", 'Predicted PPIs'!CU73*('Summary, hourly ad costs'!B74/'Summary, hourly ad costs'!R74)/('Summary, hourly ad costs'!B73/'Summary, hourly ad costs'!R73)/(1-CE73)), 'Summary, PPI''s'!R74))</f>
        <v>26.941407283890221</v>
      </c>
      <c r="CV74" s="5" t="str">
        <f>IF(CV73=".", ".", IF('Summary, PPI''s'!S74=".",IF(OR('Summary, hourly ad costs'!S74=-9999,'Summary, hourly ad costs'!S74=0), ".", 'Predicted PPIs'!CV73*('Summary, hourly ad costs'!C74/'Summary, hourly ad costs'!S74)/('Summary, hourly ad costs'!C73/'Summary, hourly ad costs'!S73)/(1-CF73)), 'Summary, PPI''s'!S74))</f>
        <v>.</v>
      </c>
      <c r="CW74" s="5" t="str">
        <f>IF(CW73=".", ".", IF('Summary, PPI''s'!T74=".",IF(OR('Summary, hourly ad costs'!T74=-9999,'Summary, hourly ad costs'!T74=0), ".", 'Predicted PPIs'!CW73*('Summary, hourly ad costs'!D74/'Summary, hourly ad costs'!T74)/('Summary, hourly ad costs'!D73/'Summary, hourly ad costs'!T73)/(1-CG73)), 'Summary, PPI''s'!T74))</f>
        <v>.</v>
      </c>
      <c r="CX74" s="5">
        <f>IF(CX73=".", ".", IF('Summary, PPI''s'!U74=".",IF(OR('Summary, hourly ad costs'!U74=-9999,'Summary, hourly ad costs'!U74=0), ".", 'Predicted PPIs'!CX73*('Summary, hourly ad costs'!E74/'Summary, hourly ad costs'!U74)/('Summary, hourly ad costs'!E73/'Summary, hourly ad costs'!U73)/(1-CH73)), 'Summary, PPI''s'!U74))</f>
        <v>3.4913331874647162</v>
      </c>
      <c r="CY74" s="5">
        <f>IF(CY73=".", ".", IF('Summary, PPI''s'!V74=".",IF(OR('Summary, hourly ad costs'!V74=-9999,'Summary, hourly ad costs'!V74=0), ".", 'Predicted PPIs'!CY73*('Summary, hourly ad costs'!F74/'Summary, hourly ad costs'!V74)/('Summary, hourly ad costs'!F73/'Summary, hourly ad costs'!V73)/(1-CI73)), 'Summary, PPI''s'!V74))</f>
        <v>6.6426330624665777</v>
      </c>
      <c r="CZ74" s="5" t="str">
        <f>IF(CZ73=".", ".", IF('Summary, PPI''s'!W74=".",IF(OR('Summary, hourly ad costs'!W74=-9999,'Summary, hourly ad costs'!W74=0), ".", 'Predicted PPIs'!CZ73*('Summary, hourly ad costs'!G74/'Summary, hourly ad costs'!W74)/('Summary, hourly ad costs'!G73/'Summary, hourly ad costs'!W73)/(1-CJ73)), 'Summary, PPI''s'!W74))</f>
        <v>.</v>
      </c>
      <c r="DA74" s="5">
        <f>IF(DA73=".", ".", IF('Summary, PPI''s'!X74=".",IF(OR('Summary, hourly ad costs'!X74=-9999,'Summary, hourly ad costs'!X74=0), ".", 'Predicted PPIs'!DA73*('Summary, hourly ad costs'!H74/'Summary, hourly ad costs'!X74)/('Summary, hourly ad costs'!H73/'Summary, hourly ad costs'!X73)/(1-CK73)), 'Summary, PPI''s'!X74))</f>
        <v>4.170208091605768</v>
      </c>
      <c r="DB74" s="5">
        <f>IF(DB73=".", ".", IF('Summary, PPI''s'!Y74=".",IF(OR('Summary, hourly ad costs'!Y74=-9999,'Summary, hourly ad costs'!Y74=0), ".", 'Predicted PPIs'!DB73*('Summary, hourly ad costs'!I74/'Summary, hourly ad costs'!Y74)/('Summary, hourly ad costs'!I73/'Summary, hourly ad costs'!Y73)/(1-CL73)), 'Summary, PPI''s'!Y74))</f>
        <v>9.8211154495497421</v>
      </c>
      <c r="DC74" s="5" t="s">
        <v>5</v>
      </c>
      <c r="DD74" s="5" t="str">
        <f>IF(DD73=".", ".", IF('Summary, PPI''s'!AA74=".",IF(OR('Summary, hourly ad costs'!AA74=-9999,'Summary, hourly ad costs'!AA74=0), ".", 'Predicted PPIs'!DD73*('Summary, hourly ad costs'!K74/'Summary, hourly ad costs'!AA74)/('Summary, hourly ad costs'!K73/'Summary, hourly ad costs'!AA73)/(1-CN73)), 'Summary, PPI''s'!AA74))</f>
        <v>.</v>
      </c>
      <c r="DE74" s="5" t="str">
        <f>IF(DE73=".", ".", IF('Summary, PPI''s'!AB74=".",IF(OR('Summary, hourly ad costs'!AB74=-9999,'Summary, hourly ad costs'!AB74=0), ".", 'Predicted PPIs'!DE73*('Summary, hourly ad costs'!L74/'Summary, hourly ad costs'!AB74)/('Summary, hourly ad costs'!L73/'Summary, hourly ad costs'!AB73)/(1-CO73)), 'Summary, PPI''s'!AB74))</f>
        <v>.</v>
      </c>
      <c r="DF74" s="5" t="str">
        <f>IF(DF73=".", ".", IF('Summary, PPI''s'!AC74=".",IF(OR('Summary, hourly ad costs'!AC74=-9999,'Summary, hourly ad costs'!AC74=0), ".", 'Predicted PPIs'!DF73*('Summary, hourly ad costs'!M74/'Summary, hourly ad costs'!AC74)/('Summary, hourly ad costs'!M73/'Summary, hourly ad costs'!AC73)/(1-CP73)), 'Summary, PPI''s'!AC74))</f>
        <v>.</v>
      </c>
      <c r="DG74" s="5" t="str">
        <f>IF(DG73=".", ".", IF('Summary, PPI''s'!AD74=".",IF(OR('Summary, hourly ad costs'!AD74=-9999,'Summary, hourly ad costs'!AD74=0), ".", 'Predicted PPIs'!DG73*('Summary, hourly ad costs'!N74/'Summary, hourly ad costs'!AD74)/('Summary, hourly ad costs'!N73/'Summary, hourly ad costs'!AD73)/(1-CQ73)), 'Summary, PPI''s'!AD74))</f>
        <v>.</v>
      </c>
      <c r="DH74" s="5" t="str">
        <f>IF(DH73=".", ".", IF('Summary, PPI''s'!AE74=".",IF(OR('Summary, hourly ad costs'!AE74=-9999,'Summary, hourly ad costs'!AE74=0), ".", 'Predicted PPIs'!DH73*('Summary, hourly ad costs'!O74/'Summary, hourly ad costs'!AE74)/('Summary, hourly ad costs'!O73/'Summary, hourly ad costs'!AE73)/(1-CR73)), 'Summary, PPI''s'!AE74))</f>
        <v>.</v>
      </c>
      <c r="DI74" s="5" t="str">
        <f>IF(DI73=".", ".", IF('Summary, PPI''s'!AF74=".",IF(OR('Summary, hourly ad costs'!AF74=-9999,'Summary, hourly ad costs'!AF74=0), ".", 'Predicted PPIs'!DI73*('Summary, hourly ad costs'!P74/'Summary, hourly ad costs'!AF74)/('Summary, hourly ad costs'!P73/'Summary, hourly ad costs'!AF73)/(1-CS73)), 'Summary, PPI''s'!AF74))</f>
        <v>.</v>
      </c>
      <c r="DK74" s="4">
        <v>4.0090000000000003</v>
      </c>
      <c r="DM74" s="5">
        <f t="shared" si="138"/>
        <v>-8.8785474320447588E-2</v>
      </c>
      <c r="DN74" s="4">
        <f t="shared" si="139"/>
        <v>-2.3301347404481636E-2</v>
      </c>
      <c r="DO74" s="4">
        <f t="shared" si="123"/>
        <v>-2.2714228956193547E-2</v>
      </c>
      <c r="DP74" s="5">
        <f t="shared" si="140"/>
        <v>4.7459583353472556E-2</v>
      </c>
      <c r="DQ74" s="5">
        <f t="shared" si="141"/>
        <v>-8.6766799910423686E-2</v>
      </c>
      <c r="DR74" s="4">
        <f t="shared" si="146"/>
        <v>-8.6766818585743751E-3</v>
      </c>
      <c r="DS74" s="5">
        <f t="shared" si="169"/>
        <v>0.26394231027231996</v>
      </c>
      <c r="DT74" s="5">
        <f t="shared" si="170"/>
        <v>-9.9328233571010727E-2</v>
      </c>
      <c r="DU74" s="4">
        <f t="shared" ref="DU74:DU122" si="171">_xlfn.FORECAST.LINEAR($BM74,DU$4:DU$72,$BM$4:$BM$72)</f>
        <v>-2.3611021307201198E-2</v>
      </c>
      <c r="DV74" s="4">
        <f t="shared" si="131"/>
        <v>1.4800889936919482E-4</v>
      </c>
      <c r="DW74" s="4">
        <f t="shared" si="133"/>
        <v>-7.2757922002142289E-2</v>
      </c>
      <c r="DX74" s="4">
        <f t="shared" si="133"/>
        <v>-4.0894532057941455E-2</v>
      </c>
      <c r="DY74" s="4">
        <f t="shared" si="108"/>
        <v>-1.7749904628434416E-2</v>
      </c>
      <c r="DZ74" s="4">
        <f t="shared" si="132"/>
        <v>-1.1154762625153702E-2</v>
      </c>
      <c r="EA74" s="4">
        <f t="shared" si="109"/>
        <v>-1.0476571224365114E-2</v>
      </c>
      <c r="EC74" s="1">
        <f t="shared" si="154"/>
        <v>26.941407283890221</v>
      </c>
      <c r="ED74" s="1">
        <f t="shared" si="155"/>
        <v>9.1510805868433582</v>
      </c>
      <c r="EE74" s="1">
        <f t="shared" si="156"/>
        <v>5.1997036657811497</v>
      </c>
      <c r="EF74" s="1">
        <f t="shared" si="157"/>
        <v>3.4913331874647162</v>
      </c>
      <c r="EG74" s="1">
        <f t="shared" si="158"/>
        <v>6.6426330624665777</v>
      </c>
      <c r="EH74" s="1">
        <f t="shared" si="159"/>
        <v>4.7442948741877107</v>
      </c>
      <c r="EI74" s="1">
        <f t="shared" si="160"/>
        <v>4.170208091605768</v>
      </c>
      <c r="EJ74" s="1">
        <f t="shared" si="161"/>
        <v>9.8211154495497421</v>
      </c>
      <c r="EK74" s="1">
        <f t="shared" si="162"/>
        <v>19.569794421860436</v>
      </c>
      <c r="EL74" s="1">
        <f t="shared" si="163"/>
        <v>3.2693200603639587</v>
      </c>
      <c r="EM74" s="1">
        <f t="shared" si="164"/>
        <v>0.63508364567102571</v>
      </c>
      <c r="EN74" s="1">
        <f t="shared" si="165"/>
        <v>4.0119547585895621</v>
      </c>
      <c r="EO74" s="1">
        <f t="shared" si="166"/>
        <v>3.3545045566439962</v>
      </c>
      <c r="EP74" s="1">
        <f t="shared" si="167"/>
        <v>4.8551218543155237</v>
      </c>
      <c r="EQ74" s="1">
        <f t="shared" si="168"/>
        <v>3.7418015452313629</v>
      </c>
      <c r="ES74" s="1">
        <f>IF(EF$26=".", 0, 'Summary, PPI''s'!E74)+IF(EG$26=".", 0, 'Summary, PPI''s'!F74)+IF(EH$26=".", 0, 'Summary, PPI''s'!G74)+IF(EI$26=".", 0, 'Summary, PPI''s'!H74)+IF(EJ$26=".", 0, 'Summary, PPI''s'!I74)+IF(EK$26=".", 0, 'Summary, PPI''s'!J74)+IF(EL$26=".", 0, 'Summary, PPI''s'!K74)+IF(EM$26=".", 0, 'Summary, PPI''s'!L74)+IF(EN$26=".", 0, 'Summary, PPI''s'!M74)+IF(EC$26=".", 0, 'Summary, PPI''s'!B74)+IF(ED$26=".", 0, 'Summary, PPI''s'!C74)+IF(EE$26=".", 0, 'Summary, PPI''s'!D74)+IF(EO$26=".", 0, 'Summary, PPI''s'!N74)+IF(EP$26=".", 0, 'Summary, PPI''s'!O74)+IF(EQ$26=".", 0, 'Summary, PPI''s'!P74)</f>
        <v>5593308.6056825379</v>
      </c>
      <c r="ET74" s="1">
        <f>'Summary, hourly ad costs'!E74+'Summary, hourly ad costs'!F74+'Summary, hourly ad costs'!H74+'Summary, hourly ad costs'!I74+'Summary, hourly ad costs'!J74+'Summary, hourly ad costs'!K74+'Summary, hourly ad costs'!L74+'Summary, hourly ad costs'!M74+'Summary, hourly ad costs'!B74</f>
        <v>3312171.697582446</v>
      </c>
      <c r="EV74" s="13">
        <f>EV73*IF(EF$26=".", 1, (EF74/EF73)^(('Summary, PPI''s'!$E74+'Summary, PPI''s'!$E73)/('Predicted PPIs'!ES74+'Predicted PPIs'!ES73)))*IF(EG$26=".", 1, (EG74/EG73)^(('Summary, PPI''s'!$F74+'Summary, PPI''s'!$F73)/('Predicted PPIs'!ES74+'Predicted PPIs'!ES73)))*IF(EH$26=".", 1, (EH74/EH73)^(('Summary, PPI''s'!$G74+'Summary, PPI''s'!$G73)/('Predicted PPIs'!ES74+'Predicted PPIs'!ES73)))*IF(EI$26=".", 1, (EI74/EI73)^(('Summary, PPI''s'!$H74+'Summary, PPI''s'!$H73)/('Predicted PPIs'!ES74+'Predicted PPIs'!ES73)))*IF(EJ$26=".", 1, (EJ74/EJ73)^(('Summary, PPI''s'!$I74+'Summary, PPI''s'!$I73)/('Predicted PPIs'!ES74+'Predicted PPIs'!ES73)))*IF(EK$26=".", 1, (EK74/EK73)^(('Summary, PPI''s'!$J74+'Summary, PPI''s'!$J73)/('Predicted PPIs'!ES74+'Predicted PPIs'!ES73)))*IF(EL$26=".", 1, (EL74/EL73)^(('Summary, PPI''s'!$K74+'Summary, PPI''s'!$K73)/('Predicted PPIs'!ES74+'Predicted PPIs'!ES73)))*IF(EM$26=".", 1, (EM74/EM73)^(('Summary, PPI''s'!$L74+'Summary, PPI''s'!$L73)/('Predicted PPIs'!ES74+'Predicted PPIs'!ES73)))*IF(EN$26=".", 1, (EN74/EN73)^(('Summary, PPI''s'!$M74+'Summary, PPI''s'!$M73)/('Predicted PPIs'!ES74+'Predicted PPIs'!ES73)))*IF(EC$26=".", 1, (EC74/EC73)^(('Summary, PPI''s'!$B74+'Summary, PPI''s'!$B73)/('Predicted PPIs'!ES74+'Predicted PPIs'!ES73)))*IF(ED$26=".", 1, (ED74/ED73)^(('Summary, PPI''s'!$C74+'Summary, PPI''s'!$C73)/('Predicted PPIs'!ES74+'Predicted PPIs'!ES73)))*IF(EE$26=".", 1, (EE74/EE73)^(('Summary, PPI''s'!$D74+'Summary, PPI''s'!$D73)/('Predicted PPIs'!ES74+'Predicted PPIs'!ES73)))*IF(EO$26=".", 1, (EO74/EO73)^(('Summary, PPI''s'!$N74+'Summary, PPI''s'!$N73)/('Predicted PPIs'!ES74+'Predicted PPIs'!ES73)))*IF(EP$26=".", 1, (EP74/EP73)^(('Summary, PPI''s'!$O74+'Summary, PPI''s'!$O73)/('Predicted PPIs'!ES74+'Predicted PPIs'!ES73)))*IF(EQ$26=".", 1, (EQ74/EQ73)^(('Summary, PPI''s'!$P74+'Summary, PPI''s'!$P73)/('Predicted PPIs'!ES74+'Predicted PPIs'!ES73)))</f>
        <v>6.5508137141559741</v>
      </c>
      <c r="EW74" s="13">
        <f>EW73*IF(EF$26=".", 1, (EF74/EF73)^(('Summary, PPI''s'!$E74+'Summary, PPI''s'!$E73)/('Predicted PPIs'!ET74+'Predicted PPIs'!ET73)))*IF(EG$26=".", 1, (EG74/EG73)^(('Summary, PPI''s'!$F74+'Summary, PPI''s'!$F73)/('Predicted PPIs'!ET74+'Predicted PPIs'!ET73)))*IF(EH$26=".", 1, (EH74/EH73)^(('Summary, PPI''s'!$G74+'Summary, PPI''s'!$G73)/('Predicted PPIs'!ET74+'Predicted PPIs'!ET73)))*IF(EK$26=".", 1, (EK74/EK73)^(('Summary, PPI''s'!$J74+'Summary, PPI''s'!$J73)/('Predicted PPIs'!ET74+'Predicted PPIs'!ET73)))*IF(EL$26=".", 1, (EL74/EL73)^(('Summary, PPI''s'!$K74+'Summary, PPI''s'!$K73)/('Predicted PPIs'!ET74+'Predicted PPIs'!ET73)))*IF(EM$26=".", 1, (EM74/EM73)^(('Summary, PPI''s'!$L74+'Summary, PPI''s'!$L73)/('Predicted PPIs'!ET74+'Predicted PPIs'!ET73)))*IF(EN$26=".", 1, (EN74/EN73)^(('Summary, PPI''s'!$M74+'Summary, PPI''s'!$M73)/('Predicted PPIs'!ET74+'Predicted PPIs'!ET73)))*IF(EC$26=".", 1, (EC74/EC73)^(('Summary, PPI''s'!$B74+'Summary, PPI''s'!$B73)/('Predicted PPIs'!ET74+'Predicted PPIs'!ET73)))</f>
        <v>9.1575877804031673</v>
      </c>
      <c r="EY74" s="2"/>
    </row>
    <row r="75" spans="1:155" x14ac:dyDescent="0.3">
      <c r="A75" s="4">
        <v>1948</v>
      </c>
      <c r="B75" s="10">
        <f>IF(B74=".", ".", IF('Summary, PPI''s'!R75=".",IF(OR('Summary, hourly ad costs'!R75=-9999,'Summary, hourly ad costs'!R75=0), ".", 'Predicted PPIs'!B74*('Summary, hourly ad costs'!B75/'Summary, hourly ad costs'!R75)/('Summary, hourly ad costs'!B74/'Summary, hourly ad costs'!R74)), 'Summary, PPI''s'!R75))</f>
        <v>32.755458651451441</v>
      </c>
      <c r="C75" s="10" t="str">
        <f>IF(C74=".", ".", IF('Summary, PPI''s'!S75=".",IF(OR('Summary, hourly ad costs'!S75=-9999,'Summary, hourly ad costs'!S75=0), ".", 'Predicted PPIs'!C74*('Summary, hourly ad costs'!C75/'Summary, hourly ad costs'!S75)/('Summary, hourly ad costs'!C74/'Summary, hourly ad costs'!S74)), 'Summary, PPI''s'!S75))</f>
        <v>.</v>
      </c>
      <c r="D75" s="10" t="str">
        <f>IF(D74=".", ".", IF('Summary, PPI''s'!T75=".",IF(OR('Summary, hourly ad costs'!T75=-9999,'Summary, hourly ad costs'!T75=0), ".", 'Predicted PPIs'!D74*('Summary, hourly ad costs'!D75/'Summary, hourly ad costs'!T75)/('Summary, hourly ad costs'!D74/'Summary, hourly ad costs'!T74)), 'Summary, PPI''s'!T75))</f>
        <v>.</v>
      </c>
      <c r="E75" s="10">
        <f>IF(E74=".", ".", IF('Summary, PPI''s'!U75=".",IF(OR('Summary, hourly ad costs'!U75=-9999,'Summary, hourly ad costs'!U75=0), ".", 'Predicted PPIs'!E74*('Summary, hourly ad costs'!E75/'Summary, hourly ad costs'!U75)/('Summary, hourly ad costs'!E74/'Summary, hourly ad costs'!U74)), 'Summary, PPI''s'!U75))</f>
        <v>2.7610092742321437</v>
      </c>
      <c r="F75" s="10">
        <f>IF(F74=".", ".", IF('Summary, PPI''s'!V75=".",IF(OR('Summary, hourly ad costs'!V75=-9999,'Summary, hourly ad costs'!V75=0), ".", 'Predicted PPIs'!F74*('Summary, hourly ad costs'!F75/'Summary, hourly ad costs'!V75)/('Summary, hourly ad costs'!F74/'Summary, hourly ad costs'!V74)), 'Summary, PPI''s'!V75))</f>
        <v>5.7322946875673635</v>
      </c>
      <c r="G75" s="10" t="str">
        <f>IF(G74=".", ".", IF('Summary, PPI''s'!W75=".",IF(OR('Summary, hourly ad costs'!W75=-9999,'Summary, hourly ad costs'!W75=0), ".", 'Predicted PPIs'!G74*('Summary, hourly ad costs'!G75/'Summary, hourly ad costs'!W75)/('Summary, hourly ad costs'!G74/'Summary, hourly ad costs'!W74)), 'Summary, PPI''s'!W75))</f>
        <v>.</v>
      </c>
      <c r="H75" s="10">
        <f>IF(H74=".", ".", IF('Summary, PPI''s'!X75=".",IF(OR('Summary, hourly ad costs'!X75=-9999,'Summary, hourly ad costs'!X75=0), ".", 'Predicted PPIs'!H74*('Summary, hourly ad costs'!H75/'Summary, hourly ad costs'!X75)/('Summary, hourly ad costs'!H74/'Summary, hourly ad costs'!X74)), 'Summary, PPI''s'!X75))</f>
        <v>3.0852271036517562</v>
      </c>
      <c r="I75" s="10">
        <f>IF(I74=".", ".", IF('Summary, PPI''s'!Y75=".",IF(OR('Summary, hourly ad costs'!Y75=-9999,'Summary, hourly ad costs'!Y75=0), ".", 'Predicted PPIs'!I74*('Summary, hourly ad costs'!I75/'Summary, hourly ad costs'!Y75)/('Summary, hourly ad costs'!I74/'Summary, hourly ad costs'!Y74)), 'Summary, PPI''s'!Y75))</f>
        <v>8.1807117218755216</v>
      </c>
      <c r="J75" s="10">
        <f>IF(J74=".", ".", IF('Summary, PPI''s'!Z75=".",IF(OR('Summary, hourly ad costs'!Z75=-9999,'Summary, hourly ad costs'!Z75=0), ".", 'Predicted PPIs'!J74*('Summary, hourly ad costs'!J75/'Summary, hourly ad costs'!Z75)/('Summary, hourly ad costs'!J74/'Summary, hourly ad costs'!Z74)), 'Summary, PPI''s'!Z75))</f>
        <v>0.7689581061298536</v>
      </c>
      <c r="K75" s="10" t="str">
        <f>IF(K74=".", ".", IF('Summary, PPI''s'!AA75=".",IF(OR('Summary, hourly ad costs'!AA75=-9999,'Summary, hourly ad costs'!AA75=0), ".", 'Predicted PPIs'!K74*('Summary, hourly ad costs'!K75/'Summary, hourly ad costs'!AA75)/('Summary, hourly ad costs'!K74/'Summary, hourly ad costs'!AA74)), 'Summary, PPI''s'!AA75))</f>
        <v>.</v>
      </c>
      <c r="L75" s="10" t="str">
        <f>IF(L74=".", ".", IF('Summary, PPI''s'!AB75=".",IF(OR('Summary, hourly ad costs'!AB75=-9999,'Summary, hourly ad costs'!AB75=0), ".", 'Predicted PPIs'!L74*('Summary, hourly ad costs'!L75/'Summary, hourly ad costs'!AB75)/('Summary, hourly ad costs'!L74/'Summary, hourly ad costs'!AB74)), 'Summary, PPI''s'!AB75))</f>
        <v>.</v>
      </c>
      <c r="M75" s="10" t="str">
        <f>IF(M74=".", ".", IF('Summary, PPI''s'!AC75=".",IF(OR('Summary, hourly ad costs'!AC75=-9999,'Summary, hourly ad costs'!AC75=0), ".", 'Predicted PPIs'!M74*('Summary, hourly ad costs'!M75/'Summary, hourly ad costs'!AC75)/('Summary, hourly ad costs'!M74/'Summary, hourly ad costs'!AC74)), 'Summary, PPI''s'!AC75))</f>
        <v>.</v>
      </c>
      <c r="N75" s="10" t="str">
        <f>IF(N74=".", ".", IF('Summary, PPI''s'!AD75=".",IF(OR('Summary, hourly ad costs'!AD75=-9999,'Summary, hourly ad costs'!AD75=0), ".", 'Predicted PPIs'!N74*('Summary, hourly ad costs'!N75/'Summary, hourly ad costs'!AD75)/('Summary, hourly ad costs'!N74/'Summary, hourly ad costs'!AD74)), 'Summary, PPI''s'!AD75))</f>
        <v>.</v>
      </c>
      <c r="O75" s="10" t="str">
        <f>IF(O74=".", ".", IF('Summary, PPI''s'!AE75=".",IF(OR('Summary, hourly ad costs'!AE75=-9999,'Summary, hourly ad costs'!AE75=0), ".", 'Predicted PPIs'!O74*('Summary, hourly ad costs'!O75/'Summary, hourly ad costs'!AE75)/('Summary, hourly ad costs'!O74/'Summary, hourly ad costs'!AE74)), 'Summary, PPI''s'!AE75))</f>
        <v>.</v>
      </c>
      <c r="P75" s="10" t="str">
        <f>IF(P74=".", ".", IF('Summary, PPI''s'!AF75=".",IF(OR('Summary, hourly ad costs'!AF75=-9999,'Summary, hourly ad costs'!AF75=0), ".", 'Predicted PPIs'!P74*('Summary, hourly ad costs'!P75/'Summary, hourly ad costs'!AF75)/('Summary, hourly ad costs'!P74/'Summary, hourly ad costs'!AF74)), 'Summary, PPI''s'!AF75))</f>
        <v>.</v>
      </c>
      <c r="R75" s="1">
        <f>IF(E$26=".", 0, 'Summary, PPI''s'!E75)+IF(F$26=".", 0, 'Summary, PPI''s'!F75)+IF(G$26=".", 0, 'Summary, PPI''s'!G75)+IF(H$26=".", 0, 'Summary, PPI''s'!H75)+IF(I$26=".", 0, 'Summary, PPI''s'!I75)+IF(J$26=".", 0, 'Summary, PPI''s'!J75)+IF(K$26=".", 0, 'Summary, PPI''s'!K75)+IF(L$26=".", 0, 'Summary, PPI''s'!L75)+IF(M$26=".", 0, 'Summary, PPI''s'!M75)+IF(B$26=".", 0, 'Summary, PPI''s'!B75)+IF(C$26=".", 0, 'Summary, PPI''s'!C75)+IF(D$26=".", 0, 'Summary, PPI''s'!D75)+IF(N$26=".", 0, 'Summary, PPI''s'!N75)+IF(O$26=".", 0, 'Summary, PPI''s'!O75)+IF(P$26=".", 0, 'Summary, PPI''s'!P75)</f>
        <v>5352757.1055373931</v>
      </c>
      <c r="S75" s="1">
        <f>IF(E$36=".", 0, 'Summary, PPI''s'!E75)+IF(F$36=".", 0, 'Summary, PPI''s'!F75)+IF(G$36=".", 0, 'Summary, PPI''s'!G75)+IF(H$36=".", 0, 'Summary, PPI''s'!H75)+IF(I$36=".", 0, 'Summary, PPI''s'!I75)+IF(J$36=".", 0, 'Summary, PPI''s'!J75)+IF(K$36=".", 0, 'Summary, PPI''s'!K75)+IF(L$36=".", 0, 'Summary, PPI''s'!L75)+IF(M$36=".", 0, 'Summary, PPI''s'!M75)+IF(B$36=".", 0, 'Summary, PPI''s'!B75)+IF(C$36=".", 0, 'Summary, PPI''s'!C75)+IF(D$36=".", 0, 'Summary, PPI''s'!D75)+IF(N$36=".", 0, 'Summary, PPI''s'!N75)+IF(O$36=".", 0, 'Summary, PPI''s'!O75)+IF(P$36=".", 0, 'Summary, PPI''s'!P75)</f>
        <v>5352757.1055373931</v>
      </c>
      <c r="T75" s="1">
        <f>IF(E$46=".", 0, 'Summary, PPI''s'!E75)+IF(F$46=".", 0, 'Summary, PPI''s'!F75)+IF(G$46=".", 0, 'Summary, PPI''s'!G75)+IF(H$46=".", 0, 'Summary, PPI''s'!H75)+IF(I$46=".", 0, 'Summary, PPI''s'!I75)+IF(J$46=".", 0, 'Summary, PPI''s'!J75)+IF(K$46=".", 0, 'Summary, PPI''s'!K75)+IF(L$46=".", 0, 'Summary, PPI''s'!L75)+IF(M$46=".", 0, 'Summary, PPI''s'!M75)+IF(B$46=".", 0, 'Summary, PPI''s'!B75)+IF(C$46=".", 0, 'Summary, PPI''s'!C75)+IF(D$46=".", 0, 'Summary, PPI''s'!D75)+IF(N$46=".", 0, 'Summary, PPI''s'!N75)+IF(O$46=".", 0, 'Summary, PPI''s'!O75)+IF(P$46=".", 0, 'Summary, PPI''s'!P75)</f>
        <v>4040579.0894732513</v>
      </c>
      <c r="U75" s="1">
        <f>IF(E$60=".", 0, 'Summary, PPI''s'!E75)+IF(F$60=".", 0, 'Summary, PPI''s'!F75)+IF(G$60=".", 0, 'Summary, PPI''s'!G75)+IF(H$60=".", 0, 'Summary, PPI''s'!H75)+IF(I$60=".", 0, 'Summary, PPI''s'!I75)+IF(J$60=".", 0, 'Summary, PPI''s'!J75)+IF(K$60=".", 0, 'Summary, PPI''s'!K75)+IF(L$60=".", 0, 'Summary, PPI''s'!L75)+IF(M$60=".", 0, 'Summary, PPI''s'!M75)+IF(B$60=".", 0, 'Summary, PPI''s'!B75)+IF(C$60=".", 0, 'Summary, PPI''s'!C75)+IF(D$60=".", 0, 'Summary, PPI''s'!D75)+IF(N$60=".", 0, 'Summary, PPI''s'!N75)+IF(O$60=".", 0, 'Summary, PPI''s'!O75)+IF(P$60=".", 0, 'Summary, PPI''s'!P75)</f>
        <v>3680270.7265187772</v>
      </c>
      <c r="V75" s="1">
        <f>IF(E$73=".", 0, 'Summary, PPI''s'!E75)+IF(F$73=".", 0, 'Summary, PPI''s'!F75)+IF(G$73=".", 0, 'Summary, PPI''s'!G75)+IF(H$73=".", 0, 'Summary, PPI''s'!H75)+IF(I$73=".", 0, 'Summary, PPI''s'!I75)+IF(J$73=".", 0, 'Summary, PPI''s'!J75)+IF(K$73=".", 0, 'Summary, PPI''s'!K75)+IF(L$73=".", 0, 'Summary, PPI''s'!L75)+IF(M$73=".", 0, 'Summary, PPI''s'!M75)+IF(B$73=".", 0, 'Summary, PPI''s'!B75)+IF(C$73=".", 0, 'Summary, PPI''s'!C75)+IF(D$73=".", 0, 'Summary, PPI''s'!D75)+IF(N$73=".", 0, 'Summary, PPI''s'!N75)+IF(O$73=".", 0, 'Summary, PPI''s'!O75)+IF(P$73=".", 0, 'Summary, PPI''s'!P75)</f>
        <v>3154358.5127682397</v>
      </c>
      <c r="W75" s="1">
        <f>IF(E$94=".",0,'Summary, PPI''s'!E75)+IF(F$94=".",0,'Summary, PPI''s'!F75)+IF(G$94=".",0,'Summary, PPI''s'!G75)+IF(H$94=".",0,'Summary, PPI''s'!H75)+IF(I$94=".",0,'Summary, PPI''s'!I75)+IF(J$94=".",0,'Summary, PPI''s'!J75)+IF(K$94=".",0,'Summary, PPI''s'!K75)+IF(L$94=".",0,'Summary, PPI''s'!L75)+IF(M$94=".",0,'Summary, PPI''s'!M75)+IF(B$94=".",0,'Summary, PPI''s'!B75)+IF(C$94=".",0,'Summary, PPI''s'!C75)+IF(D$94=".",0,'Summary, PPI''s'!D75)+IF(N$94=".",0,'Summary, PPI''s'!N75)+IF(O$94=".",0,'Summary, PPI''s'!O75)+IF(P$94=".",0,'Summary, PPI''s'!P75)</f>
        <v>3150670.9986187927</v>
      </c>
      <c r="X75" s="1">
        <f>IF(E$123=".", 0, 'Summary, PPI''s'!E75)+IF(F$123=".", 0, 'Summary, PPI''s'!F75)+IF(G$123=".", 0, 'Summary, PPI''s'!G75)+IF(H$123=".", 0, 'Summary, PPI''s'!H75)+IF(I$123=".", 0, 'Summary, PPI''s'!I75)+IF(J$123=".", 0, 'Summary, PPI''s'!J75)+IF(K$123=".", 0, 'Summary, PPI''s'!K75)+IF(L$123=".", 0, 'Summary, PPI''s'!L75)+IF(M$123=".", 0, 'Summary, PPI''s'!M75)+IF(B$123=".", 0, 'Summary, PPI''s'!B75)+IF(C$123=".", 0, 'Summary, PPI''s'!C75)+IF(D$123=".", 0, 'Summary, PPI''s'!D75)+IF(N$123=".", 0, 'Summary, PPI''s'!N75)+IF(O$123=".", 0, 'Summary, PPI''s'!O75)+IF(P$123=".", 0, 'Summary, PPI''s'!P75)</f>
        <v>2701537.504948833</v>
      </c>
      <c r="Z75" s="4" t="e">
        <f>Z74*IF(E$26=".", 1, (E75/E74)^(('Summary, PPI''s'!$E75+'Summary, PPI''s'!$E74)/('Predicted PPIs'!R75+'Predicted PPIs'!R74)))*IF(F$26=".", 1, (F75/F74)^(('Summary, PPI''s'!$F75+'Summary, PPI''s'!$F74)/('Predicted PPIs'!R75+'Predicted PPIs'!R74)))*IF(G$26=".", 1, (G75/G74)^(('Summary, PPI''s'!$G75+'Summary, PPI''s'!$G74)/('Predicted PPIs'!R75+'Predicted PPIs'!R74)))*IF(H$26=".", 1, (H75/H74)^(('Summary, PPI''s'!$H75+'Summary, PPI''s'!$H74)/('Predicted PPIs'!R75+'Predicted PPIs'!R74)))*IF(I$26=".", 1, (I75/I74)^(('Summary, PPI''s'!$I75+'Summary, PPI''s'!$I74)/('Predicted PPIs'!R75+'Predicted PPIs'!R74)))*IF(J$26=".", 1, (J75/J74)^(('Summary, PPI''s'!$J75+'Summary, PPI''s'!$J74)/('Predicted PPIs'!R75+'Predicted PPIs'!R74)))*IF(K$26=".", 1, (K75/K74)^(('Summary, PPI''s'!$K75+'Summary, PPI''s'!$K74)/('Predicted PPIs'!R75+'Predicted PPIs'!R74)))*IF(L$26=".", 1, (L75/L74)^(('Summary, PPI''s'!$L75+'Summary, PPI''s'!$L74)/('Predicted PPIs'!R75+'Predicted PPIs'!R74)))*IF(M$26=".", 1, (M75/M74)^(('Summary, PPI''s'!$M75+'Summary, PPI''s'!$M74)/('Predicted PPIs'!R75+'Predicted PPIs'!R74)))*IF(B$26=".", 1, (B75/B74)^(('Summary, PPI''s'!$B75+'Summary, PPI''s'!$B74)/('Predicted PPIs'!R75+'Predicted PPIs'!R74)))*IF(C$26=".", 1, (C75/C74)^(('Summary, PPI''s'!$C75+'Summary, PPI''s'!$C74)/('Predicted PPIs'!R75+'Predicted PPIs'!R74)))*IF(D$26=".", 1, (D75/D74)^(('Summary, PPI''s'!$D75+'Summary, PPI''s'!$D74)/('Predicted PPIs'!R75+'Predicted PPIs'!R74)))*IF(N$26=".", 1, (N75/N74)^(('Summary, PPI''s'!$N75+'Summary, PPI''s'!$N74)/('Predicted PPIs'!R75+'Predicted PPIs'!R74)))*IF(O$26=".", 1, (O75/O74)^(('Summary, PPI''s'!$O75+'Summary, PPI''s'!$O74)/('Predicted PPIs'!R75+'Predicted PPIs'!R74)))*IF(P$26=".", 1, (P75/P74)^(('Summary, PPI''s'!$P75+'Summary, PPI''s'!$P74)/('Predicted PPIs'!R75+'Predicted PPIs'!R74)))</f>
        <v>#VALUE!</v>
      </c>
      <c r="AA75" s="4" t="e">
        <f>AA74*IF(E$36=".", 1, (E75/E74)^(('Summary, PPI''s'!$E75+'Summary, PPI''s'!$E74)/('Predicted PPIs'!S75+'Predicted PPIs'!S74)))*IF(F$36=".", 1, (F75/F74)^(('Summary, PPI''s'!$F75+'Summary, PPI''s'!$F74)/('Predicted PPIs'!S75+'Predicted PPIs'!S74)))*IF(G$36=".", 1, (G75/G74)^(('Summary, PPI''s'!$G75+'Summary, PPI''s'!$G74)/('Predicted PPIs'!S75+'Predicted PPIs'!S74)))*IF(H$36=".", 1, (H75/H74)^(('Summary, PPI''s'!$H75+'Summary, PPI''s'!$H74)/('Predicted PPIs'!S75+'Predicted PPIs'!S74)))*IF(I$36=".", 1, (I75/I74)^(('Summary, PPI''s'!$I75+'Summary, PPI''s'!$I74)/('Predicted PPIs'!S75+'Predicted PPIs'!S74)))*IF(J$36=".", 1, (J75/J74)^(('Summary, PPI''s'!$J75+'Summary, PPI''s'!$J74)/('Predicted PPIs'!S75+'Predicted PPIs'!S74)))*IF(K$36=".", 1, (K75/K74)^(('Summary, PPI''s'!$K75+'Summary, PPI''s'!$K74)/('Predicted PPIs'!S75+'Predicted PPIs'!S74)))*IF(L$36=".", 1, (L75/L74)^(('Summary, PPI''s'!$L75+'Summary, PPI''s'!$L74)/('Predicted PPIs'!S75+'Predicted PPIs'!S74)))*IF(M$36=".", 1, (M75/M74)^(('Summary, PPI''s'!$M75+'Summary, PPI''s'!$M74)/('Predicted PPIs'!S75+'Predicted PPIs'!S74)))*IF(B$36=".", 1, (B75/B74)^(('Summary, PPI''s'!$B75+'Summary, PPI''s'!$B74)/('Predicted PPIs'!S75+'Predicted PPIs'!S74)))*IF(C$36=".", 1, (C75/C74)^(('Summary, PPI''s'!$C75+'Summary, PPI''s'!$C74)/('Predicted PPIs'!S75+'Predicted PPIs'!S74)))*IF(D$36=".", 1, (D75/D74)^(('Summary, PPI''s'!$D75+'Summary, PPI''s'!$D74)/('Predicted PPIs'!S75+'Predicted PPIs'!S74)))*IF(N$36=".", 1, (N75/N74)^(('Summary, PPI''s'!$N75+'Summary, PPI''s'!$N74)/('Predicted PPIs'!S75+'Predicted PPIs'!S74)))*IF(O$36=".", 1, (O75/O74)^(('Summary, PPI''s'!$O75+'Summary, PPI''s'!$O74)/('Predicted PPIs'!S75+'Predicted PPIs'!S74)))*IF(P$36=".", 1, (P75/P74)^(('Summary, PPI''s'!$P75+'Summary, PPI''s'!$P74)/('Predicted PPIs'!S75+'Predicted PPIs'!S74)))</f>
        <v>#VALUE!</v>
      </c>
      <c r="AB75" s="4" t="e">
        <f>AB74*IF(E$46=".", 1, (E75/E74)^(('Summary, PPI''s'!$E75+'Summary, PPI''s'!$E74)/('Predicted PPIs'!T75+'Predicted PPIs'!T74)))*IF(F$46=".", 1, (F75/F74)^(('Summary, PPI''s'!$F75+'Summary, PPI''s'!$F74)/('Predicted PPIs'!T75+'Predicted PPIs'!T74)))*IF(G$46=".", 1, (G75/G74)^(('Summary, PPI''s'!$G75+'Summary, PPI''s'!$G74)/('Predicted PPIs'!T75+'Predicted PPIs'!T74)))*IF(H$46=".", 1, (H75/H74)^(('Summary, PPI''s'!$H75+'Summary, PPI''s'!$H74)/('Predicted PPIs'!T75+'Predicted PPIs'!T74)))*IF(I$46=".", 1, (I75/I74)^(('Summary, PPI''s'!$I75+'Summary, PPI''s'!$I74)/('Predicted PPIs'!T75+'Predicted PPIs'!T74)))*IF(J$46=".", 1, (J75/J74)^(('Summary, PPI''s'!$J75+'Summary, PPI''s'!$J74)/('Predicted PPIs'!T75+'Predicted PPIs'!T74)))*IF(K$46=".", 1, (K75/K74)^(('Summary, PPI''s'!$K75+'Summary, PPI''s'!$K74)/('Predicted PPIs'!T75+'Predicted PPIs'!T74)))*IF(L$46=".", 1, (L75/L74)^(('Summary, PPI''s'!$L75+'Summary, PPI''s'!$L74)/('Predicted PPIs'!T75+'Predicted PPIs'!T74)))*IF(M$46=".", 1, (M75/M74)^(('Summary, PPI''s'!$M75+'Summary, PPI''s'!$M74)/('Predicted PPIs'!T75+'Predicted PPIs'!T74)))*IF(B$46=".", 1, (B75/B74)^(('Summary, PPI''s'!$B75+'Summary, PPI''s'!$B74)/('Predicted PPIs'!T75+'Predicted PPIs'!T74)))*IF(C$46=".", 1, (C75/C74)^(('Summary, PPI''s'!$C75+'Summary, PPI''s'!$C74)/('Predicted PPIs'!T75+'Predicted PPIs'!T74)))*IF(D$46=".", 1, (D75/D74)^(('Summary, PPI''s'!$D75+'Summary, PPI''s'!$D74)/('Predicted PPIs'!T75+'Predicted PPIs'!T74)))*IF(N$46=".", 1, (N75/N74)^(('Summary, PPI''s'!$N75+'Summary, PPI''s'!$N74)/('Predicted PPIs'!T75+'Predicted PPIs'!T74)))*IF(O$46=".", 1, (O75/O74)^(('Summary, PPI''s'!$O75+'Summary, PPI''s'!$O74)/('Predicted PPIs'!T75+'Predicted PPIs'!T74)))*IF(P$46=".", 1, (P75/P74)^(('Summary, PPI''s'!$P75+'Summary, PPI''s'!$P74)/('Predicted PPIs'!T75+'Predicted PPIs'!T74)))</f>
        <v>#VALUE!</v>
      </c>
      <c r="AC75" s="4" t="e">
        <f>AC74*IF(E$60=".",1,(E75/E74)^(('Summary, PPI''s'!$E75+'Summary, PPI''s'!$E74)/('Predicted PPIs'!U75+'Predicted PPIs'!U74)))*IF(F$60=".",1,(F75/F74)^(('Summary, PPI''s'!$F75+'Summary, PPI''s'!$F74)/('Predicted PPIs'!U75+'Predicted PPIs'!U74)))*IF(G$60=".",1,(G75/G74)^(('Summary, PPI''s'!$G75+'Summary, PPI''s'!$G74)/('Predicted PPIs'!U75+'Predicted PPIs'!U74)))*IF(H$60=".",1,(H75/H74)^(('Summary, PPI''s'!$H75+'Summary, PPI''s'!$H74)/('Predicted PPIs'!U75+'Predicted PPIs'!U74)))*IF(I$60=".",1,(I75/I74)^(('Summary, PPI''s'!$I75+'Summary, PPI''s'!$I74)/('Predicted PPIs'!U75+'Predicted PPIs'!U74)))*IF(J$60=".",1,(J75/J74)^(('Summary, PPI''s'!$J75+'Summary, PPI''s'!$J74)/('Predicted PPIs'!U75+'Predicted PPIs'!U74)))*IF(K$60=".",1,(K75/K74)^(('Summary, PPI''s'!$K75+'Summary, PPI''s'!$K74)/('Predicted PPIs'!U75+'Predicted PPIs'!U74)))*IF(L$60=".",1,(L75/L74)^(('Summary, PPI''s'!$L75+'Summary, PPI''s'!$L74)/('Predicted PPIs'!U75+'Predicted PPIs'!U74)))*IF(M$60=".",1,(M75/M74)^(('Summary, PPI''s'!$M75+'Summary, PPI''s'!$M74)/('Predicted PPIs'!U75+'Predicted PPIs'!U74)))*IF(B$60=".",1,(B75/B74)^(('Summary, PPI''s'!$B75+'Summary, PPI''s'!$B74)/('Predicted PPIs'!U75+'Predicted PPIs'!U74)))*IF(C$60=".",1,(C75/C74)^(('Summary, PPI''s'!$C75+'Summary, PPI''s'!$C74)/('Predicted PPIs'!U75+'Predicted PPIs'!U74)))*IF(D$60=".",1,(D75/D74)^(('Summary, PPI''s'!$D75+'Summary, PPI''s'!$D74)/('Predicted PPIs'!U75+'Predicted PPIs'!U74)))*IF(N$60=".",1,(N75/N74)^(('Summary, PPI''s'!$N75+'Summary, PPI''s'!$N74)/('Predicted PPIs'!U75+'Predicted PPIs'!U74)))*IF(O$60=".",1,(O75/O74)^(('Summary, PPI''s'!$O75+'Summary, PPI''s'!$O74)/('Predicted PPIs'!U75+'Predicted PPIs'!U74)))*IF(P$60=".",1,(P75/P74)^(('Summary, PPI''s'!$P75+'Summary, PPI''s'!$P74)/('Predicted PPIs'!U75+'Predicted PPIs'!U74)))</f>
        <v>#VALUE!</v>
      </c>
      <c r="AD75" s="4">
        <f>AD74*IF(E$73=".", 1, (E75/E74)^(('Summary, PPI''s'!$E75+'Summary, PPI''s'!$E74)/('Predicted PPIs'!V75+'Predicted PPIs'!V74)))*IF(F$73=".", 1, (F75/F74)^(('Summary, PPI''s'!$F75+'Summary, PPI''s'!$F74)/('Predicted PPIs'!V75+'Predicted PPIs'!V74)))*IF(G$73=".", 1, (G75/G74)^(('Summary, PPI''s'!$G75+'Summary, PPI''s'!$G74)/('Predicted PPIs'!V75+'Predicted PPIs'!V74)))*IF(H$73=".", 1, (H75/H74)^(('Summary, PPI''s'!$H75+'Summary, PPI''s'!$H74)/('Predicted PPIs'!V75+'Predicted PPIs'!V74)))*IF(I$73=".", 1, (I75/I74)^(('Summary, PPI''s'!$I75+'Summary, PPI''s'!$I74)/('Predicted PPIs'!V75+'Predicted PPIs'!V74)))*IF(J$73=".", 1, (J75/J74)^(('Summary, PPI''s'!$J75+'Summary, PPI''s'!$J74)/('Predicted PPIs'!V75+'Predicted PPIs'!V74)))*IF(K$73=".", 1, (K75/K74)^(('Summary, PPI''s'!$K75+'Summary, PPI''s'!$K74)/('Predicted PPIs'!V75+'Predicted PPIs'!V74)))*IF(L$73=".", 1, (L75/L74)^(('Summary, PPI''s'!$L75+'Summary, PPI''s'!$L74)/('Predicted PPIs'!V75+'Predicted PPIs'!V74)))*IF(M$73=".", 1, (M75/M74)^(('Summary, PPI''s'!$M75+'Summary, PPI''s'!$M74)/('Predicted PPIs'!V75+'Predicted PPIs'!V74)))*IF(B$73=".", 1, (B75/B74)^(('Summary, PPI''s'!$B75+'Summary, PPI''s'!$B74)/('Predicted PPIs'!V75+'Predicted PPIs'!V74)))*IF(C$73=".", 1, (C75/C74)^(('Summary, PPI''s'!$C75+'Summary, PPI''s'!$C74)/('Predicted PPIs'!V75+'Predicted PPIs'!V74)))*IF(D$73=".", 1, (D75/D74)^(('Summary, PPI''s'!$D75+'Summary, PPI''s'!$D74)/('Predicted PPIs'!V75+'Predicted PPIs'!V74)))*IF(N$73=".", 1, (N75/N74)^(('Summary, PPI''s'!$N75+'Summary, PPI''s'!$N74)/('Predicted PPIs'!V75+'Predicted PPIs'!V74)))*IF(O$73=".", 1, (O75/O74)^(('Summary, PPI''s'!$O75+'Summary, PPI''s'!$O74)/('Predicted PPIs'!V75+'Predicted PPIs'!V74)))*IF(P$73=".", 1, (P75/P74)^(('Summary, PPI''s'!$P75+'Summary, PPI''s'!$P74)/('Predicted PPIs'!V75+'Predicted PPIs'!V74)))</f>
        <v>5.9372035607866618</v>
      </c>
      <c r="AE75" s="4">
        <f>AE74*IF(E$94=".", 1, (E75/E74)^(('Summary, PPI''s'!$E75+'Summary, PPI''s'!$E74)/('Predicted PPIs'!W75+'Predicted PPIs'!W74)))*IF(F$94=".", 1, (F75/F74)^(('Summary, PPI''s'!$F75+'Summary, PPI''s'!$F74)/('Predicted PPIs'!W75+'Predicted PPIs'!W74)))*IF(G$94=".", 1, (G75/G74)^(('Summary, PPI''s'!$G75+'Summary, PPI''s'!$G74)/('Predicted PPIs'!W75+'Predicted PPIs'!W74)))*IF(H$94=".", 1, (H75/H74)^(('Summary, PPI''s'!$H75+'Summary, PPI''s'!$H74)/('Predicted PPIs'!W75+'Predicted PPIs'!W74)))*IF(I$94=".", 1, (I75/I74)^(('Summary, PPI''s'!$I75+'Summary, PPI''s'!$I74)/('Predicted PPIs'!W75+'Predicted PPIs'!W74)))*IF(J$94=".", 1, (J75/J74)^(('Summary, PPI''s'!$J75+'Summary, PPI''s'!$J74)/('Predicted PPIs'!W75+'Predicted PPIs'!W74)))*IF(K$94=".", 1, (K75/K74)^(('Summary, PPI''s'!$K75+'Summary, PPI''s'!$K74)/('Predicted PPIs'!W75+'Predicted PPIs'!W74)))*IF(L$94=".", 1, (L75/L74)^(('Summary, PPI''s'!$L75+'Summary, PPI''s'!$L74)/('Predicted PPIs'!W75+'Predicted PPIs'!W74)))*IF(M$94=".", 1, (M75/M74)^(('Summary, PPI''s'!$M75+'Summary, PPI''s'!$M74)/('Predicted PPIs'!W75+'Predicted PPIs'!W74)))*IF(B$94=".", 1, (B75/B74)^(('Summary, PPI''s'!$B75+'Summary, PPI''s'!$B74)/('Predicted PPIs'!W75+'Predicted PPIs'!W74)))*IF(C$94=".", 1, (C75/C74)^(('Summary, PPI''s'!$C75+'Summary, PPI''s'!$C74)/('Predicted PPIs'!W75+'Predicted PPIs'!W74)))*IF(D$94=".", 1, (D75/D74)^(('Summary, PPI''s'!$D75+'Summary, PPI''s'!$D74)/('Predicted PPIs'!W75+'Predicted PPIs'!W74)))*IF(N$94=".", 1, (N75/N74)^(('Summary, PPI''s'!$N75+'Summary, PPI''s'!$N74)/('Predicted PPIs'!W75+'Predicted PPIs'!W74)))*IF(O$94=".", 1, (O75/O74)^(('Summary, PPI''s'!$O75+'Summary, PPI''s'!$O74)/('Predicted PPIs'!W75+'Predicted PPIs'!W74)))*IF(P$94=".", 1, (P75/P74)^(('Summary, PPI''s'!$P75+'Summary, PPI''s'!$P74)/('Predicted PPIs'!W75+'Predicted PPIs'!W74)))</f>
        <v>5.195411329979124</v>
      </c>
      <c r="AF75" s="4">
        <f>AF74*IF(E$123=".", 1, (E75/E74)^(('Summary, PPI''s'!$E75+'Summary, PPI''s'!$E74)/('Predicted PPIs'!X75+'Predicted PPIs'!X74)))*IF(F$123=".", 1, (F75/F74)^(('Summary, PPI''s'!$F75+'Summary, PPI''s'!$F74)/('Predicted PPIs'!X75+'Predicted PPIs'!X74)))*IF(G$123=".", 1, (G75/G74)^(('Summary, PPI''s'!$G75+'Summary, PPI''s'!$G74)/('Predicted PPIs'!X75+'Predicted PPIs'!X74)))*IF(H$123=".", 1, (H75/H74)^(('Summary, PPI''s'!$H75+'Summary, PPI''s'!$H74)/('Predicted PPIs'!X75+'Predicted PPIs'!X74)))*IF(I$123=".", 1, (I75/I74)^(('Summary, PPI''s'!$I75+'Summary, PPI''s'!$I74)/('Predicted PPIs'!X75+'Predicted PPIs'!X74)))*IF(J$123=".", 1, (J75/J74)^(('Summary, PPI''s'!$J75+'Summary, PPI''s'!$J74)/('Predicted PPIs'!X75+'Predicted PPIs'!X74)))*IF(K$123=".", 1, (K75/K74)^(('Summary, PPI''s'!$K75+'Summary, PPI''s'!$K74)/('Predicted PPIs'!X75+'Predicted PPIs'!X74)))*IF(L$123=".", 1, (L75/L74)^(('Summary, PPI''s'!$L75+'Summary, PPI''s'!$L74)/('Predicted PPIs'!X75+'Predicted PPIs'!X74)))*IF(M$123=".", 1, (M75/M74)^(('Summary, PPI''s'!$M75+'Summary, PPI''s'!$M74)/('Predicted PPIs'!X75+'Predicted PPIs'!X74)))*IF(B$123=".", 1, (B75/B74)^(('Summary, PPI''s'!$B75+'Summary, PPI''s'!$B74)/('Predicted PPIs'!X75+'Predicted PPIs'!X74)))*IF(C$123=".", 1, (C75/C74)^(('Summary, PPI''s'!$C75+'Summary, PPI''s'!$C74)/('Predicted PPIs'!X75+'Predicted PPIs'!X74)))*IF(D$123=".", 1, (D75/D74)^(('Summary, PPI''s'!$D75+'Summary, PPI''s'!$D74)/('Predicted PPIs'!X75+'Predicted PPIs'!X74)))*IF(N$123=".", 1, (N75/N74)^(('Summary, PPI''s'!$N75+'Summary, PPI''s'!$N74)/('Predicted PPIs'!X75+'Predicted PPIs'!X74)))*IF(O$123=".", 1, (O75/O74)^(('Summary, PPI''s'!$O75+'Summary, PPI''s'!$O74)/('Predicted PPIs'!X75+'Predicted PPIs'!X74)))*IF(P$123=".", 1, (P75/P74)^(('Summary, PPI''s'!$P75+'Summary, PPI''s'!$P74)/('Predicted PPIs'!X75+'Predicted PPIs'!X74)))</f>
        <v>4.6409455450369679</v>
      </c>
      <c r="AH75" s="13">
        <f t="shared" si="152"/>
        <v>7.1048893411402148</v>
      </c>
      <c r="AJ75" s="4">
        <v>174.9</v>
      </c>
      <c r="AK75" s="4">
        <v>-2.7330000000000001</v>
      </c>
      <c r="AL75" s="4">
        <v>-9.7309999999999999</v>
      </c>
      <c r="AM75" s="4">
        <v>-1.5049999999999999</v>
      </c>
      <c r="AN75" s="4">
        <v>220</v>
      </c>
      <c r="AO75" s="4">
        <v>44.7</v>
      </c>
      <c r="AP75" s="4">
        <f>('[4]1948'!$I$14+'[4]1948'!$I$51+'[4]1948'!$I$53-'[4]1948'!$I$55)*0.001</f>
        <v>-3.8240000000000003</v>
      </c>
      <c r="AQ75" s="4">
        <f>('[4]1948'!$AK$42+'[4]1948'!$AK$51+'[4]1948'!$AK$53-'[4]1948'!$AK$55)*0.001</f>
        <v>-7.298</v>
      </c>
      <c r="AR75" s="4">
        <f t="shared" si="148"/>
        <v>-1.8383721535330357E-3</v>
      </c>
      <c r="AS75" s="4">
        <v>-0.93600000000000005</v>
      </c>
      <c r="AT75" s="4">
        <v>13.199</v>
      </c>
      <c r="AU75" s="4">
        <v>27.036000000000001</v>
      </c>
      <c r="AV75" s="4">
        <v>10.206</v>
      </c>
      <c r="AW75" s="4">
        <v>10.289</v>
      </c>
      <c r="AX75" s="4">
        <v>12.92</v>
      </c>
      <c r="AY75" s="4">
        <v>17.646000000000001</v>
      </c>
      <c r="AZ75" s="4">
        <v>6.6390000000000002</v>
      </c>
      <c r="BA75" s="4">
        <v>15.356999999999999</v>
      </c>
      <c r="BB75" s="4">
        <f t="shared" si="150"/>
        <v>87.838254483288836</v>
      </c>
      <c r="BC75" s="4">
        <v>12.39</v>
      </c>
      <c r="BG75" s="4">
        <f t="shared" si="50"/>
        <v>13.0038264396202</v>
      </c>
      <c r="BI75" s="4">
        <f>BI$13*'[2]Ordinary Experience'!$D$351/'[2]Ordinary Experience'!$D$413</f>
        <v>146920177.24994421</v>
      </c>
      <c r="BJ75" s="4">
        <f>'[2]Ordinary Experience'!$E$351</f>
        <v>26.508785179486921</v>
      </c>
      <c r="BL75" s="4">
        <f t="shared" si="151"/>
        <v>30.387153712104357</v>
      </c>
      <c r="BM75" s="4">
        <f t="shared" si="153"/>
        <v>-2.7298079226290795E-2</v>
      </c>
      <c r="BO75" s="4" t="str">
        <f>IF(OR('Summary, hourly ad costs'!R75=-9999,'Summary, PPI''s'!R75="."),".",(('Summary, hourly ad costs'!B75/'Summary, hourly ad costs'!R75)*100/('Summary, hourly ad costs'!B$11/'Summary, hourly ad costs'!R$11))/('Summary, PPI''s'!R75))</f>
        <v>.</v>
      </c>
      <c r="BP75" s="4" t="str">
        <f>IF(OR('Summary, hourly ad costs'!S75=-9999,'Summary, PPI''s'!S75="."),".",(('Summary, hourly ad costs'!C75/'Summary, hourly ad costs'!S75)*100/('Summary, hourly ad costs'!C$11/'Summary, hourly ad costs'!S$11))/('Summary, PPI''s'!S75))</f>
        <v>.</v>
      </c>
      <c r="BQ75" s="4" t="str">
        <f>IF(OR('Summary, hourly ad costs'!T75=-9999,'Summary, PPI''s'!T75="."),".",(('Summary, hourly ad costs'!D75/'Summary, hourly ad costs'!T75)*100/('Summary, hourly ad costs'!D$11/'Summary, hourly ad costs'!T$11))/('Summary, PPI''s'!T75))</f>
        <v>.</v>
      </c>
      <c r="BR75" s="4" t="str">
        <f>IF(OR('Summary, hourly ad costs'!U75=-9999,'Summary, PPI''s'!U75="."),".",(('Summary, hourly ad costs'!E75/'Summary, hourly ad costs'!U75)*100/('Summary, hourly ad costs'!E$11/'Summary, hourly ad costs'!U$11))/('Summary, PPI''s'!U75))</f>
        <v>.</v>
      </c>
      <c r="BS75" s="4" t="str">
        <f>IF(OR('Summary, hourly ad costs'!V75=-9999,'Summary, PPI''s'!V75="."),".",(('Summary, hourly ad costs'!F75/'Summary, hourly ad costs'!V75)*100/('Summary, hourly ad costs'!F$11/'Summary, hourly ad costs'!V$11))/('Summary, PPI''s'!V75))</f>
        <v>.</v>
      </c>
      <c r="BT75" s="4" t="str">
        <f>IF(OR('Summary, hourly ad costs'!W75=-9999,'Summary, PPI''s'!W75="."),".",(('Summary, hourly ad costs'!G75/'Summary, hourly ad costs'!W75)*100/('Summary, hourly ad costs'!G$11/'Summary, hourly ad costs'!W$11))/('Summary, PPI''s'!W75))</f>
        <v>.</v>
      </c>
      <c r="BU75" s="4" t="str">
        <f>IF(OR('Summary, hourly ad costs'!X75=-9999,'Summary, PPI''s'!X75="."),".",(('Summary, hourly ad costs'!H75/'Summary, hourly ad costs'!X75)*100/('Summary, hourly ad costs'!H$11/'Summary, hourly ad costs'!X$11))/('Summary, PPI''s'!X75))</f>
        <v>.</v>
      </c>
      <c r="BV75" s="4" t="str">
        <f>IF(OR('Summary, hourly ad costs'!Y75=-9999,'Summary, PPI''s'!Y75="."),".",(('Summary, hourly ad costs'!I75/'Summary, hourly ad costs'!Y75)*100/('Summary, hourly ad costs'!I$11/'Summary, hourly ad costs'!Y$11))/('Summary, PPI''s'!Y75))</f>
        <v>.</v>
      </c>
      <c r="BW75" s="4" t="str">
        <f>IF(OR('Summary, hourly ad costs'!Z75=-9999,'Summary, PPI''s'!Z75="."),".",(('Summary, hourly ad costs'!J75/'Summary, hourly ad costs'!Z75)*100/('Summary, hourly ad costs'!J$11/'Summary, hourly ad costs'!Z$11))/('Summary, PPI''s'!Z75))</f>
        <v>.</v>
      </c>
      <c r="BX75" s="4" t="str">
        <f>IF(OR('Summary, hourly ad costs'!AA75=-9999,'Summary, PPI''s'!AA75="."),".",(('Summary, hourly ad costs'!K75/'Summary, hourly ad costs'!AA75)*100/('Summary, hourly ad costs'!K$11/'Summary, hourly ad costs'!AA$11))/('Summary, PPI''s'!AA75))</f>
        <v>.</v>
      </c>
      <c r="BY75" s="4" t="str">
        <f>IF(OR('Summary, hourly ad costs'!AB75=-9999,'Summary, PPI''s'!AB75="."),".",(('Summary, hourly ad costs'!L75/'Summary, hourly ad costs'!AB75)*100/('Summary, hourly ad costs'!L$11/'Summary, hourly ad costs'!AB$11))/('Summary, PPI''s'!AB75))</f>
        <v>.</v>
      </c>
      <c r="BZ75" s="4" t="str">
        <f>IF(OR('Summary, hourly ad costs'!AC75=-9999,'Summary, PPI''s'!AC75="."),".",(('Summary, hourly ad costs'!M75/'Summary, hourly ad costs'!AC75)*100/('Summary, hourly ad costs'!M$11/'Summary, hourly ad costs'!AC$11))/('Summary, PPI''s'!AC75))</f>
        <v>.</v>
      </c>
      <c r="CA75" s="4" t="str">
        <f>IF(OR('Summary, hourly ad costs'!AD75=-9999,'Summary, PPI''s'!AD75="."),".",(('Summary, hourly ad costs'!N75/'Summary, hourly ad costs'!AD75)*100/('Summary, hourly ad costs'!N$11/'Summary, hourly ad costs'!AD$11))/('Summary, PPI''s'!AD75))</f>
        <v>.</v>
      </c>
      <c r="CB75" s="4" t="str">
        <f>IF(OR('Summary, hourly ad costs'!AE75=-9999,'Summary, PPI''s'!AE75="."),".",(('Summary, hourly ad costs'!O75/'Summary, hourly ad costs'!AE75)*100/('Summary, hourly ad costs'!O$11/'Summary, hourly ad costs'!AE$11))/('Summary, PPI''s'!AE75))</f>
        <v>.</v>
      </c>
      <c r="CC75" s="4" t="str">
        <f>IF(OR('Summary, hourly ad costs'!AF75=-9999,'Summary, PPI''s'!AF75="."),".",(('Summary, hourly ad costs'!P75/'Summary, hourly ad costs'!AF75)*100/('Summary, hourly ad costs'!P$11/'Summary, hourly ad costs'!AF$11))/('Summary, PPI''s'!AF75))</f>
        <v>.</v>
      </c>
      <c r="CE75" s="4">
        <f t="shared" si="134"/>
        <v>-5.7723312560871064E-2</v>
      </c>
      <c r="CF75" s="4" t="str">
        <f t="shared" si="135"/>
        <v>.</v>
      </c>
      <c r="CG75" s="4" t="str">
        <f t="shared" si="136"/>
        <v>.</v>
      </c>
      <c r="CH75" s="4">
        <f t="shared" si="145"/>
        <v>-5.6494807757153584E-2</v>
      </c>
      <c r="CI75" s="4">
        <f t="shared" si="145"/>
        <v>-6.245853253423117E-2</v>
      </c>
      <c r="CJ75" s="4" t="str">
        <f t="shared" si="147"/>
        <v>.</v>
      </c>
      <c r="CK75" s="4">
        <f t="shared" si="149"/>
        <v>6.0835006337691313E-3</v>
      </c>
      <c r="CL75" s="4">
        <f t="shared" si="130"/>
        <v>-4.3940185318170885E-2</v>
      </c>
      <c r="CM75" s="4">
        <f t="shared" si="130"/>
        <v>-1.2844383107148659E-3</v>
      </c>
      <c r="CN75" s="4">
        <f t="shared" si="89"/>
        <v>-5.8718963647435979E-2</v>
      </c>
      <c r="CO75" s="4">
        <f t="shared" si="120"/>
        <v>-0.18520453093830905</v>
      </c>
      <c r="CP75" s="4">
        <f t="shared" si="120"/>
        <v>0.26317539240032195</v>
      </c>
      <c r="CQ75" s="4" t="str">
        <f t="shared" si="110"/>
        <v>.</v>
      </c>
      <c r="CR75" s="4" t="str">
        <f t="shared" si="111"/>
        <v>.</v>
      </c>
      <c r="CS75" s="4" t="str">
        <f t="shared" si="112"/>
        <v>.</v>
      </c>
      <c r="CU75" s="5">
        <f>IF(CU74=".", ".", IF('Summary, PPI''s'!R75=".",IF(OR('Summary, hourly ad costs'!R75=-9999,'Summary, hourly ad costs'!R75=0), ".", 'Predicted PPIs'!CU74*('Summary, hourly ad costs'!B75/'Summary, hourly ad costs'!R75)/('Summary, hourly ad costs'!B74/'Summary, hourly ad costs'!R74)/(1-CE74)), 'Summary, PPI''s'!R75))</f>
        <v>28.592977853143502</v>
      </c>
      <c r="CV75" s="5" t="str">
        <f>IF(CV74=".", ".", IF('Summary, PPI''s'!S75=".",IF(OR('Summary, hourly ad costs'!S75=-9999,'Summary, hourly ad costs'!S75=0), ".", 'Predicted PPIs'!CV74*('Summary, hourly ad costs'!C75/'Summary, hourly ad costs'!S75)/('Summary, hourly ad costs'!C74/'Summary, hourly ad costs'!S74)/(1-CF74)), 'Summary, PPI''s'!S75))</f>
        <v>.</v>
      </c>
      <c r="CW75" s="5" t="str">
        <f>IF(CW74=".", ".", IF('Summary, PPI''s'!T75=".",IF(OR('Summary, hourly ad costs'!T75=-9999,'Summary, hourly ad costs'!T75=0), ".", 'Predicted PPIs'!CW74*('Summary, hourly ad costs'!D75/'Summary, hourly ad costs'!T75)/('Summary, hourly ad costs'!D74/'Summary, hourly ad costs'!T74)/(1-CG74)), 'Summary, PPI''s'!T75))</f>
        <v>.</v>
      </c>
      <c r="CX75" s="5">
        <f>IF(CX74=".", ".", IF('Summary, PPI''s'!U75=".",IF(OR('Summary, hourly ad costs'!U75=-9999,'Summary, hourly ad costs'!U75=0), ".", 'Predicted PPIs'!CX74*('Summary, hourly ad costs'!E75/'Summary, hourly ad costs'!U75)/('Summary, hourly ad costs'!E74/'Summary, hourly ad costs'!U74)/(1-CH74)), 'Summary, PPI''s'!U75))</f>
        <v>3.2233967739323548</v>
      </c>
      <c r="CY75" s="5">
        <f>IF(CY74=".", ".", IF('Summary, PPI''s'!V75=".",IF(OR('Summary, hourly ad costs'!V75=-9999,'Summary, hourly ad costs'!V75=0), ".", 'Predicted PPIs'!CY74*('Summary, hourly ad costs'!F75/'Summary, hourly ad costs'!V75)/('Summary, hourly ad costs'!F74/'Summary, hourly ad costs'!V74)/(1-CI74)), 'Summary, PPI''s'!V75))</f>
        <v>7.0342583680010504</v>
      </c>
      <c r="CZ75" s="5" t="str">
        <f>IF(CZ74=".", ".", IF('Summary, PPI''s'!W75=".",IF(OR('Summary, hourly ad costs'!W75=-9999,'Summary, hourly ad costs'!W75=0), ".", 'Predicted PPIs'!CZ74*('Summary, hourly ad costs'!G75/'Summary, hourly ad costs'!W75)/('Summary, hourly ad costs'!G74/'Summary, hourly ad costs'!W74)/(1-CJ74)), 'Summary, PPI''s'!W75))</f>
        <v>.</v>
      </c>
      <c r="DA75" s="5">
        <f>IF(DA74=".", ".", IF('Summary, PPI''s'!X75=".",IF(OR('Summary, hourly ad costs'!X75=-9999,'Summary, hourly ad costs'!X75=0), ".", 'Predicted PPIs'!DA74*('Summary, hourly ad costs'!H75/'Summary, hourly ad costs'!X75)/('Summary, hourly ad costs'!H74/'Summary, hourly ad costs'!X74)/(1-CK74)), 'Summary, PPI''s'!X75))</f>
        <v>3.1907312023942866</v>
      </c>
      <c r="DB75" s="5">
        <f>IF(DB74=".", ".", IF('Summary, PPI''s'!Y75=".",IF(OR('Summary, hourly ad costs'!Y75=-9999,'Summary, hourly ad costs'!Y75=0), ".", 'Predicted PPIs'!DB74*('Summary, hourly ad costs'!I75/'Summary, hourly ad costs'!Y75)/('Summary, hourly ad costs'!I74/'Summary, hourly ad costs'!Y74)/(1-CL74)), 'Summary, PPI''s'!Y75))</f>
        <v>10.545180358141966</v>
      </c>
      <c r="DC75" s="5" t="s">
        <v>5</v>
      </c>
      <c r="DD75" s="5" t="str">
        <f>IF(DD74=".", ".", IF('Summary, PPI''s'!AA75=".",IF(OR('Summary, hourly ad costs'!AA75=-9999,'Summary, hourly ad costs'!AA75=0), ".", 'Predicted PPIs'!DD74*('Summary, hourly ad costs'!K75/'Summary, hourly ad costs'!AA75)/('Summary, hourly ad costs'!K74/'Summary, hourly ad costs'!AA74)/(1-CN74)), 'Summary, PPI''s'!AA75))</f>
        <v>.</v>
      </c>
      <c r="DE75" s="5" t="str">
        <f>IF(DE74=".", ".", IF('Summary, PPI''s'!AB75=".",IF(OR('Summary, hourly ad costs'!AB75=-9999,'Summary, hourly ad costs'!AB75=0), ".", 'Predicted PPIs'!DE74*('Summary, hourly ad costs'!L75/'Summary, hourly ad costs'!AB75)/('Summary, hourly ad costs'!L74/'Summary, hourly ad costs'!AB74)/(1-CO74)), 'Summary, PPI''s'!AB75))</f>
        <v>.</v>
      </c>
      <c r="DF75" s="5" t="str">
        <f>IF(DF74=".", ".", IF('Summary, PPI''s'!AC75=".",IF(OR('Summary, hourly ad costs'!AC75=-9999,'Summary, hourly ad costs'!AC75=0), ".", 'Predicted PPIs'!DF74*('Summary, hourly ad costs'!M75/'Summary, hourly ad costs'!AC75)/('Summary, hourly ad costs'!M74/'Summary, hourly ad costs'!AC74)/(1-CP74)), 'Summary, PPI''s'!AC75))</f>
        <v>.</v>
      </c>
      <c r="DG75" s="5" t="str">
        <f>IF(DG74=".", ".", IF('Summary, PPI''s'!AD75=".",IF(OR('Summary, hourly ad costs'!AD75=-9999,'Summary, hourly ad costs'!AD75=0), ".", 'Predicted PPIs'!DG74*('Summary, hourly ad costs'!N75/'Summary, hourly ad costs'!AD75)/('Summary, hourly ad costs'!N74/'Summary, hourly ad costs'!AD74)/(1-CQ74)), 'Summary, PPI''s'!AD75))</f>
        <v>.</v>
      </c>
      <c r="DH75" s="5" t="str">
        <f>IF(DH74=".", ".", IF('Summary, PPI''s'!AE75=".",IF(OR('Summary, hourly ad costs'!AE75=-9999,'Summary, hourly ad costs'!AE75=0), ".", 'Predicted PPIs'!DH74*('Summary, hourly ad costs'!O75/'Summary, hourly ad costs'!AE75)/('Summary, hourly ad costs'!O74/'Summary, hourly ad costs'!AE74)/(1-CR74)), 'Summary, PPI''s'!AE75))</f>
        <v>.</v>
      </c>
      <c r="DI75" s="5" t="str">
        <f>IF(DI74=".", ".", IF('Summary, PPI''s'!AF75=".",IF(OR('Summary, hourly ad costs'!AF75=-9999,'Summary, hourly ad costs'!AF75=0), ".", 'Predicted PPIs'!DI74*('Summary, hourly ad costs'!P75/'Summary, hourly ad costs'!AF75)/('Summary, hourly ad costs'!P74/'Summary, hourly ad costs'!AF74)/(1-CS74)), 'Summary, PPI''s'!AF75))</f>
        <v>.</v>
      </c>
      <c r="DK75" s="4">
        <v>3.8769999999999998</v>
      </c>
      <c r="DM75" s="5">
        <f t="shared" si="138"/>
        <v>-6.6829049964733711E-2</v>
      </c>
      <c r="DN75" s="4">
        <f t="shared" si="139"/>
        <v>-1.4355806244560732E-2</v>
      </c>
      <c r="DO75" s="4">
        <f t="shared" si="123"/>
        <v>-2.3032576880252835E-2</v>
      </c>
      <c r="DP75" s="5">
        <f t="shared" si="140"/>
        <v>0.1702361573725597</v>
      </c>
      <c r="DQ75" s="5">
        <f t="shared" si="141"/>
        <v>3.6294378663844773E-2</v>
      </c>
      <c r="DR75" s="4">
        <f t="shared" si="146"/>
        <v>-1.5066712645816471E-2</v>
      </c>
      <c r="DS75" s="5">
        <f t="shared" si="169"/>
        <v>2.5073781292297204E-2</v>
      </c>
      <c r="DT75" s="5">
        <f t="shared" si="170"/>
        <v>1.6502633066379557E-2</v>
      </c>
      <c r="DU75" s="4">
        <f t="shared" si="171"/>
        <v>-4.2185688481274006E-2</v>
      </c>
      <c r="DV75" s="4">
        <f t="shared" si="131"/>
        <v>1.8705040873345361E-3</v>
      </c>
      <c r="DW75" s="4">
        <f t="shared" si="133"/>
        <v>6.1175954500695039E-2</v>
      </c>
      <c r="DX75" s="4">
        <f t="shared" si="133"/>
        <v>-0.28937905377443074</v>
      </c>
      <c r="DY75" s="4">
        <f t="shared" si="108"/>
        <v>-2.3687011752807647E-2</v>
      </c>
      <c r="DZ75" s="4">
        <f t="shared" si="132"/>
        <v>-1.7629075145383272E-2</v>
      </c>
      <c r="EA75" s="4">
        <f t="shared" si="109"/>
        <v>-1.4185972544489658E-2</v>
      </c>
      <c r="EC75" s="1">
        <f t="shared" si="154"/>
        <v>28.592977853143502</v>
      </c>
      <c r="ED75" s="1">
        <f t="shared" si="155"/>
        <v>8.6482568329334182</v>
      </c>
      <c r="EE75" s="1">
        <f t="shared" si="156"/>
        <v>4.9168169501409986</v>
      </c>
      <c r="EF75" s="1">
        <f t="shared" si="157"/>
        <v>3.2233967739323548</v>
      </c>
      <c r="EG75" s="1">
        <f t="shared" si="158"/>
        <v>7.0342583680010504</v>
      </c>
      <c r="EH75" s="1">
        <f t="shared" si="159"/>
        <v>4.5486177076737313</v>
      </c>
      <c r="EI75" s="1">
        <f t="shared" si="160"/>
        <v>3.1907312023942866</v>
      </c>
      <c r="EJ75" s="1">
        <f t="shared" si="161"/>
        <v>10.545180358141966</v>
      </c>
      <c r="EK75" s="1">
        <f t="shared" si="162"/>
        <v>18.488899207989142</v>
      </c>
      <c r="EL75" s="1">
        <f t="shared" si="163"/>
        <v>3.162142725696274</v>
      </c>
      <c r="EM75" s="1">
        <f t="shared" si="164"/>
        <v>0.57251773384048787</v>
      </c>
      <c r="EN75" s="1">
        <f t="shared" si="165"/>
        <v>3.7274261233590931</v>
      </c>
      <c r="EO75" s="1">
        <f t="shared" si="166"/>
        <v>3.1874770062185465</v>
      </c>
      <c r="EP75" s="1">
        <f t="shared" si="167"/>
        <v>4.6434657583405778</v>
      </c>
      <c r="EQ75" s="1">
        <f t="shared" si="168"/>
        <v>3.5810818403315761</v>
      </c>
      <c r="ES75" s="1">
        <f>IF(EF$26=".", 0, 'Summary, PPI''s'!E75)+IF(EG$26=".", 0, 'Summary, PPI''s'!F75)+IF(EH$26=".", 0, 'Summary, PPI''s'!G75)+IF(EI$26=".", 0, 'Summary, PPI''s'!H75)+IF(EJ$26=".", 0, 'Summary, PPI''s'!I75)+IF(EK$26=".", 0, 'Summary, PPI''s'!J75)+IF(EL$26=".", 0, 'Summary, PPI''s'!K75)+IF(EM$26=".", 0, 'Summary, PPI''s'!L75)+IF(EN$26=".", 0, 'Summary, PPI''s'!M75)+IF(EC$26=".", 0, 'Summary, PPI''s'!B75)+IF(ED$26=".", 0, 'Summary, PPI''s'!C75)+IF(EE$26=".", 0, 'Summary, PPI''s'!D75)+IF(EO$26=".", 0, 'Summary, PPI''s'!N75)+IF(EP$26=".", 0, 'Summary, PPI''s'!O75)+IF(EQ$26=".", 0, 'Summary, PPI''s'!P75)</f>
        <v>5352757.1055373931</v>
      </c>
      <c r="ET75" s="1">
        <f>'Summary, hourly ad costs'!E75+'Summary, hourly ad costs'!F75+'Summary, hourly ad costs'!H75+'Summary, hourly ad costs'!I75+'Summary, hourly ad costs'!J75+'Summary, hourly ad costs'!K75+'Summary, hourly ad costs'!L75+'Summary, hourly ad costs'!M75+'Summary, hourly ad costs'!B75</f>
        <v>3154358.5127682397</v>
      </c>
      <c r="EV75" s="13">
        <f>EV74*IF(EF$26=".", 1, (EF75/EF74)^(('Summary, PPI''s'!$E75+'Summary, PPI''s'!$E74)/('Predicted PPIs'!ES75+'Predicted PPIs'!ES74)))*IF(EG$26=".", 1, (EG75/EG74)^(('Summary, PPI''s'!$F75+'Summary, PPI''s'!$F74)/('Predicted PPIs'!ES75+'Predicted PPIs'!ES74)))*IF(EH$26=".", 1, (EH75/EH74)^(('Summary, PPI''s'!$G75+'Summary, PPI''s'!$G74)/('Predicted PPIs'!ES75+'Predicted PPIs'!ES74)))*IF(EI$26=".", 1, (EI75/EI74)^(('Summary, PPI''s'!$H75+'Summary, PPI''s'!$H74)/('Predicted PPIs'!ES75+'Predicted PPIs'!ES74)))*IF(EJ$26=".", 1, (EJ75/EJ74)^(('Summary, PPI''s'!$I75+'Summary, PPI''s'!$I74)/('Predicted PPIs'!ES75+'Predicted PPIs'!ES74)))*IF(EK$26=".", 1, (EK75/EK74)^(('Summary, PPI''s'!$J75+'Summary, PPI''s'!$J74)/('Predicted PPIs'!ES75+'Predicted PPIs'!ES74)))*IF(EL$26=".", 1, (EL75/EL74)^(('Summary, PPI''s'!$K75+'Summary, PPI''s'!$K74)/('Predicted PPIs'!ES75+'Predicted PPIs'!ES74)))*IF(EM$26=".", 1, (EM75/EM74)^(('Summary, PPI''s'!$L75+'Summary, PPI''s'!$L74)/('Predicted PPIs'!ES75+'Predicted PPIs'!ES74)))*IF(EN$26=".", 1, (EN75/EN74)^(('Summary, PPI''s'!$M75+'Summary, PPI''s'!$M74)/('Predicted PPIs'!ES75+'Predicted PPIs'!ES74)))*IF(EC$26=".", 1, (EC75/EC74)^(('Summary, PPI''s'!$B75+'Summary, PPI''s'!$B74)/('Predicted PPIs'!ES75+'Predicted PPIs'!ES74)))*IF(ED$26=".", 1, (ED75/ED74)^(('Summary, PPI''s'!$C75+'Summary, PPI''s'!$C74)/('Predicted PPIs'!ES75+'Predicted PPIs'!ES74)))*IF(EE$26=".", 1, (EE75/EE74)^(('Summary, PPI''s'!$D75+'Summary, PPI''s'!$D74)/('Predicted PPIs'!ES75+'Predicted PPIs'!ES74)))*IF(EO$26=".", 1, (EO75/EO74)^(('Summary, PPI''s'!$N75+'Summary, PPI''s'!$N74)/('Predicted PPIs'!ES75+'Predicted PPIs'!ES74)))*IF(EP$26=".", 1, (EP75/EP74)^(('Summary, PPI''s'!$O75+'Summary, PPI''s'!$O74)/('Predicted PPIs'!ES75+'Predicted PPIs'!ES74)))*IF(EQ$26=".", 1, (EQ75/EQ74)^(('Summary, PPI''s'!$P75+'Summary, PPI''s'!$P74)/('Predicted PPIs'!ES75+'Predicted PPIs'!ES74)))</f>
        <v>6.4087615681604762</v>
      </c>
      <c r="EW75" s="13">
        <f>EW74*IF(EF$26=".", 1, (EF75/EF74)^(('Summary, PPI''s'!$E75+'Summary, PPI''s'!$E74)/('Predicted PPIs'!ET75+'Predicted PPIs'!ET74)))*IF(EG$26=".", 1, (EG75/EG74)^(('Summary, PPI''s'!$F75+'Summary, PPI''s'!$F74)/('Predicted PPIs'!ET75+'Predicted PPIs'!ET74)))*IF(EH$26=".", 1, (EH75/EH74)^(('Summary, PPI''s'!$G75+'Summary, PPI''s'!$G74)/('Predicted PPIs'!ET75+'Predicted PPIs'!ET74)))*IF(EK$26=".", 1, (EK75/EK74)^(('Summary, PPI''s'!$J75+'Summary, PPI''s'!$J74)/('Predicted PPIs'!ET75+'Predicted PPIs'!ET74)))*IF(EL$26=".", 1, (EL75/EL74)^(('Summary, PPI''s'!$K75+'Summary, PPI''s'!$K74)/('Predicted PPIs'!ET75+'Predicted PPIs'!ET74)))*IF(EM$26=".", 1, (EM75/EM74)^(('Summary, PPI''s'!$L75+'Summary, PPI''s'!$L74)/('Predicted PPIs'!ET75+'Predicted PPIs'!ET74)))*IF(EN$26=".", 1, (EN75/EN74)^(('Summary, PPI''s'!$M75+'Summary, PPI''s'!$M74)/('Predicted PPIs'!ET75+'Predicted PPIs'!ET74)))*IF(EC$26=".", 1, (EC75/EC74)^(('Summary, PPI''s'!$B75+'Summary, PPI''s'!$B74)/('Predicted PPIs'!ET75+'Predicted PPIs'!ET74)))</f>
        <v>9.0493107984881522</v>
      </c>
      <c r="EY75" s="2"/>
    </row>
    <row r="76" spans="1:155" x14ac:dyDescent="0.3">
      <c r="A76" s="4">
        <v>1947</v>
      </c>
      <c r="B76" s="10">
        <f>IF(B75=".", ".", IF('Summary, PPI''s'!R76=".",IF(OR('Summary, hourly ad costs'!R76=-9999,'Summary, hourly ad costs'!R76=0), ".", 'Predicted PPIs'!B75*('Summary, hourly ad costs'!B76/'Summary, hourly ad costs'!R76)/('Summary, hourly ad costs'!B75/'Summary, hourly ad costs'!R75)), 'Summary, PPI''s'!R76))</f>
        <v>35.231289381604007</v>
      </c>
      <c r="C76" s="10" t="str">
        <f>IF(C75=".", ".", IF('Summary, PPI''s'!S76=".",IF(OR('Summary, hourly ad costs'!S76=-9999,'Summary, hourly ad costs'!S76=0), ".", 'Predicted PPIs'!C75*('Summary, hourly ad costs'!C76/'Summary, hourly ad costs'!S76)/('Summary, hourly ad costs'!C75/'Summary, hourly ad costs'!S75)), 'Summary, PPI''s'!S76))</f>
        <v>.</v>
      </c>
      <c r="D76" s="10" t="str">
        <f>IF(D75=".", ".", IF('Summary, PPI''s'!T76=".",IF(OR('Summary, hourly ad costs'!T76=-9999,'Summary, hourly ad costs'!T76=0), ".", 'Predicted PPIs'!D75*('Summary, hourly ad costs'!D76/'Summary, hourly ad costs'!T76)/('Summary, hourly ad costs'!D75/'Summary, hourly ad costs'!T75)), 'Summary, PPI''s'!T76))</f>
        <v>.</v>
      </c>
      <c r="E76" s="10">
        <f>IF(E75=".", ".", IF('Summary, PPI''s'!U76=".",IF(OR('Summary, hourly ad costs'!U76=-9999,'Summary, hourly ad costs'!U76=0), ".", 'Predicted PPIs'!E75*('Summary, hourly ad costs'!E76/'Summary, hourly ad costs'!U76)/('Summary, hourly ad costs'!E75/'Summary, hourly ad costs'!U75)), 'Summary, PPI''s'!U76))</f>
        <v>2.365351603690812</v>
      </c>
      <c r="F76" s="10">
        <f>IF(F75=".", ".", IF('Summary, PPI''s'!V76=".",IF(OR('Summary, hourly ad costs'!V76=-9999,'Summary, hourly ad costs'!V76=0), ".", 'Predicted PPIs'!F75*('Summary, hourly ad costs'!F76/'Summary, hourly ad costs'!V76)/('Summary, hourly ad costs'!F75/'Summary, hourly ad costs'!V75)), 'Summary, PPI''s'!V76))</f>
        <v>5.5768805403164388</v>
      </c>
      <c r="G76" s="10" t="str">
        <f>IF(G75=".", ".", IF('Summary, PPI''s'!W76=".",IF(OR('Summary, hourly ad costs'!W76=-9999,'Summary, hourly ad costs'!W76=0), ".", 'Predicted PPIs'!G75*('Summary, hourly ad costs'!G76/'Summary, hourly ad costs'!W76)/('Summary, hourly ad costs'!G75/'Summary, hourly ad costs'!W75)), 'Summary, PPI''s'!W76))</f>
        <v>.</v>
      </c>
      <c r="H76" s="10">
        <f>IF(H75=".", ".", IF('Summary, PPI''s'!X76=".",IF(OR('Summary, hourly ad costs'!X76=-9999,'Summary, hourly ad costs'!X76=0), ".", 'Predicted PPIs'!H75*('Summary, hourly ad costs'!H76/'Summary, hourly ad costs'!X76)/('Summary, hourly ad costs'!H75/'Summary, hourly ad costs'!X75)), 'Summary, PPI''s'!X76))</f>
        <v>2.8386764796720718</v>
      </c>
      <c r="I76" s="10">
        <f>IF(I75=".", ".", IF('Summary, PPI''s'!Y76=".",IF(OR('Summary, hourly ad costs'!Y76=-9999,'Summary, hourly ad costs'!Y76=0), ".", 'Predicted PPIs'!I75*('Summary, hourly ad costs'!I76/'Summary, hourly ad costs'!Y76)/('Summary, hourly ad costs'!I75/'Summary, hourly ad costs'!Y75)), 'Summary, PPI''s'!Y76))</f>
        <v>7.9724569612077572</v>
      </c>
      <c r="J76" s="10">
        <f>IF(J75=".", ".", IF('Summary, PPI''s'!Z76=".",IF(OR('Summary, hourly ad costs'!Z76=-9999,'Summary, hourly ad costs'!Z76=0), ".", 'Predicted PPIs'!J75*('Summary, hourly ad costs'!J76/'Summary, hourly ad costs'!Z76)/('Summary, hourly ad costs'!J75/'Summary, hourly ad costs'!Z75)), 'Summary, PPI''s'!Z76))</f>
        <v>7.2257603272282908E-2</v>
      </c>
      <c r="K76" s="10" t="str">
        <f>IF(K75=".", ".", IF('Summary, PPI''s'!AA76=".",IF(OR('Summary, hourly ad costs'!AA76=-9999,'Summary, hourly ad costs'!AA76=0), ".", 'Predicted PPIs'!K75*('Summary, hourly ad costs'!K76/'Summary, hourly ad costs'!AA76)/('Summary, hourly ad costs'!K75/'Summary, hourly ad costs'!AA75)), 'Summary, PPI''s'!AA76))</f>
        <v>.</v>
      </c>
      <c r="L76" s="10" t="str">
        <f>IF(L75=".", ".", IF('Summary, PPI''s'!AB76=".",IF(OR('Summary, hourly ad costs'!AB76=-9999,'Summary, hourly ad costs'!AB76=0), ".", 'Predicted PPIs'!L75*('Summary, hourly ad costs'!L76/'Summary, hourly ad costs'!AB76)/('Summary, hourly ad costs'!L75/'Summary, hourly ad costs'!AB75)), 'Summary, PPI''s'!AB76))</f>
        <v>.</v>
      </c>
      <c r="M76" s="10" t="str">
        <f>IF(M75=".", ".", IF('Summary, PPI''s'!AC76=".",IF(OR('Summary, hourly ad costs'!AC76=-9999,'Summary, hourly ad costs'!AC76=0), ".", 'Predicted PPIs'!M75*('Summary, hourly ad costs'!M76/'Summary, hourly ad costs'!AC76)/('Summary, hourly ad costs'!M75/'Summary, hourly ad costs'!AC75)), 'Summary, PPI''s'!AC76))</f>
        <v>.</v>
      </c>
      <c r="N76" s="10" t="str">
        <f>IF(N75=".", ".", IF('Summary, PPI''s'!AD76=".",IF(OR('Summary, hourly ad costs'!AD76=-9999,'Summary, hourly ad costs'!AD76=0), ".", 'Predicted PPIs'!N75*('Summary, hourly ad costs'!N76/'Summary, hourly ad costs'!AD76)/('Summary, hourly ad costs'!N75/'Summary, hourly ad costs'!AD75)), 'Summary, PPI''s'!AD76))</f>
        <v>.</v>
      </c>
      <c r="O76" s="10" t="str">
        <f>IF(O75=".", ".", IF('Summary, PPI''s'!AE76=".",IF(OR('Summary, hourly ad costs'!AE76=-9999,'Summary, hourly ad costs'!AE76=0), ".", 'Predicted PPIs'!O75*('Summary, hourly ad costs'!O76/'Summary, hourly ad costs'!AE76)/('Summary, hourly ad costs'!O75/'Summary, hourly ad costs'!AE75)), 'Summary, PPI''s'!AE76))</f>
        <v>.</v>
      </c>
      <c r="P76" s="10" t="str">
        <f>IF(P75=".", ".", IF('Summary, PPI''s'!AF76=".",IF(OR('Summary, hourly ad costs'!AF76=-9999,'Summary, hourly ad costs'!AF76=0), ".", 'Predicted PPIs'!P75*('Summary, hourly ad costs'!P76/'Summary, hourly ad costs'!AF76)/('Summary, hourly ad costs'!P75/'Summary, hourly ad costs'!AF75)), 'Summary, PPI''s'!AF76))</f>
        <v>.</v>
      </c>
      <c r="R76" s="1">
        <f>IF(E$26=".", 0, 'Summary, PPI''s'!E76)+IF(F$26=".", 0, 'Summary, PPI''s'!F76)+IF(G$26=".", 0, 'Summary, PPI''s'!G76)+IF(H$26=".", 0, 'Summary, PPI''s'!H76)+IF(I$26=".", 0, 'Summary, PPI''s'!I76)+IF(J$26=".", 0, 'Summary, PPI''s'!J76)+IF(K$26=".", 0, 'Summary, PPI''s'!K76)+IF(L$26=".", 0, 'Summary, PPI''s'!L76)+IF(M$26=".", 0, 'Summary, PPI''s'!M76)+IF(B$26=".", 0, 'Summary, PPI''s'!B76)+IF(C$26=".", 0, 'Summary, PPI''s'!C76)+IF(D$26=".", 0, 'Summary, PPI''s'!D76)+IF(N$26=".", 0, 'Summary, PPI''s'!N76)+IF(O$26=".", 0, 'Summary, PPI''s'!O76)+IF(P$26=".", 0, 'Summary, PPI''s'!P76)</f>
        <v>4699018.0997981047</v>
      </c>
      <c r="S76" s="1">
        <f>IF(E$36=".", 0, 'Summary, PPI''s'!E76)+IF(F$36=".", 0, 'Summary, PPI''s'!F76)+IF(G$36=".", 0, 'Summary, PPI''s'!G76)+IF(H$36=".", 0, 'Summary, PPI''s'!H76)+IF(I$36=".", 0, 'Summary, PPI''s'!I76)+IF(J$36=".", 0, 'Summary, PPI''s'!J76)+IF(K$36=".", 0, 'Summary, PPI''s'!K76)+IF(L$36=".", 0, 'Summary, PPI''s'!L76)+IF(M$36=".", 0, 'Summary, PPI''s'!M76)+IF(B$36=".", 0, 'Summary, PPI''s'!B76)+IF(C$36=".", 0, 'Summary, PPI''s'!C76)+IF(D$36=".", 0, 'Summary, PPI''s'!D76)+IF(N$36=".", 0, 'Summary, PPI''s'!N76)+IF(O$36=".", 0, 'Summary, PPI''s'!O76)+IF(P$36=".", 0, 'Summary, PPI''s'!P76)</f>
        <v>4699018.0997981047</v>
      </c>
      <c r="T76" s="1">
        <f>IF(E$46=".", 0, 'Summary, PPI''s'!E76)+IF(F$46=".", 0, 'Summary, PPI''s'!F76)+IF(G$46=".", 0, 'Summary, PPI''s'!G76)+IF(H$46=".", 0, 'Summary, PPI''s'!H76)+IF(I$46=".", 0, 'Summary, PPI''s'!I76)+IF(J$46=".", 0, 'Summary, PPI''s'!J76)+IF(K$46=".", 0, 'Summary, PPI''s'!K76)+IF(L$46=".", 0, 'Summary, PPI''s'!L76)+IF(M$46=".", 0, 'Summary, PPI''s'!M76)+IF(B$46=".", 0, 'Summary, PPI''s'!B76)+IF(C$46=".", 0, 'Summary, PPI''s'!C76)+IF(D$46=".", 0, 'Summary, PPI''s'!D76)+IF(N$46=".", 0, 'Summary, PPI''s'!N76)+IF(O$46=".", 0, 'Summary, PPI''s'!O76)+IF(P$46=".", 0, 'Summary, PPI''s'!P76)</f>
        <v>3590794.4747379017</v>
      </c>
      <c r="U76" s="1">
        <f>IF(E$60=".", 0, 'Summary, PPI''s'!E76)+IF(F$60=".", 0, 'Summary, PPI''s'!F76)+IF(G$60=".", 0, 'Summary, PPI''s'!G76)+IF(H$60=".", 0, 'Summary, PPI''s'!H76)+IF(I$60=".", 0, 'Summary, PPI''s'!I76)+IF(J$60=".", 0, 'Summary, PPI''s'!J76)+IF(K$60=".", 0, 'Summary, PPI''s'!K76)+IF(L$60=".", 0, 'Summary, PPI''s'!L76)+IF(M$60=".", 0, 'Summary, PPI''s'!M76)+IF(B$60=".", 0, 'Summary, PPI''s'!B76)+IF(C$60=".", 0, 'Summary, PPI''s'!C76)+IF(D$60=".", 0, 'Summary, PPI''s'!D76)+IF(N$60=".", 0, 'Summary, PPI''s'!N76)+IF(O$60=".", 0, 'Summary, PPI''s'!O76)+IF(P$60=".", 0, 'Summary, PPI''s'!P76)</f>
        <v>3269008.1310728369</v>
      </c>
      <c r="V76" s="1">
        <f>IF(E$73=".", 0, 'Summary, PPI''s'!E76)+IF(F$73=".", 0, 'Summary, PPI''s'!F76)+IF(G$73=".", 0, 'Summary, PPI''s'!G76)+IF(H$73=".", 0, 'Summary, PPI''s'!H76)+IF(I$73=".", 0, 'Summary, PPI''s'!I76)+IF(J$73=".", 0, 'Summary, PPI''s'!J76)+IF(K$73=".", 0, 'Summary, PPI''s'!K76)+IF(L$73=".", 0, 'Summary, PPI''s'!L76)+IF(M$73=".", 0, 'Summary, PPI''s'!M76)+IF(B$73=".", 0, 'Summary, PPI''s'!B76)+IF(C$73=".", 0, 'Summary, PPI''s'!C76)+IF(D$73=".", 0, 'Summary, PPI''s'!D76)+IF(N$73=".", 0, 'Summary, PPI''s'!N76)+IF(O$73=".", 0, 'Summary, PPI''s'!O76)+IF(P$73=".", 0, 'Summary, PPI''s'!P76)</f>
        <v>2809574.474505567</v>
      </c>
      <c r="W76" s="1">
        <f>IF(E$94=".",0,'Summary, PPI''s'!E76)+IF(F$94=".",0,'Summary, PPI''s'!F76)+IF(G$94=".",0,'Summary, PPI''s'!G76)+IF(H$94=".",0,'Summary, PPI''s'!H76)+IF(I$94=".",0,'Summary, PPI''s'!I76)+IF(J$94=".",0,'Summary, PPI''s'!J76)+IF(K$94=".",0,'Summary, PPI''s'!K76)+IF(L$94=".",0,'Summary, PPI''s'!L76)+IF(M$94=".",0,'Summary, PPI''s'!M76)+IF(B$94=".",0,'Summary, PPI''s'!B76)+IF(C$94=".",0,'Summary, PPI''s'!C76)+IF(D$94=".",0,'Summary, PPI''s'!D76)+IF(N$94=".",0,'Summary, PPI''s'!N76)+IF(O$94=".",0,'Summary, PPI''s'!O76)+IF(P$94=".",0,'Summary, PPI''s'!P76)</f>
        <v>2809357.5619085403</v>
      </c>
      <c r="X76" s="1">
        <f>IF(E$123=".", 0, 'Summary, PPI''s'!E76)+IF(F$123=".", 0, 'Summary, PPI''s'!F76)+IF(G$123=".", 0, 'Summary, PPI''s'!G76)+IF(H$123=".", 0, 'Summary, PPI''s'!H76)+IF(I$123=".", 0, 'Summary, PPI''s'!I76)+IF(J$123=".", 0, 'Summary, PPI''s'!J76)+IF(K$123=".", 0, 'Summary, PPI''s'!K76)+IF(L$123=".", 0, 'Summary, PPI''s'!L76)+IF(M$123=".", 0, 'Summary, PPI''s'!M76)+IF(B$123=".", 0, 'Summary, PPI''s'!B76)+IF(C$123=".", 0, 'Summary, PPI''s'!C76)+IF(D$123=".", 0, 'Summary, PPI''s'!D76)+IF(N$123=".", 0, 'Summary, PPI''s'!N76)+IF(O$123=".", 0, 'Summary, PPI''s'!O76)+IF(P$123=".", 0, 'Summary, PPI''s'!P76)</f>
        <v>2404826.1030019866</v>
      </c>
      <c r="Z76" s="4" t="e">
        <f>Z75*IF(E$26=".", 1, (E76/E75)^(('Summary, PPI''s'!$E76+'Summary, PPI''s'!$E75)/('Predicted PPIs'!R76+'Predicted PPIs'!R75)))*IF(F$26=".", 1, (F76/F75)^(('Summary, PPI''s'!$F76+'Summary, PPI''s'!$F75)/('Predicted PPIs'!R76+'Predicted PPIs'!R75)))*IF(G$26=".", 1, (G76/G75)^(('Summary, PPI''s'!$G76+'Summary, PPI''s'!$G75)/('Predicted PPIs'!R76+'Predicted PPIs'!R75)))*IF(H$26=".", 1, (H76/H75)^(('Summary, PPI''s'!$H76+'Summary, PPI''s'!$H75)/('Predicted PPIs'!R76+'Predicted PPIs'!R75)))*IF(I$26=".", 1, (I76/I75)^(('Summary, PPI''s'!$I76+'Summary, PPI''s'!$I75)/('Predicted PPIs'!R76+'Predicted PPIs'!R75)))*IF(J$26=".", 1, (J76/J75)^(('Summary, PPI''s'!$J76+'Summary, PPI''s'!$J75)/('Predicted PPIs'!R76+'Predicted PPIs'!R75)))*IF(K$26=".", 1, (K76/K75)^(('Summary, PPI''s'!$K76+'Summary, PPI''s'!$K75)/('Predicted PPIs'!R76+'Predicted PPIs'!R75)))*IF(L$26=".", 1, (L76/L75)^(('Summary, PPI''s'!$L76+'Summary, PPI''s'!$L75)/('Predicted PPIs'!R76+'Predicted PPIs'!R75)))*IF(M$26=".", 1, (M76/M75)^(('Summary, PPI''s'!$M76+'Summary, PPI''s'!$M75)/('Predicted PPIs'!R76+'Predicted PPIs'!R75)))*IF(B$26=".", 1, (B76/B75)^(('Summary, PPI''s'!$B76+'Summary, PPI''s'!$B75)/('Predicted PPIs'!R76+'Predicted PPIs'!R75)))*IF(C$26=".", 1, (C76/C75)^(('Summary, PPI''s'!$C76+'Summary, PPI''s'!$C75)/('Predicted PPIs'!R76+'Predicted PPIs'!R75)))*IF(D$26=".", 1, (D76/D75)^(('Summary, PPI''s'!$D76+'Summary, PPI''s'!$D75)/('Predicted PPIs'!R76+'Predicted PPIs'!R75)))*IF(N$26=".", 1, (N76/N75)^(('Summary, PPI''s'!$N76+'Summary, PPI''s'!$N75)/('Predicted PPIs'!R76+'Predicted PPIs'!R75)))*IF(O$26=".", 1, (O76/O75)^(('Summary, PPI''s'!$O76+'Summary, PPI''s'!$O75)/('Predicted PPIs'!R76+'Predicted PPIs'!R75)))*IF(P$26=".", 1, (P76/P75)^(('Summary, PPI''s'!$P76+'Summary, PPI''s'!$P75)/('Predicted PPIs'!R76+'Predicted PPIs'!R75)))</f>
        <v>#VALUE!</v>
      </c>
      <c r="AA76" s="4" t="e">
        <f>AA75*IF(E$36=".", 1, (E76/E75)^(('Summary, PPI''s'!$E76+'Summary, PPI''s'!$E75)/('Predicted PPIs'!S76+'Predicted PPIs'!S75)))*IF(F$36=".", 1, (F76/F75)^(('Summary, PPI''s'!$F76+'Summary, PPI''s'!$F75)/('Predicted PPIs'!S76+'Predicted PPIs'!S75)))*IF(G$36=".", 1, (G76/G75)^(('Summary, PPI''s'!$G76+'Summary, PPI''s'!$G75)/('Predicted PPIs'!S76+'Predicted PPIs'!S75)))*IF(H$36=".", 1, (H76/H75)^(('Summary, PPI''s'!$H76+'Summary, PPI''s'!$H75)/('Predicted PPIs'!S76+'Predicted PPIs'!S75)))*IF(I$36=".", 1, (I76/I75)^(('Summary, PPI''s'!$I76+'Summary, PPI''s'!$I75)/('Predicted PPIs'!S76+'Predicted PPIs'!S75)))*IF(J$36=".", 1, (J76/J75)^(('Summary, PPI''s'!$J76+'Summary, PPI''s'!$J75)/('Predicted PPIs'!S76+'Predicted PPIs'!S75)))*IF(K$36=".", 1, (K76/K75)^(('Summary, PPI''s'!$K76+'Summary, PPI''s'!$K75)/('Predicted PPIs'!S76+'Predicted PPIs'!S75)))*IF(L$36=".", 1, (L76/L75)^(('Summary, PPI''s'!$L76+'Summary, PPI''s'!$L75)/('Predicted PPIs'!S76+'Predicted PPIs'!S75)))*IF(M$36=".", 1, (M76/M75)^(('Summary, PPI''s'!$M76+'Summary, PPI''s'!$M75)/('Predicted PPIs'!S76+'Predicted PPIs'!S75)))*IF(B$36=".", 1, (B76/B75)^(('Summary, PPI''s'!$B76+'Summary, PPI''s'!$B75)/('Predicted PPIs'!S76+'Predicted PPIs'!S75)))*IF(C$36=".", 1, (C76/C75)^(('Summary, PPI''s'!$C76+'Summary, PPI''s'!$C75)/('Predicted PPIs'!S76+'Predicted PPIs'!S75)))*IF(D$36=".", 1, (D76/D75)^(('Summary, PPI''s'!$D76+'Summary, PPI''s'!$D75)/('Predicted PPIs'!S76+'Predicted PPIs'!S75)))*IF(N$36=".", 1, (N76/N75)^(('Summary, PPI''s'!$N76+'Summary, PPI''s'!$N75)/('Predicted PPIs'!S76+'Predicted PPIs'!S75)))*IF(O$36=".", 1, (O76/O75)^(('Summary, PPI''s'!$O76+'Summary, PPI''s'!$O75)/('Predicted PPIs'!S76+'Predicted PPIs'!S75)))*IF(P$36=".", 1, (P76/P75)^(('Summary, PPI''s'!$P76+'Summary, PPI''s'!$P75)/('Predicted PPIs'!S76+'Predicted PPIs'!S75)))</f>
        <v>#VALUE!</v>
      </c>
      <c r="AB76" s="4" t="e">
        <f>AB75*IF(E$46=".", 1, (E76/E75)^(('Summary, PPI''s'!$E76+'Summary, PPI''s'!$E75)/('Predicted PPIs'!T76+'Predicted PPIs'!T75)))*IF(F$46=".", 1, (F76/F75)^(('Summary, PPI''s'!$F76+'Summary, PPI''s'!$F75)/('Predicted PPIs'!T76+'Predicted PPIs'!T75)))*IF(G$46=".", 1, (G76/G75)^(('Summary, PPI''s'!$G76+'Summary, PPI''s'!$G75)/('Predicted PPIs'!T76+'Predicted PPIs'!T75)))*IF(H$46=".", 1, (H76/H75)^(('Summary, PPI''s'!$H76+'Summary, PPI''s'!$H75)/('Predicted PPIs'!T76+'Predicted PPIs'!T75)))*IF(I$46=".", 1, (I76/I75)^(('Summary, PPI''s'!$I76+'Summary, PPI''s'!$I75)/('Predicted PPIs'!T76+'Predicted PPIs'!T75)))*IF(J$46=".", 1, (J76/J75)^(('Summary, PPI''s'!$J76+'Summary, PPI''s'!$J75)/('Predicted PPIs'!T76+'Predicted PPIs'!T75)))*IF(K$46=".", 1, (K76/K75)^(('Summary, PPI''s'!$K76+'Summary, PPI''s'!$K75)/('Predicted PPIs'!T76+'Predicted PPIs'!T75)))*IF(L$46=".", 1, (L76/L75)^(('Summary, PPI''s'!$L76+'Summary, PPI''s'!$L75)/('Predicted PPIs'!T76+'Predicted PPIs'!T75)))*IF(M$46=".", 1, (M76/M75)^(('Summary, PPI''s'!$M76+'Summary, PPI''s'!$M75)/('Predicted PPIs'!T76+'Predicted PPIs'!T75)))*IF(B$46=".", 1, (B76/B75)^(('Summary, PPI''s'!$B76+'Summary, PPI''s'!$B75)/('Predicted PPIs'!T76+'Predicted PPIs'!T75)))*IF(C$46=".", 1, (C76/C75)^(('Summary, PPI''s'!$C76+'Summary, PPI''s'!$C75)/('Predicted PPIs'!T76+'Predicted PPIs'!T75)))*IF(D$46=".", 1, (D76/D75)^(('Summary, PPI''s'!$D76+'Summary, PPI''s'!$D75)/('Predicted PPIs'!T76+'Predicted PPIs'!T75)))*IF(N$46=".", 1, (N76/N75)^(('Summary, PPI''s'!$N76+'Summary, PPI''s'!$N75)/('Predicted PPIs'!T76+'Predicted PPIs'!T75)))*IF(O$46=".", 1, (O76/O75)^(('Summary, PPI''s'!$O76+'Summary, PPI''s'!$O75)/('Predicted PPIs'!T76+'Predicted PPIs'!T75)))*IF(P$46=".", 1, (P76/P75)^(('Summary, PPI''s'!$P76+'Summary, PPI''s'!$P75)/('Predicted PPIs'!T76+'Predicted PPIs'!T75)))</f>
        <v>#VALUE!</v>
      </c>
      <c r="AC76" s="4" t="e">
        <f>AC75*IF(E$60=".",1,(E76/E75)^(('Summary, PPI''s'!$E76+'Summary, PPI''s'!$E75)/('Predicted PPIs'!U76+'Predicted PPIs'!U75)))*IF(F$60=".",1,(F76/F75)^(('Summary, PPI''s'!$F76+'Summary, PPI''s'!$F75)/('Predicted PPIs'!U76+'Predicted PPIs'!U75)))*IF(G$60=".",1,(G76/G75)^(('Summary, PPI''s'!$G76+'Summary, PPI''s'!$G75)/('Predicted PPIs'!U76+'Predicted PPIs'!U75)))*IF(H$60=".",1,(H76/H75)^(('Summary, PPI''s'!$H76+'Summary, PPI''s'!$H75)/('Predicted PPIs'!U76+'Predicted PPIs'!U75)))*IF(I$60=".",1,(I76/I75)^(('Summary, PPI''s'!$I76+'Summary, PPI''s'!$I75)/('Predicted PPIs'!U76+'Predicted PPIs'!U75)))*IF(J$60=".",1,(J76/J75)^(('Summary, PPI''s'!$J76+'Summary, PPI''s'!$J75)/('Predicted PPIs'!U76+'Predicted PPIs'!U75)))*IF(K$60=".",1,(K76/K75)^(('Summary, PPI''s'!$K76+'Summary, PPI''s'!$K75)/('Predicted PPIs'!U76+'Predicted PPIs'!U75)))*IF(L$60=".",1,(L76/L75)^(('Summary, PPI''s'!$L76+'Summary, PPI''s'!$L75)/('Predicted PPIs'!U76+'Predicted PPIs'!U75)))*IF(M$60=".",1,(M76/M75)^(('Summary, PPI''s'!$M76+'Summary, PPI''s'!$M75)/('Predicted PPIs'!U76+'Predicted PPIs'!U75)))*IF(B$60=".",1,(B76/B75)^(('Summary, PPI''s'!$B76+'Summary, PPI''s'!$B75)/('Predicted PPIs'!U76+'Predicted PPIs'!U75)))*IF(C$60=".",1,(C76/C75)^(('Summary, PPI''s'!$C76+'Summary, PPI''s'!$C75)/('Predicted PPIs'!U76+'Predicted PPIs'!U75)))*IF(D$60=".",1,(D76/D75)^(('Summary, PPI''s'!$D76+'Summary, PPI''s'!$D75)/('Predicted PPIs'!U76+'Predicted PPIs'!U75)))*IF(N$60=".",1,(N76/N75)^(('Summary, PPI''s'!$N76+'Summary, PPI''s'!$N75)/('Predicted PPIs'!U76+'Predicted PPIs'!U75)))*IF(O$60=".",1,(O76/O75)^(('Summary, PPI''s'!$O76+'Summary, PPI''s'!$O75)/('Predicted PPIs'!U76+'Predicted PPIs'!U75)))*IF(P$60=".",1,(P76/P75)^(('Summary, PPI''s'!$P76+'Summary, PPI''s'!$P75)/('Predicted PPIs'!U76+'Predicted PPIs'!U75)))</f>
        <v>#VALUE!</v>
      </c>
      <c r="AD76" s="4">
        <f>AD75*IF(E$73=".", 1, (E76/E75)^(('Summary, PPI''s'!$E76+'Summary, PPI''s'!$E75)/('Predicted PPIs'!V76+'Predicted PPIs'!V75)))*IF(F$73=".", 1, (F76/F75)^(('Summary, PPI''s'!$F76+'Summary, PPI''s'!$F75)/('Predicted PPIs'!V76+'Predicted PPIs'!V75)))*IF(G$73=".", 1, (G76/G75)^(('Summary, PPI''s'!$G76+'Summary, PPI''s'!$G75)/('Predicted PPIs'!V76+'Predicted PPIs'!V75)))*IF(H$73=".", 1, (H76/H75)^(('Summary, PPI''s'!$H76+'Summary, PPI''s'!$H75)/('Predicted PPIs'!V76+'Predicted PPIs'!V75)))*IF(I$73=".", 1, (I76/I75)^(('Summary, PPI''s'!$I76+'Summary, PPI''s'!$I75)/('Predicted PPIs'!V76+'Predicted PPIs'!V75)))*IF(J$73=".", 1, (J76/J75)^(('Summary, PPI''s'!$J76+'Summary, PPI''s'!$J75)/('Predicted PPIs'!V76+'Predicted PPIs'!V75)))*IF(K$73=".", 1, (K76/K75)^(('Summary, PPI''s'!$K76+'Summary, PPI''s'!$K75)/('Predicted PPIs'!V76+'Predicted PPIs'!V75)))*IF(L$73=".", 1, (L76/L75)^(('Summary, PPI''s'!$L76+'Summary, PPI''s'!$L75)/('Predicted PPIs'!V76+'Predicted PPIs'!V75)))*IF(M$73=".", 1, (M76/M75)^(('Summary, PPI''s'!$M76+'Summary, PPI''s'!$M75)/('Predicted PPIs'!V76+'Predicted PPIs'!V75)))*IF(B$73=".", 1, (B76/B75)^(('Summary, PPI''s'!$B76+'Summary, PPI''s'!$B75)/('Predicted PPIs'!V76+'Predicted PPIs'!V75)))*IF(C$73=".", 1, (C76/C75)^(('Summary, PPI''s'!$C76+'Summary, PPI''s'!$C75)/('Predicted PPIs'!V76+'Predicted PPIs'!V75)))*IF(D$73=".", 1, (D76/D75)^(('Summary, PPI''s'!$D76+'Summary, PPI''s'!$D75)/('Predicted PPIs'!V76+'Predicted PPIs'!V75)))*IF(N$73=".", 1, (N76/N75)^(('Summary, PPI''s'!$N76+'Summary, PPI''s'!$N75)/('Predicted PPIs'!V76+'Predicted PPIs'!V75)))*IF(O$73=".", 1, (O76/O75)^(('Summary, PPI''s'!$O76+'Summary, PPI''s'!$O75)/('Predicted PPIs'!V76+'Predicted PPIs'!V75)))*IF(P$73=".", 1, (P76/P75)^(('Summary, PPI''s'!$P76+'Summary, PPI''s'!$P75)/('Predicted PPIs'!V76+'Predicted PPIs'!V75)))</f>
        <v>5.5482790684659564</v>
      </c>
      <c r="AE76" s="4">
        <f>AE75*IF(E$94=".", 1, (E76/E75)^(('Summary, PPI''s'!$E76+'Summary, PPI''s'!$E75)/('Predicted PPIs'!W76+'Predicted PPIs'!W75)))*IF(F$94=".", 1, (F76/F75)^(('Summary, PPI''s'!$F76+'Summary, PPI''s'!$F75)/('Predicted PPIs'!W76+'Predicted PPIs'!W75)))*IF(G$94=".", 1, (G76/G75)^(('Summary, PPI''s'!$G76+'Summary, PPI''s'!$G75)/('Predicted PPIs'!W76+'Predicted PPIs'!W75)))*IF(H$94=".", 1, (H76/H75)^(('Summary, PPI''s'!$H76+'Summary, PPI''s'!$H75)/('Predicted PPIs'!W76+'Predicted PPIs'!W75)))*IF(I$94=".", 1, (I76/I75)^(('Summary, PPI''s'!$I76+'Summary, PPI''s'!$I75)/('Predicted PPIs'!W76+'Predicted PPIs'!W75)))*IF(J$94=".", 1, (J76/J75)^(('Summary, PPI''s'!$J76+'Summary, PPI''s'!$J75)/('Predicted PPIs'!W76+'Predicted PPIs'!W75)))*IF(K$94=".", 1, (K76/K75)^(('Summary, PPI''s'!$K76+'Summary, PPI''s'!$K75)/('Predicted PPIs'!W76+'Predicted PPIs'!W75)))*IF(L$94=".", 1, (L76/L75)^(('Summary, PPI''s'!$L76+'Summary, PPI''s'!$L75)/('Predicted PPIs'!W76+'Predicted PPIs'!W75)))*IF(M$94=".", 1, (M76/M75)^(('Summary, PPI''s'!$M76+'Summary, PPI''s'!$M75)/('Predicted PPIs'!W76+'Predicted PPIs'!W75)))*IF(B$94=".", 1, (B76/B75)^(('Summary, PPI''s'!$B76+'Summary, PPI''s'!$B75)/('Predicted PPIs'!W76+'Predicted PPIs'!W75)))*IF(C$94=".", 1, (C76/C75)^(('Summary, PPI''s'!$C76+'Summary, PPI''s'!$C75)/('Predicted PPIs'!W76+'Predicted PPIs'!W75)))*IF(D$94=".", 1, (D76/D75)^(('Summary, PPI''s'!$D76+'Summary, PPI''s'!$D75)/('Predicted PPIs'!W76+'Predicted PPIs'!W75)))*IF(N$94=".", 1, (N76/N75)^(('Summary, PPI''s'!$N76+'Summary, PPI''s'!$N75)/('Predicted PPIs'!W76+'Predicted PPIs'!W75)))*IF(O$94=".", 1, (O76/O75)^(('Summary, PPI''s'!$O76+'Summary, PPI''s'!$O75)/('Predicted PPIs'!W76+'Predicted PPIs'!W75)))*IF(P$94=".", 1, (P76/P75)^(('Summary, PPI''s'!$P76+'Summary, PPI''s'!$P75)/('Predicted PPIs'!W76+'Predicted PPIs'!W75)))</f>
        <v>4.8623903617860247</v>
      </c>
      <c r="AF76" s="4">
        <f>AF75*IF(E$123=".", 1, (E76/E75)^(('Summary, PPI''s'!$E76+'Summary, PPI''s'!$E75)/('Predicted PPIs'!X76+'Predicted PPIs'!X75)))*IF(F$123=".", 1, (F76/F75)^(('Summary, PPI''s'!$F76+'Summary, PPI''s'!$F75)/('Predicted PPIs'!X76+'Predicted PPIs'!X75)))*IF(G$123=".", 1, (G76/G75)^(('Summary, PPI''s'!$G76+'Summary, PPI''s'!$G75)/('Predicted PPIs'!X76+'Predicted PPIs'!X75)))*IF(H$123=".", 1, (H76/H75)^(('Summary, PPI''s'!$H76+'Summary, PPI''s'!$H75)/('Predicted PPIs'!X76+'Predicted PPIs'!X75)))*IF(I$123=".", 1, (I76/I75)^(('Summary, PPI''s'!$I76+'Summary, PPI''s'!$I75)/('Predicted PPIs'!X76+'Predicted PPIs'!X75)))*IF(J$123=".", 1, (J76/J75)^(('Summary, PPI''s'!$J76+'Summary, PPI''s'!$J75)/('Predicted PPIs'!X76+'Predicted PPIs'!X75)))*IF(K$123=".", 1, (K76/K75)^(('Summary, PPI''s'!$K76+'Summary, PPI''s'!$K75)/('Predicted PPIs'!X76+'Predicted PPIs'!X75)))*IF(L$123=".", 1, (L76/L75)^(('Summary, PPI''s'!$L76+'Summary, PPI''s'!$L75)/('Predicted PPIs'!X76+'Predicted PPIs'!X75)))*IF(M$123=".", 1, (M76/M75)^(('Summary, PPI''s'!$M76+'Summary, PPI''s'!$M75)/('Predicted PPIs'!X76+'Predicted PPIs'!X75)))*IF(B$123=".", 1, (B76/B75)^(('Summary, PPI''s'!$B76+'Summary, PPI''s'!$B75)/('Predicted PPIs'!X76+'Predicted PPIs'!X75)))*IF(C$123=".", 1, (C76/C75)^(('Summary, PPI''s'!$C76+'Summary, PPI''s'!$C75)/('Predicted PPIs'!X76+'Predicted PPIs'!X75)))*IF(D$123=".", 1, (D76/D75)^(('Summary, PPI''s'!$D76+'Summary, PPI''s'!$D75)/('Predicted PPIs'!X76+'Predicted PPIs'!X75)))*IF(N$123=".", 1, (N76/N75)^(('Summary, PPI''s'!$N76+'Summary, PPI''s'!$N75)/('Predicted PPIs'!X76+'Predicted PPIs'!X75)))*IF(O$123=".", 1, (O76/O75)^(('Summary, PPI''s'!$O76+'Summary, PPI''s'!$O75)/('Predicted PPIs'!X76+'Predicted PPIs'!X75)))*IF(P$123=".", 1, (P76/P75)^(('Summary, PPI''s'!$P76+'Summary, PPI''s'!$P75)/('Predicted PPIs'!X76+'Predicted PPIs'!X75)))</f>
        <v>4.3141859560618236</v>
      </c>
      <c r="AH76" s="13">
        <f t="shared" si="152"/>
        <v>6.6494726326231515</v>
      </c>
      <c r="AJ76" s="4">
        <v>161.9</v>
      </c>
      <c r="AK76" s="4">
        <v>-2.7650000000000001</v>
      </c>
      <c r="AL76" s="4">
        <v>-8.4559999999999995</v>
      </c>
      <c r="AM76" s="4">
        <v>-1.4470000000000001</v>
      </c>
      <c r="AN76" s="4">
        <v>215.9</v>
      </c>
      <c r="AO76" s="4">
        <v>37.4</v>
      </c>
      <c r="AP76" s="4">
        <f>('[4]1947'!$I$14+'[4]1947'!$I$51+'[4]1947'!$I$53-'[4]1947'!$I$55)*0.001</f>
        <v>-3.46</v>
      </c>
      <c r="AQ76" s="4">
        <f>('[4]1947'!$AK$42+'[4]1947'!$AK$51+'[4]1947'!$AK$53-'[4]1947'!$AK$55)*0.001</f>
        <v>-6.5410000000000004</v>
      </c>
      <c r="AR76" s="4">
        <f t="shared" si="148"/>
        <v>-1.637026631955608E-3</v>
      </c>
      <c r="AS76" s="4">
        <v>-0.96799999999999997</v>
      </c>
      <c r="AT76" s="4">
        <v>12.492000000000001</v>
      </c>
      <c r="AU76" s="4">
        <v>26.173999999999999</v>
      </c>
      <c r="AV76" s="4">
        <v>9.5719999999999992</v>
      </c>
      <c r="AW76" s="4">
        <v>10.118</v>
      </c>
      <c r="AX76" s="4">
        <v>11.898999999999999</v>
      </c>
      <c r="AY76" s="4">
        <v>16.283000000000001</v>
      </c>
      <c r="AZ76" s="4">
        <v>5.968</v>
      </c>
      <c r="BA76" s="4">
        <v>14.401999999999999</v>
      </c>
      <c r="BB76" s="4">
        <f t="shared" si="150"/>
        <v>82.375889891796945</v>
      </c>
      <c r="BC76" s="4">
        <v>11.965999999999999</v>
      </c>
      <c r="BG76" s="4">
        <f t="shared" si="50"/>
        <v>13.229216575330355</v>
      </c>
      <c r="BI76" s="4">
        <f>BI$13*'[2]Ordinary Experience'!$D$350/'[2]Ordinary Experience'!$D$413</f>
        <v>145004801.56202954</v>
      </c>
      <c r="BJ76" s="4">
        <f>'[2]Ordinary Experience'!$E$350</f>
        <v>26.315316552411691</v>
      </c>
      <c r="BL76" s="4">
        <f t="shared" si="151"/>
        <v>31.239944183449051</v>
      </c>
      <c r="BM76" s="4">
        <f t="shared" si="153"/>
        <v>1.7292800986839607E-2</v>
      </c>
      <c r="BO76" s="4" t="str">
        <f>IF(OR('Summary, hourly ad costs'!R76=-9999,'Summary, PPI''s'!R76="."),".",(('Summary, hourly ad costs'!B76/'Summary, hourly ad costs'!R76)*100/('Summary, hourly ad costs'!B$11/'Summary, hourly ad costs'!R$11))/('Summary, PPI''s'!R76))</f>
        <v>.</v>
      </c>
      <c r="BP76" s="4" t="str">
        <f>IF(OR('Summary, hourly ad costs'!S76=-9999,'Summary, PPI''s'!S76="."),".",(('Summary, hourly ad costs'!C76/'Summary, hourly ad costs'!S76)*100/('Summary, hourly ad costs'!C$11/'Summary, hourly ad costs'!S$11))/('Summary, PPI''s'!S76))</f>
        <v>.</v>
      </c>
      <c r="BQ76" s="4" t="str">
        <f>IF(OR('Summary, hourly ad costs'!T76=-9999,'Summary, PPI''s'!T76="."),".",(('Summary, hourly ad costs'!D76/'Summary, hourly ad costs'!T76)*100/('Summary, hourly ad costs'!D$11/'Summary, hourly ad costs'!T$11))/('Summary, PPI''s'!T76))</f>
        <v>.</v>
      </c>
      <c r="BR76" s="4" t="str">
        <f>IF(OR('Summary, hourly ad costs'!U76=-9999,'Summary, PPI''s'!U76="."),".",(('Summary, hourly ad costs'!E76/'Summary, hourly ad costs'!U76)*100/('Summary, hourly ad costs'!E$11/'Summary, hourly ad costs'!U$11))/('Summary, PPI''s'!U76))</f>
        <v>.</v>
      </c>
      <c r="BS76" s="4" t="str">
        <f>IF(OR('Summary, hourly ad costs'!V76=-9999,'Summary, PPI''s'!V76="."),".",(('Summary, hourly ad costs'!F76/'Summary, hourly ad costs'!V76)*100/('Summary, hourly ad costs'!F$11/'Summary, hourly ad costs'!V$11))/('Summary, PPI''s'!V76))</f>
        <v>.</v>
      </c>
      <c r="BT76" s="4" t="str">
        <f>IF(OR('Summary, hourly ad costs'!W76=-9999,'Summary, PPI''s'!W76="."),".",(('Summary, hourly ad costs'!G76/'Summary, hourly ad costs'!W76)*100/('Summary, hourly ad costs'!G$11/'Summary, hourly ad costs'!W$11))/('Summary, PPI''s'!W76))</f>
        <v>.</v>
      </c>
      <c r="BU76" s="4" t="str">
        <f>IF(OR('Summary, hourly ad costs'!X76=-9999,'Summary, PPI''s'!X76="."),".",(('Summary, hourly ad costs'!H76/'Summary, hourly ad costs'!X76)*100/('Summary, hourly ad costs'!H$11/'Summary, hourly ad costs'!X$11))/('Summary, PPI''s'!X76))</f>
        <v>.</v>
      </c>
      <c r="BV76" s="4" t="str">
        <f>IF(OR('Summary, hourly ad costs'!Y76=-9999,'Summary, PPI''s'!Y76="."),".",(('Summary, hourly ad costs'!I76/'Summary, hourly ad costs'!Y76)*100/('Summary, hourly ad costs'!I$11/'Summary, hourly ad costs'!Y$11))/('Summary, PPI''s'!Y76))</f>
        <v>.</v>
      </c>
      <c r="BW76" s="4" t="str">
        <f>IF(OR('Summary, hourly ad costs'!Z76=-9999,'Summary, PPI''s'!Z76="."),".",(('Summary, hourly ad costs'!J76/'Summary, hourly ad costs'!Z76)*100/('Summary, hourly ad costs'!J$11/'Summary, hourly ad costs'!Z$11))/('Summary, PPI''s'!Z76))</f>
        <v>.</v>
      </c>
      <c r="BX76" s="4" t="str">
        <f>IF(OR('Summary, hourly ad costs'!AA76=-9999,'Summary, PPI''s'!AA76="."),".",(('Summary, hourly ad costs'!K76/'Summary, hourly ad costs'!AA76)*100/('Summary, hourly ad costs'!K$11/'Summary, hourly ad costs'!AA$11))/('Summary, PPI''s'!AA76))</f>
        <v>.</v>
      </c>
      <c r="BY76" s="4" t="str">
        <f>IF(OR('Summary, hourly ad costs'!AB76=-9999,'Summary, PPI''s'!AB76="."),".",(('Summary, hourly ad costs'!L76/'Summary, hourly ad costs'!AB76)*100/('Summary, hourly ad costs'!L$11/'Summary, hourly ad costs'!AB$11))/('Summary, PPI''s'!AB76))</f>
        <v>.</v>
      </c>
      <c r="BZ76" s="4" t="str">
        <f>IF(OR('Summary, hourly ad costs'!AC76=-9999,'Summary, PPI''s'!AC76="."),".",(('Summary, hourly ad costs'!M76/'Summary, hourly ad costs'!AC76)*100/('Summary, hourly ad costs'!M$11/'Summary, hourly ad costs'!AC$11))/('Summary, PPI''s'!AC76))</f>
        <v>.</v>
      </c>
      <c r="CA76" s="4" t="str">
        <f>IF(OR('Summary, hourly ad costs'!AD76=-9999,'Summary, PPI''s'!AD76="."),".",(('Summary, hourly ad costs'!N76/'Summary, hourly ad costs'!AD76)*100/('Summary, hourly ad costs'!N$11/'Summary, hourly ad costs'!AD$11))/('Summary, PPI''s'!AD76))</f>
        <v>.</v>
      </c>
      <c r="CB76" s="4" t="str">
        <f>IF(OR('Summary, hourly ad costs'!AE76=-9999,'Summary, PPI''s'!AE76="."),".",(('Summary, hourly ad costs'!O76/'Summary, hourly ad costs'!AE76)*100/('Summary, hourly ad costs'!O$11/'Summary, hourly ad costs'!AE$11))/('Summary, PPI''s'!AE76))</f>
        <v>.</v>
      </c>
      <c r="CC76" s="4" t="str">
        <f>IF(OR('Summary, hourly ad costs'!AF76=-9999,'Summary, PPI''s'!AF76="."),".",(('Summary, hourly ad costs'!P76/'Summary, hourly ad costs'!AF76)*100/('Summary, hourly ad costs'!P$11/'Summary, hourly ad costs'!AF$11))/('Summary, PPI''s'!AF76))</f>
        <v>.</v>
      </c>
      <c r="CE76" s="4">
        <f t="shared" si="134"/>
        <v>-1.5554741425586001E-2</v>
      </c>
      <c r="CF76" s="4" t="str">
        <f t="shared" si="135"/>
        <v>.</v>
      </c>
      <c r="CG76" s="4" t="str">
        <f t="shared" si="136"/>
        <v>.</v>
      </c>
      <c r="CH76" s="4">
        <f t="shared" si="145"/>
        <v>1.1262588373033497E-3</v>
      </c>
      <c r="CI76" s="4">
        <f t="shared" si="145"/>
        <v>2.9832174698600118E-3</v>
      </c>
      <c r="CJ76" s="4" t="str">
        <f t="shared" si="147"/>
        <v>.</v>
      </c>
      <c r="CK76" s="4">
        <f t="shared" si="149"/>
        <v>3.5589903854494334E-3</v>
      </c>
      <c r="CL76" s="4">
        <f t="shared" si="130"/>
        <v>1.8056986179781562E-3</v>
      </c>
      <c r="CM76" s="4">
        <f t="shared" si="130"/>
        <v>1.7083489469630887E-2</v>
      </c>
      <c r="CN76" s="4">
        <f t="shared" si="89"/>
        <v>-1.2573070103536626E-2</v>
      </c>
      <c r="CO76" s="4">
        <f t="shared" si="120"/>
        <v>0.10776468181534167</v>
      </c>
      <c r="CP76" s="4">
        <f t="shared" si="120"/>
        <v>0.14509945816438496</v>
      </c>
      <c r="CQ76" s="4" t="str">
        <f t="shared" si="110"/>
        <v>.</v>
      </c>
      <c r="CR76" s="4" t="str">
        <f t="shared" si="111"/>
        <v>.</v>
      </c>
      <c r="CS76" s="4" t="str">
        <f t="shared" si="112"/>
        <v>.</v>
      </c>
      <c r="CU76" s="5">
        <f>IF(CU75=".", ".", IF('Summary, PPI''s'!R76=".",IF(OR('Summary, hourly ad costs'!R76=-9999,'Summary, hourly ad costs'!R76=0), ".", 'Predicted PPIs'!CU75*('Summary, hourly ad costs'!B76/'Summary, hourly ad costs'!R76)/('Summary, hourly ad costs'!B75/'Summary, hourly ad costs'!R75)/(1-CE75)), 'Summary, PPI''s'!R76))</f>
        <v>29.075832889317176</v>
      </c>
      <c r="CV76" s="5" t="str">
        <f>IF(CV75=".", ".", IF('Summary, PPI''s'!S76=".",IF(OR('Summary, hourly ad costs'!S76=-9999,'Summary, hourly ad costs'!S76=0), ".", 'Predicted PPIs'!CV75*('Summary, hourly ad costs'!C76/'Summary, hourly ad costs'!S76)/('Summary, hourly ad costs'!C75/'Summary, hourly ad costs'!S75)/(1-CF75)), 'Summary, PPI''s'!S76))</f>
        <v>.</v>
      </c>
      <c r="CW76" s="5" t="str">
        <f>IF(CW75=".", ".", IF('Summary, PPI''s'!T76=".",IF(OR('Summary, hourly ad costs'!T76=-9999,'Summary, hourly ad costs'!T76=0), ".", 'Predicted PPIs'!CW75*('Summary, hourly ad costs'!D76/'Summary, hourly ad costs'!T76)/('Summary, hourly ad costs'!D75/'Summary, hourly ad costs'!T75)/(1-CG75)), 'Summary, PPI''s'!T76))</f>
        <v>.</v>
      </c>
      <c r="CX76" s="5">
        <f>IF(CX75=".", ".", IF('Summary, PPI''s'!U76=".",IF(OR('Summary, hourly ad costs'!U76=-9999,'Summary, hourly ad costs'!U76=0), ".", 'Predicted PPIs'!CX75*('Summary, hourly ad costs'!E76/'Summary, hourly ad costs'!U76)/('Summary, hourly ad costs'!E75/'Summary, hourly ad costs'!U75)/(1-CH75)), 'Summary, PPI''s'!U76))</f>
        <v>2.6138113600734854</v>
      </c>
      <c r="CY76" s="5">
        <f>IF(CY75=".", ".", IF('Summary, PPI''s'!V76=".",IF(OR('Summary, hourly ad costs'!V76=-9999,'Summary, hourly ad costs'!V76=0), ".", 'Predicted PPIs'!CY75*('Summary, hourly ad costs'!F76/'Summary, hourly ad costs'!V76)/('Summary, hourly ad costs'!F75/'Summary, hourly ad costs'!V75)/(1-CI75)), 'Summary, PPI''s'!V76))</f>
        <v>6.4412352411295553</v>
      </c>
      <c r="CZ76" s="5" t="str">
        <f>IF(CZ75=".", ".", IF('Summary, PPI''s'!W76=".",IF(OR('Summary, hourly ad costs'!W76=-9999,'Summary, hourly ad costs'!W76=0), ".", 'Predicted PPIs'!CZ75*('Summary, hourly ad costs'!G76/'Summary, hourly ad costs'!W76)/('Summary, hourly ad costs'!G75/'Summary, hourly ad costs'!W75)/(1-CJ75)), 'Summary, PPI''s'!W76))</f>
        <v>.</v>
      </c>
      <c r="DA76" s="5">
        <f>IF(DA75=".", ".", IF('Summary, PPI''s'!X76=".",IF(OR('Summary, hourly ad costs'!X76=-9999,'Summary, hourly ad costs'!X76=0), ".", 'Predicted PPIs'!DA75*('Summary, hourly ad costs'!H76/'Summary, hourly ad costs'!X76)/('Summary, hourly ad costs'!H75/'Summary, hourly ad costs'!X75)/(1-CK75)), 'Summary, PPI''s'!X76))</f>
        <v>2.9537183470417667</v>
      </c>
      <c r="DB76" s="5">
        <f>IF(DB75=".", ".", IF('Summary, PPI''s'!Y76=".",IF(OR('Summary, hourly ad costs'!Y76=-9999,'Summary, hourly ad costs'!Y76=0), ".", 'Predicted PPIs'!DB75*('Summary, hourly ad costs'!I76/'Summary, hourly ad costs'!Y76)/('Summary, hourly ad costs'!I75/'Summary, hourly ad costs'!Y75)/(1-CL75)), 'Summary, PPI''s'!Y76))</f>
        <v>9.8441787484342171</v>
      </c>
      <c r="DC76" s="5" t="s">
        <v>5</v>
      </c>
      <c r="DD76" s="5" t="str">
        <f>IF(DD75=".", ".", IF('Summary, PPI''s'!AA76=".",IF(OR('Summary, hourly ad costs'!AA76=-9999,'Summary, hourly ad costs'!AA76=0), ".", 'Predicted PPIs'!DD75*('Summary, hourly ad costs'!K76/'Summary, hourly ad costs'!AA76)/('Summary, hourly ad costs'!K75/'Summary, hourly ad costs'!AA75)/(1-CN75)), 'Summary, PPI''s'!AA76))</f>
        <v>.</v>
      </c>
      <c r="DE76" s="5" t="str">
        <f>IF(DE75=".", ".", IF('Summary, PPI''s'!AB76=".",IF(OR('Summary, hourly ad costs'!AB76=-9999,'Summary, hourly ad costs'!AB76=0), ".", 'Predicted PPIs'!DE75*('Summary, hourly ad costs'!L76/'Summary, hourly ad costs'!AB76)/('Summary, hourly ad costs'!L75/'Summary, hourly ad costs'!AB75)/(1-CO75)), 'Summary, PPI''s'!AB76))</f>
        <v>.</v>
      </c>
      <c r="DF76" s="5" t="str">
        <f>IF(DF75=".", ".", IF('Summary, PPI''s'!AC76=".",IF(OR('Summary, hourly ad costs'!AC76=-9999,'Summary, hourly ad costs'!AC76=0), ".", 'Predicted PPIs'!DF75*('Summary, hourly ad costs'!M76/'Summary, hourly ad costs'!AC76)/('Summary, hourly ad costs'!M75/'Summary, hourly ad costs'!AC75)/(1-CP75)), 'Summary, PPI''s'!AC76))</f>
        <v>.</v>
      </c>
      <c r="DG76" s="5" t="str">
        <f>IF(DG75=".", ".", IF('Summary, PPI''s'!AD76=".",IF(OR('Summary, hourly ad costs'!AD76=-9999,'Summary, hourly ad costs'!AD76=0), ".", 'Predicted PPIs'!DG75*('Summary, hourly ad costs'!N76/'Summary, hourly ad costs'!AD76)/('Summary, hourly ad costs'!N75/'Summary, hourly ad costs'!AD75)/(1-CQ75)), 'Summary, PPI''s'!AD76))</f>
        <v>.</v>
      </c>
      <c r="DH76" s="5" t="str">
        <f>IF(DH75=".", ".", IF('Summary, PPI''s'!AE76=".",IF(OR('Summary, hourly ad costs'!AE76=-9999,'Summary, hourly ad costs'!AE76=0), ".", 'Predicted PPIs'!DH75*('Summary, hourly ad costs'!O76/'Summary, hourly ad costs'!AE76)/('Summary, hourly ad costs'!O75/'Summary, hourly ad costs'!AE75)/(1-CR75)), 'Summary, PPI''s'!AE76))</f>
        <v>.</v>
      </c>
      <c r="DI76" s="5" t="str">
        <f>IF(DI75=".", ".", IF('Summary, PPI''s'!AF76=".",IF(OR('Summary, hourly ad costs'!AF76=-9999,'Summary, hourly ad costs'!AF76=0), ".", 'Predicted PPIs'!DI75*('Summary, hourly ad costs'!P76/'Summary, hourly ad costs'!AF76)/('Summary, hourly ad costs'!P75/'Summary, hourly ad costs'!AF75)/(1-CS75)), 'Summary, PPI''s'!AF76))</f>
        <v>.</v>
      </c>
      <c r="DK76" s="4">
        <v>3.6789999999999998</v>
      </c>
      <c r="DM76" s="5">
        <f t="shared" si="138"/>
        <v>0.46398030893357656</v>
      </c>
      <c r="DN76" s="4">
        <f t="shared" si="139"/>
        <v>-2.2995864337609872E-2</v>
      </c>
      <c r="DO76" s="4">
        <f t="shared" si="123"/>
        <v>-2.2725100282861808E-2</v>
      </c>
      <c r="DP76" s="5">
        <f t="shared" si="140"/>
        <v>0.12633784057066233</v>
      </c>
      <c r="DQ76" s="5">
        <f t="shared" si="141"/>
        <v>-2.818815177137024E-2</v>
      </c>
      <c r="DR76" s="4">
        <f t="shared" si="146"/>
        <v>-8.8948962927147632E-3</v>
      </c>
      <c r="DS76" s="5">
        <f t="shared" si="169"/>
        <v>-8.0232886794097569E-2</v>
      </c>
      <c r="DT76" s="5">
        <f t="shared" si="170"/>
        <v>-7.0486740597096142E-2</v>
      </c>
      <c r="DU76" s="4">
        <f t="shared" si="171"/>
        <v>-2.4245331316290482E-2</v>
      </c>
      <c r="DV76" s="4">
        <f t="shared" si="131"/>
        <v>2.0683073063514762E-4</v>
      </c>
      <c r="DW76" s="4">
        <f t="shared" si="133"/>
        <v>-6.8184187376067157E-2</v>
      </c>
      <c r="DX76" s="4">
        <f t="shared" si="133"/>
        <v>-4.9380079483983041E-2</v>
      </c>
      <c r="DY76" s="4">
        <f t="shared" si="108"/>
        <v>-1.7952652082196704E-2</v>
      </c>
      <c r="DZ76" s="4">
        <f t="shared" si="132"/>
        <v>-1.1375855212981385E-2</v>
      </c>
      <c r="EA76" s="4">
        <f t="shared" si="109"/>
        <v>-1.0603244308896516E-2</v>
      </c>
      <c r="EC76" s="1">
        <f t="shared" si="154"/>
        <v>29.075832889317176</v>
      </c>
      <c r="ED76" s="1">
        <f t="shared" si="155"/>
        <v>8.0904419480784071</v>
      </c>
      <c r="EE76" s="1">
        <f t="shared" si="156"/>
        <v>4.5606691049087873</v>
      </c>
      <c r="EF76" s="1">
        <f t="shared" si="157"/>
        <v>2.6138113600734854</v>
      </c>
      <c r="EG76" s="1">
        <f t="shared" si="158"/>
        <v>6.4412352411295553</v>
      </c>
      <c r="EH76" s="1">
        <f t="shared" si="159"/>
        <v>4.2522504764142894</v>
      </c>
      <c r="EI76" s="1">
        <f t="shared" si="160"/>
        <v>2.9537183470417667</v>
      </c>
      <c r="EJ76" s="1">
        <f t="shared" si="161"/>
        <v>9.8441787484342171</v>
      </c>
      <c r="EK76" s="1">
        <f t="shared" si="162"/>
        <v>16.834488941339693</v>
      </c>
      <c r="EL76" s="1">
        <f t="shared" si="163"/>
        <v>3.0062740314168286</v>
      </c>
      <c r="EM76" s="1">
        <f t="shared" si="164"/>
        <v>0.57868033741630598</v>
      </c>
      <c r="EN76" s="1">
        <f t="shared" si="165"/>
        <v>2.7432312577115958</v>
      </c>
      <c r="EO76" s="1">
        <f t="shared" si="166"/>
        <v>2.9547031437566398</v>
      </c>
      <c r="EP76" s="1">
        <f t="shared" si="167"/>
        <v>4.3299883438793589</v>
      </c>
      <c r="EQ76" s="1">
        <f t="shared" si="168"/>
        <v>3.3506621030321635</v>
      </c>
      <c r="ES76" s="1">
        <f>IF(EF$26=".", 0, 'Summary, PPI''s'!E76)+IF(EG$26=".", 0, 'Summary, PPI''s'!F76)+IF(EH$26=".", 0, 'Summary, PPI''s'!G76)+IF(EI$26=".", 0, 'Summary, PPI''s'!H76)+IF(EJ$26=".", 0, 'Summary, PPI''s'!I76)+IF(EK$26=".", 0, 'Summary, PPI''s'!J76)+IF(EL$26=".", 0, 'Summary, PPI''s'!K76)+IF(EM$26=".", 0, 'Summary, PPI''s'!L76)+IF(EN$26=".", 0, 'Summary, PPI''s'!M76)+IF(EC$26=".", 0, 'Summary, PPI''s'!B76)+IF(ED$26=".", 0, 'Summary, PPI''s'!C76)+IF(EE$26=".", 0, 'Summary, PPI''s'!D76)+IF(EO$26=".", 0, 'Summary, PPI''s'!N76)+IF(EP$26=".", 0, 'Summary, PPI''s'!O76)+IF(EQ$26=".", 0, 'Summary, PPI''s'!P76)</f>
        <v>4699018.0997981047</v>
      </c>
      <c r="ET76" s="1">
        <f>'Summary, hourly ad costs'!E76+'Summary, hourly ad costs'!F76+'Summary, hourly ad costs'!H76+'Summary, hourly ad costs'!I76+'Summary, hourly ad costs'!J76+'Summary, hourly ad costs'!K76+'Summary, hourly ad costs'!L76+'Summary, hourly ad costs'!M76+'Summary, hourly ad costs'!B76</f>
        <v>2809574.474505567</v>
      </c>
      <c r="EV76" s="13">
        <f>EV75*IF(EF$26=".", 1, (EF76/EF75)^(('Summary, PPI''s'!$E76+'Summary, PPI''s'!$E75)/('Predicted PPIs'!ES76+'Predicted PPIs'!ES75)))*IF(EG$26=".", 1, (EG76/EG75)^(('Summary, PPI''s'!$F76+'Summary, PPI''s'!$F75)/('Predicted PPIs'!ES76+'Predicted PPIs'!ES75)))*IF(EH$26=".", 1, (EH76/EH75)^(('Summary, PPI''s'!$G76+'Summary, PPI''s'!$G75)/('Predicted PPIs'!ES76+'Predicted PPIs'!ES75)))*IF(EI$26=".", 1, (EI76/EI75)^(('Summary, PPI''s'!$H76+'Summary, PPI''s'!$H75)/('Predicted PPIs'!ES76+'Predicted PPIs'!ES75)))*IF(EJ$26=".", 1, (EJ76/EJ75)^(('Summary, PPI''s'!$I76+'Summary, PPI''s'!$I75)/('Predicted PPIs'!ES76+'Predicted PPIs'!ES75)))*IF(EK$26=".", 1, (EK76/EK75)^(('Summary, PPI''s'!$J76+'Summary, PPI''s'!$J75)/('Predicted PPIs'!ES76+'Predicted PPIs'!ES75)))*IF(EL$26=".", 1, (EL76/EL75)^(('Summary, PPI''s'!$K76+'Summary, PPI''s'!$K75)/('Predicted PPIs'!ES76+'Predicted PPIs'!ES75)))*IF(EM$26=".", 1, (EM76/EM75)^(('Summary, PPI''s'!$L76+'Summary, PPI''s'!$L75)/('Predicted PPIs'!ES76+'Predicted PPIs'!ES75)))*IF(EN$26=".", 1, (EN76/EN75)^(('Summary, PPI''s'!$M76+'Summary, PPI''s'!$M75)/('Predicted PPIs'!ES76+'Predicted PPIs'!ES75)))*IF(EC$26=".", 1, (EC76/EC75)^(('Summary, PPI''s'!$B76+'Summary, PPI''s'!$B75)/('Predicted PPIs'!ES76+'Predicted PPIs'!ES75)))*IF(ED$26=".", 1, (ED76/ED75)^(('Summary, PPI''s'!$C76+'Summary, PPI''s'!$C75)/('Predicted PPIs'!ES76+'Predicted PPIs'!ES75)))*IF(EE$26=".", 1, (EE76/EE75)^(('Summary, PPI''s'!$D76+'Summary, PPI''s'!$D75)/('Predicted PPIs'!ES76+'Predicted PPIs'!ES75)))*IF(EO$26=".", 1, (EO76/EO75)^(('Summary, PPI''s'!$N76+'Summary, PPI''s'!$N75)/('Predicted PPIs'!ES76+'Predicted PPIs'!ES75)))*IF(EP$26=".", 1, (EP76/EP75)^(('Summary, PPI''s'!$O76+'Summary, PPI''s'!$O75)/('Predicted PPIs'!ES76+'Predicted PPIs'!ES75)))*IF(EQ$26=".", 1, (EQ76/EQ75)^(('Summary, PPI''s'!$P76+'Summary, PPI''s'!$P75)/('Predicted PPIs'!ES76+'Predicted PPIs'!ES75)))</f>
        <v>5.7895807708030347</v>
      </c>
      <c r="EW76" s="13">
        <f>EW75*IF(EF$26=".", 1, (EF76/EF75)^(('Summary, PPI''s'!$E76+'Summary, PPI''s'!$E75)/('Predicted PPIs'!ET76+'Predicted PPIs'!ET75)))*IF(EG$26=".", 1, (EG76/EG75)^(('Summary, PPI''s'!$F76+'Summary, PPI''s'!$F75)/('Predicted PPIs'!ET76+'Predicted PPIs'!ET75)))*IF(EH$26=".", 1, (EH76/EH75)^(('Summary, PPI''s'!$G76+'Summary, PPI''s'!$G75)/('Predicted PPIs'!ET76+'Predicted PPIs'!ET75)))*IF(EK$26=".", 1, (EK76/EK75)^(('Summary, PPI''s'!$J76+'Summary, PPI''s'!$J75)/('Predicted PPIs'!ET76+'Predicted PPIs'!ET75)))*IF(EL$26=".", 1, (EL76/EL75)^(('Summary, PPI''s'!$K76+'Summary, PPI''s'!$K75)/('Predicted PPIs'!ET76+'Predicted PPIs'!ET75)))*IF(EM$26=".", 1, (EM76/EM75)^(('Summary, PPI''s'!$L76+'Summary, PPI''s'!$L75)/('Predicted PPIs'!ET76+'Predicted PPIs'!ET75)))*IF(EN$26=".", 1, (EN76/EN75)^(('Summary, PPI''s'!$M76+'Summary, PPI''s'!$M75)/('Predicted PPIs'!ET76+'Predicted PPIs'!ET75)))*IF(EC$26=".", 1, (EC76/EC75)^(('Summary, PPI''s'!$B76+'Summary, PPI''s'!$B75)/('Predicted PPIs'!ET76+'Predicted PPIs'!ET75)))</f>
        <v>8.0781904975945302</v>
      </c>
      <c r="EY76" s="2"/>
    </row>
    <row r="77" spans="1:155" x14ac:dyDescent="0.3">
      <c r="A77" s="4">
        <v>1946</v>
      </c>
      <c r="B77" s="10">
        <f>IF(B76=".", ".", IF('Summary, PPI''s'!R77=".",IF(OR('Summary, hourly ad costs'!R77=-9999,'Summary, hourly ad costs'!R77=0), ".", 'Predicted PPIs'!B76*('Summary, hourly ad costs'!B77/'Summary, hourly ad costs'!R77)/('Summary, hourly ad costs'!B76/'Summary, hourly ad costs'!R76)), 'Summary, PPI''s'!R77))</f>
        <v>22.088107242156028</v>
      </c>
      <c r="C77" s="10" t="str">
        <f>IF(C76=".", ".", IF('Summary, PPI''s'!S77=".",IF(OR('Summary, hourly ad costs'!S77=-9999,'Summary, hourly ad costs'!S77=0), ".", 'Predicted PPIs'!C76*('Summary, hourly ad costs'!C77/'Summary, hourly ad costs'!S77)/('Summary, hourly ad costs'!C76/'Summary, hourly ad costs'!S76)), 'Summary, PPI''s'!S77))</f>
        <v>.</v>
      </c>
      <c r="D77" s="10" t="str">
        <f>IF(D76=".", ".", IF('Summary, PPI''s'!T77=".",IF(OR('Summary, hourly ad costs'!T77=-9999,'Summary, hourly ad costs'!T77=0), ".", 'Predicted PPIs'!D76*('Summary, hourly ad costs'!D77/'Summary, hourly ad costs'!T77)/('Summary, hourly ad costs'!D76/'Summary, hourly ad costs'!T76)), 'Summary, PPI''s'!T77))</f>
        <v>.</v>
      </c>
      <c r="E77" s="10">
        <f>IF(E76=".", ".", IF('Summary, PPI''s'!U77=".",IF(OR('Summary, hourly ad costs'!U77=-9999,'Summary, hourly ad costs'!U77=0), ".", 'Predicted PPIs'!E76*('Summary, hourly ad costs'!E77/'Summary, hourly ad costs'!U77)/('Summary, hourly ad costs'!E76/'Summary, hourly ad costs'!U76)), 'Summary, PPI''s'!U77))</f>
        <v>1.8958304300880893</v>
      </c>
      <c r="F77" s="10">
        <f>IF(F76=".", ".", IF('Summary, PPI''s'!V77=".",IF(OR('Summary, hourly ad costs'!V77=-9999,'Summary, hourly ad costs'!V77=0), ".", 'Predicted PPIs'!F76*('Summary, hourly ad costs'!F77/'Summary, hourly ad costs'!V77)/('Summary, hourly ad costs'!F76/'Summary, hourly ad costs'!V76)), 'Summary, PPI''s'!V77))</f>
        <v>5.1709874375626761</v>
      </c>
      <c r="G77" s="10" t="str">
        <f>IF(G76=".", ".", IF('Summary, PPI''s'!W77=".",IF(OR('Summary, hourly ad costs'!W77=-9999,'Summary, hourly ad costs'!W77=0), ".", 'Predicted PPIs'!G76*('Summary, hourly ad costs'!G77/'Summary, hourly ad costs'!W77)/('Summary, hourly ad costs'!G76/'Summary, hourly ad costs'!W76)), 'Summary, PPI''s'!W77))</f>
        <v>.</v>
      </c>
      <c r="H77" s="10">
        <f>IF(H76=".", ".", IF('Summary, PPI''s'!X77=".",IF(OR('Summary, hourly ad costs'!X77=-9999,'Summary, hourly ad costs'!X77=0), ".", 'Predicted PPIs'!H76*('Summary, hourly ad costs'!H77/'Summary, hourly ad costs'!X77)/('Summary, hourly ad costs'!H76/'Summary, hourly ad costs'!X76)), 'Summary, PPI''s'!X77))</f>
        <v>2.7794027135949833</v>
      </c>
      <c r="I77" s="10">
        <f>IF(I76=".", ".", IF('Summary, PPI''s'!Y77=".",IF(OR('Summary, hourly ad costs'!Y77=-9999,'Summary, hourly ad costs'!Y77=0), ".", 'Predicted PPIs'!I76*('Summary, hourly ad costs'!I77/'Summary, hourly ad costs'!Y77)/('Summary, hourly ad costs'!I76/'Summary, hourly ad costs'!Y76)), 'Summary, PPI''s'!Y77))</f>
        <v>7.7377294777636738</v>
      </c>
      <c r="J77" s="10">
        <f>IF(J76=".", ".", IF('Summary, PPI''s'!Z77=".",IF(OR('Summary, hourly ad costs'!Z77=-9999,'Summary, hourly ad costs'!Z77=0), ".", 'Predicted PPIs'!J76*('Summary, hourly ad costs'!J77/'Summary, hourly ad costs'!Z77)/('Summary, hourly ad costs'!J76/'Summary, hourly ad costs'!Z76)), 'Summary, PPI''s'!Z77))</f>
        <v>1.2037242468440202E-2</v>
      </c>
      <c r="K77" s="10" t="str">
        <f>IF(K76=".", ".", IF('Summary, PPI''s'!AA77=".",IF(OR('Summary, hourly ad costs'!AA77=-9999,'Summary, hourly ad costs'!AA77=0), ".", 'Predicted PPIs'!K76*('Summary, hourly ad costs'!K77/'Summary, hourly ad costs'!AA77)/('Summary, hourly ad costs'!K76/'Summary, hourly ad costs'!AA76)), 'Summary, PPI''s'!AA77))</f>
        <v>.</v>
      </c>
      <c r="L77" s="10" t="str">
        <f>IF(L76=".", ".", IF('Summary, PPI''s'!AB77=".",IF(OR('Summary, hourly ad costs'!AB77=-9999,'Summary, hourly ad costs'!AB77=0), ".", 'Predicted PPIs'!L76*('Summary, hourly ad costs'!L77/'Summary, hourly ad costs'!AB77)/('Summary, hourly ad costs'!L76/'Summary, hourly ad costs'!AB76)), 'Summary, PPI''s'!AB77))</f>
        <v>.</v>
      </c>
      <c r="M77" s="10" t="str">
        <f>IF(M76=".", ".", IF('Summary, PPI''s'!AC77=".",IF(OR('Summary, hourly ad costs'!AC77=-9999,'Summary, hourly ad costs'!AC77=0), ".", 'Predicted PPIs'!M76*('Summary, hourly ad costs'!M77/'Summary, hourly ad costs'!AC77)/('Summary, hourly ad costs'!M76/'Summary, hourly ad costs'!AC76)), 'Summary, PPI''s'!AC77))</f>
        <v>.</v>
      </c>
      <c r="N77" s="10" t="str">
        <f>IF(N76=".", ".", IF('Summary, PPI''s'!AD77=".",IF(OR('Summary, hourly ad costs'!AD77=-9999,'Summary, hourly ad costs'!AD77=0), ".", 'Predicted PPIs'!N76*('Summary, hourly ad costs'!N77/'Summary, hourly ad costs'!AD77)/('Summary, hourly ad costs'!N76/'Summary, hourly ad costs'!AD76)), 'Summary, PPI''s'!AD77))</f>
        <v>.</v>
      </c>
      <c r="O77" s="10" t="str">
        <f>IF(O76=".", ".", IF('Summary, PPI''s'!AE77=".",IF(OR('Summary, hourly ad costs'!AE77=-9999,'Summary, hourly ad costs'!AE77=0), ".", 'Predicted PPIs'!O76*('Summary, hourly ad costs'!O77/'Summary, hourly ad costs'!AE77)/('Summary, hourly ad costs'!O76/'Summary, hourly ad costs'!AE76)), 'Summary, PPI''s'!AE77))</f>
        <v>.</v>
      </c>
      <c r="P77" s="10" t="str">
        <f>IF(P76=".", ".", IF('Summary, PPI''s'!AF77=".",IF(OR('Summary, hourly ad costs'!AF77=-9999,'Summary, hourly ad costs'!AF77=0), ".", 'Predicted PPIs'!P76*('Summary, hourly ad costs'!P77/'Summary, hourly ad costs'!AF77)/('Summary, hourly ad costs'!P76/'Summary, hourly ad costs'!AF76)), 'Summary, PPI''s'!AF77))</f>
        <v>.</v>
      </c>
      <c r="R77" s="1">
        <f>IF(E$26=".", 0, 'Summary, PPI''s'!E77)+IF(F$26=".", 0, 'Summary, PPI''s'!F77)+IF(G$26=".", 0, 'Summary, PPI''s'!G77)+IF(H$26=".", 0, 'Summary, PPI''s'!H77)+IF(I$26=".", 0, 'Summary, PPI''s'!I77)+IF(J$26=".", 0, 'Summary, PPI''s'!J77)+IF(K$26=".", 0, 'Summary, PPI''s'!K77)+IF(L$26=".", 0, 'Summary, PPI''s'!L77)+IF(M$26=".", 0, 'Summary, PPI''s'!M77)+IF(B$26=".", 0, 'Summary, PPI''s'!B77)+IF(C$26=".", 0, 'Summary, PPI''s'!C77)+IF(D$26=".", 0, 'Summary, PPI''s'!D77)+IF(N$26=".", 0, 'Summary, PPI''s'!N77)+IF(O$26=".", 0, 'Summary, PPI''s'!O77)+IF(P$26=".", 0, 'Summary, PPI''s'!P77)</f>
        <v>3688607.562745261</v>
      </c>
      <c r="S77" s="1">
        <f>IF(E$36=".", 0, 'Summary, PPI''s'!E77)+IF(F$36=".", 0, 'Summary, PPI''s'!F77)+IF(G$36=".", 0, 'Summary, PPI''s'!G77)+IF(H$36=".", 0, 'Summary, PPI''s'!H77)+IF(I$36=".", 0, 'Summary, PPI''s'!I77)+IF(J$36=".", 0, 'Summary, PPI''s'!J77)+IF(K$36=".", 0, 'Summary, PPI''s'!K77)+IF(L$36=".", 0, 'Summary, PPI''s'!L77)+IF(M$36=".", 0, 'Summary, PPI''s'!M77)+IF(B$36=".", 0, 'Summary, PPI''s'!B77)+IF(C$36=".", 0, 'Summary, PPI''s'!C77)+IF(D$36=".", 0, 'Summary, PPI''s'!D77)+IF(N$36=".", 0, 'Summary, PPI''s'!N77)+IF(O$36=".", 0, 'Summary, PPI''s'!O77)+IF(P$36=".", 0, 'Summary, PPI''s'!P77)</f>
        <v>3688607.562745261</v>
      </c>
      <c r="T77" s="1">
        <f>IF(E$46=".", 0, 'Summary, PPI''s'!E77)+IF(F$46=".", 0, 'Summary, PPI''s'!F77)+IF(G$46=".", 0, 'Summary, PPI''s'!G77)+IF(H$46=".", 0, 'Summary, PPI''s'!H77)+IF(I$46=".", 0, 'Summary, PPI''s'!I77)+IF(J$46=".", 0, 'Summary, PPI''s'!J77)+IF(K$46=".", 0, 'Summary, PPI''s'!K77)+IF(L$46=".", 0, 'Summary, PPI''s'!L77)+IF(M$46=".", 0, 'Summary, PPI''s'!M77)+IF(B$46=".", 0, 'Summary, PPI''s'!B77)+IF(C$46=".", 0, 'Summary, PPI''s'!C77)+IF(D$46=".", 0, 'Summary, PPI''s'!D77)+IF(N$46=".", 0, 'Summary, PPI''s'!N77)+IF(O$46=".", 0, 'Summary, PPI''s'!O77)+IF(P$46=".", 0, 'Summary, PPI''s'!P77)</f>
        <v>2812841.8513653581</v>
      </c>
      <c r="U77" s="1">
        <f>IF(E$60=".", 0, 'Summary, PPI''s'!E77)+IF(F$60=".", 0, 'Summary, PPI''s'!F77)+IF(G$60=".", 0, 'Summary, PPI''s'!G77)+IF(H$60=".", 0, 'Summary, PPI''s'!H77)+IF(I$60=".", 0, 'Summary, PPI''s'!I77)+IF(J$60=".", 0, 'Summary, PPI''s'!J77)+IF(K$60=".", 0, 'Summary, PPI''s'!K77)+IF(L$60=".", 0, 'Summary, PPI''s'!L77)+IF(M$60=".", 0, 'Summary, PPI''s'!M77)+IF(B$60=".", 0, 'Summary, PPI''s'!B77)+IF(C$60=".", 0, 'Summary, PPI''s'!C77)+IF(D$60=".", 0, 'Summary, PPI''s'!D77)+IF(N$60=".", 0, 'Summary, PPI''s'!N77)+IF(O$60=".", 0, 'Summary, PPI''s'!O77)+IF(P$60=".", 0, 'Summary, PPI''s'!P77)</f>
        <v>2545196.196781741</v>
      </c>
      <c r="V77" s="1">
        <f>IF(E$73=".", 0, 'Summary, PPI''s'!E77)+IF(F$73=".", 0, 'Summary, PPI''s'!F77)+IF(G$73=".", 0, 'Summary, PPI''s'!G77)+IF(H$73=".", 0, 'Summary, PPI''s'!H77)+IF(I$73=".", 0, 'Summary, PPI''s'!I77)+IF(J$73=".", 0, 'Summary, PPI''s'!J77)+IF(K$73=".", 0, 'Summary, PPI''s'!K77)+IF(L$73=".", 0, 'Summary, PPI''s'!L77)+IF(M$73=".", 0, 'Summary, PPI''s'!M77)+IF(B$73=".", 0, 'Summary, PPI''s'!B77)+IF(C$73=".", 0, 'Summary, PPI''s'!C77)+IF(D$73=".", 0, 'Summary, PPI''s'!D77)+IF(N$73=".", 0, 'Summary, PPI''s'!N77)+IF(O$73=".", 0, 'Summary, PPI''s'!O77)+IF(P$73=".", 0, 'Summary, PPI''s'!P77)</f>
        <v>2259397.2404183084</v>
      </c>
      <c r="W77" s="1">
        <f>IF(E$94=".",0,'Summary, PPI''s'!E77)+IF(F$94=".",0,'Summary, PPI''s'!F77)+IF(G$94=".",0,'Summary, PPI''s'!G77)+IF(H$94=".",0,'Summary, PPI''s'!H77)+IF(I$94=".",0,'Summary, PPI''s'!I77)+IF(J$94=".",0,'Summary, PPI''s'!J77)+IF(K$94=".",0,'Summary, PPI''s'!K77)+IF(L$94=".",0,'Summary, PPI''s'!L77)+IF(M$94=".",0,'Summary, PPI''s'!M77)+IF(B$94=".",0,'Summary, PPI''s'!B77)+IF(C$94=".",0,'Summary, PPI''s'!C77)+IF(D$94=".",0,'Summary, PPI''s'!D77)+IF(N$94=".",0,'Summary, PPI''s'!N77)+IF(O$94=".",0,'Summary, PPI''s'!O77)+IF(P$94=".",0,'Summary, PPI''s'!P77)</f>
        <v>2259373.139018639</v>
      </c>
      <c r="X77" s="1">
        <f>IF(E$123=".", 0, 'Summary, PPI''s'!E77)+IF(F$123=".", 0, 'Summary, PPI''s'!F77)+IF(G$123=".", 0, 'Summary, PPI''s'!G77)+IF(H$123=".", 0, 'Summary, PPI''s'!H77)+IF(I$123=".", 0, 'Summary, PPI''s'!I77)+IF(J$123=".", 0, 'Summary, PPI''s'!J77)+IF(K$123=".", 0, 'Summary, PPI''s'!K77)+IF(L$123=".", 0, 'Summary, PPI''s'!L77)+IF(M$123=".", 0, 'Summary, PPI''s'!M77)+IF(B$123=".", 0, 'Summary, PPI''s'!B77)+IF(C$123=".", 0, 'Summary, PPI''s'!C77)+IF(D$123=".", 0, 'Summary, PPI''s'!D77)+IF(N$123=".", 0, 'Summary, PPI''s'!N77)+IF(O$123=".", 0, 'Summary, PPI''s'!O77)+IF(P$123=".", 0, 'Summary, PPI''s'!P77)</f>
        <v>1897208.3916782551</v>
      </c>
      <c r="Z77" s="4" t="e">
        <f>Z76*IF(E$26=".", 1, (E77/E76)^(('Summary, PPI''s'!$E77+'Summary, PPI''s'!$E76)/('Predicted PPIs'!R77+'Predicted PPIs'!R76)))*IF(F$26=".", 1, (F77/F76)^(('Summary, PPI''s'!$F77+'Summary, PPI''s'!$F76)/('Predicted PPIs'!R77+'Predicted PPIs'!R76)))*IF(G$26=".", 1, (G77/G76)^(('Summary, PPI''s'!$G77+'Summary, PPI''s'!$G76)/('Predicted PPIs'!R77+'Predicted PPIs'!R76)))*IF(H$26=".", 1, (H77/H76)^(('Summary, PPI''s'!$H77+'Summary, PPI''s'!$H76)/('Predicted PPIs'!R77+'Predicted PPIs'!R76)))*IF(I$26=".", 1, (I77/I76)^(('Summary, PPI''s'!$I77+'Summary, PPI''s'!$I76)/('Predicted PPIs'!R77+'Predicted PPIs'!R76)))*IF(J$26=".", 1, (J77/J76)^(('Summary, PPI''s'!$J77+'Summary, PPI''s'!$J76)/('Predicted PPIs'!R77+'Predicted PPIs'!R76)))*IF(K$26=".", 1, (K77/K76)^(('Summary, PPI''s'!$K77+'Summary, PPI''s'!$K76)/('Predicted PPIs'!R77+'Predicted PPIs'!R76)))*IF(L$26=".", 1, (L77/L76)^(('Summary, PPI''s'!$L77+'Summary, PPI''s'!$L76)/('Predicted PPIs'!R77+'Predicted PPIs'!R76)))*IF(M$26=".", 1, (M77/M76)^(('Summary, PPI''s'!$M77+'Summary, PPI''s'!$M76)/('Predicted PPIs'!R77+'Predicted PPIs'!R76)))*IF(B$26=".", 1, (B77/B76)^(('Summary, PPI''s'!$B77+'Summary, PPI''s'!$B76)/('Predicted PPIs'!R77+'Predicted PPIs'!R76)))*IF(C$26=".", 1, (C77/C76)^(('Summary, PPI''s'!$C77+'Summary, PPI''s'!$C76)/('Predicted PPIs'!R77+'Predicted PPIs'!R76)))*IF(D$26=".", 1, (D77/D76)^(('Summary, PPI''s'!$D77+'Summary, PPI''s'!$D76)/('Predicted PPIs'!R77+'Predicted PPIs'!R76)))*IF(N$26=".", 1, (N77/N76)^(('Summary, PPI''s'!$N77+'Summary, PPI''s'!$N76)/('Predicted PPIs'!R77+'Predicted PPIs'!R76)))*IF(O$26=".", 1, (O77/O76)^(('Summary, PPI''s'!$O77+'Summary, PPI''s'!$O76)/('Predicted PPIs'!R77+'Predicted PPIs'!R76)))*IF(P$26=".", 1, (P77/P76)^(('Summary, PPI''s'!$P77+'Summary, PPI''s'!$P76)/('Predicted PPIs'!R77+'Predicted PPIs'!R76)))</f>
        <v>#VALUE!</v>
      </c>
      <c r="AA77" s="4" t="e">
        <f>AA76*IF(E$36=".", 1, (E77/E76)^(('Summary, PPI''s'!$E77+'Summary, PPI''s'!$E76)/('Predicted PPIs'!S77+'Predicted PPIs'!S76)))*IF(F$36=".", 1, (F77/F76)^(('Summary, PPI''s'!$F77+'Summary, PPI''s'!$F76)/('Predicted PPIs'!S77+'Predicted PPIs'!S76)))*IF(G$36=".", 1, (G77/G76)^(('Summary, PPI''s'!$G77+'Summary, PPI''s'!$G76)/('Predicted PPIs'!S77+'Predicted PPIs'!S76)))*IF(H$36=".", 1, (H77/H76)^(('Summary, PPI''s'!$H77+'Summary, PPI''s'!$H76)/('Predicted PPIs'!S77+'Predicted PPIs'!S76)))*IF(I$36=".", 1, (I77/I76)^(('Summary, PPI''s'!$I77+'Summary, PPI''s'!$I76)/('Predicted PPIs'!S77+'Predicted PPIs'!S76)))*IF(J$36=".", 1, (J77/J76)^(('Summary, PPI''s'!$J77+'Summary, PPI''s'!$J76)/('Predicted PPIs'!S77+'Predicted PPIs'!S76)))*IF(K$36=".", 1, (K77/K76)^(('Summary, PPI''s'!$K77+'Summary, PPI''s'!$K76)/('Predicted PPIs'!S77+'Predicted PPIs'!S76)))*IF(L$36=".", 1, (L77/L76)^(('Summary, PPI''s'!$L77+'Summary, PPI''s'!$L76)/('Predicted PPIs'!S77+'Predicted PPIs'!S76)))*IF(M$36=".", 1, (M77/M76)^(('Summary, PPI''s'!$M77+'Summary, PPI''s'!$M76)/('Predicted PPIs'!S77+'Predicted PPIs'!S76)))*IF(B$36=".", 1, (B77/B76)^(('Summary, PPI''s'!$B77+'Summary, PPI''s'!$B76)/('Predicted PPIs'!S77+'Predicted PPIs'!S76)))*IF(C$36=".", 1, (C77/C76)^(('Summary, PPI''s'!$C77+'Summary, PPI''s'!$C76)/('Predicted PPIs'!S77+'Predicted PPIs'!S76)))*IF(D$36=".", 1, (D77/D76)^(('Summary, PPI''s'!$D77+'Summary, PPI''s'!$D76)/('Predicted PPIs'!S77+'Predicted PPIs'!S76)))*IF(N$36=".", 1, (N77/N76)^(('Summary, PPI''s'!$N77+'Summary, PPI''s'!$N76)/('Predicted PPIs'!S77+'Predicted PPIs'!S76)))*IF(O$36=".", 1, (O77/O76)^(('Summary, PPI''s'!$O77+'Summary, PPI''s'!$O76)/('Predicted PPIs'!S77+'Predicted PPIs'!S76)))*IF(P$36=".", 1, (P77/P76)^(('Summary, PPI''s'!$P77+'Summary, PPI''s'!$P76)/('Predicted PPIs'!S77+'Predicted PPIs'!S76)))</f>
        <v>#VALUE!</v>
      </c>
      <c r="AB77" s="4" t="e">
        <f>AB76*IF(E$46=".", 1, (E77/E76)^(('Summary, PPI''s'!$E77+'Summary, PPI''s'!$E76)/('Predicted PPIs'!T77+'Predicted PPIs'!T76)))*IF(F$46=".", 1, (F77/F76)^(('Summary, PPI''s'!$F77+'Summary, PPI''s'!$F76)/('Predicted PPIs'!T77+'Predicted PPIs'!T76)))*IF(G$46=".", 1, (G77/G76)^(('Summary, PPI''s'!$G77+'Summary, PPI''s'!$G76)/('Predicted PPIs'!T77+'Predicted PPIs'!T76)))*IF(H$46=".", 1, (H77/H76)^(('Summary, PPI''s'!$H77+'Summary, PPI''s'!$H76)/('Predicted PPIs'!T77+'Predicted PPIs'!T76)))*IF(I$46=".", 1, (I77/I76)^(('Summary, PPI''s'!$I77+'Summary, PPI''s'!$I76)/('Predicted PPIs'!T77+'Predicted PPIs'!T76)))*IF(J$46=".", 1, (J77/J76)^(('Summary, PPI''s'!$J77+'Summary, PPI''s'!$J76)/('Predicted PPIs'!T77+'Predicted PPIs'!T76)))*IF(K$46=".", 1, (K77/K76)^(('Summary, PPI''s'!$K77+'Summary, PPI''s'!$K76)/('Predicted PPIs'!T77+'Predicted PPIs'!T76)))*IF(L$46=".", 1, (L77/L76)^(('Summary, PPI''s'!$L77+'Summary, PPI''s'!$L76)/('Predicted PPIs'!T77+'Predicted PPIs'!T76)))*IF(M$46=".", 1, (M77/M76)^(('Summary, PPI''s'!$M77+'Summary, PPI''s'!$M76)/('Predicted PPIs'!T77+'Predicted PPIs'!T76)))*IF(B$46=".", 1, (B77/B76)^(('Summary, PPI''s'!$B77+'Summary, PPI''s'!$B76)/('Predicted PPIs'!T77+'Predicted PPIs'!T76)))*IF(C$46=".", 1, (C77/C76)^(('Summary, PPI''s'!$C77+'Summary, PPI''s'!$C76)/('Predicted PPIs'!T77+'Predicted PPIs'!T76)))*IF(D$46=".", 1, (D77/D76)^(('Summary, PPI''s'!$D77+'Summary, PPI''s'!$D76)/('Predicted PPIs'!T77+'Predicted PPIs'!T76)))*IF(N$46=".", 1, (N77/N76)^(('Summary, PPI''s'!$N77+'Summary, PPI''s'!$N76)/('Predicted PPIs'!T77+'Predicted PPIs'!T76)))*IF(O$46=".", 1, (O77/O76)^(('Summary, PPI''s'!$O77+'Summary, PPI''s'!$O76)/('Predicted PPIs'!T77+'Predicted PPIs'!T76)))*IF(P$46=".", 1, (P77/P76)^(('Summary, PPI''s'!$P77+'Summary, PPI''s'!$P76)/('Predicted PPIs'!T77+'Predicted PPIs'!T76)))</f>
        <v>#VALUE!</v>
      </c>
      <c r="AC77" s="4" t="e">
        <f>AC76*IF(E$60=".",1,(E77/E76)^(('Summary, PPI''s'!$E77+'Summary, PPI''s'!$E76)/('Predicted PPIs'!U77+'Predicted PPIs'!U76)))*IF(F$60=".",1,(F77/F76)^(('Summary, PPI''s'!$F77+'Summary, PPI''s'!$F76)/('Predicted PPIs'!U77+'Predicted PPIs'!U76)))*IF(G$60=".",1,(G77/G76)^(('Summary, PPI''s'!$G77+'Summary, PPI''s'!$G76)/('Predicted PPIs'!U77+'Predicted PPIs'!U76)))*IF(H$60=".",1,(H77/H76)^(('Summary, PPI''s'!$H77+'Summary, PPI''s'!$H76)/('Predicted PPIs'!U77+'Predicted PPIs'!U76)))*IF(I$60=".",1,(I77/I76)^(('Summary, PPI''s'!$I77+'Summary, PPI''s'!$I76)/('Predicted PPIs'!U77+'Predicted PPIs'!U76)))*IF(J$60=".",1,(J77/J76)^(('Summary, PPI''s'!$J77+'Summary, PPI''s'!$J76)/('Predicted PPIs'!U77+'Predicted PPIs'!U76)))*IF(K$60=".",1,(K77/K76)^(('Summary, PPI''s'!$K77+'Summary, PPI''s'!$K76)/('Predicted PPIs'!U77+'Predicted PPIs'!U76)))*IF(L$60=".",1,(L77/L76)^(('Summary, PPI''s'!$L77+'Summary, PPI''s'!$L76)/('Predicted PPIs'!U77+'Predicted PPIs'!U76)))*IF(M$60=".",1,(M77/M76)^(('Summary, PPI''s'!$M77+'Summary, PPI''s'!$M76)/('Predicted PPIs'!U77+'Predicted PPIs'!U76)))*IF(B$60=".",1,(B77/B76)^(('Summary, PPI''s'!$B77+'Summary, PPI''s'!$B76)/('Predicted PPIs'!U77+'Predicted PPIs'!U76)))*IF(C$60=".",1,(C77/C76)^(('Summary, PPI''s'!$C77+'Summary, PPI''s'!$C76)/('Predicted PPIs'!U77+'Predicted PPIs'!U76)))*IF(D$60=".",1,(D77/D76)^(('Summary, PPI''s'!$D77+'Summary, PPI''s'!$D76)/('Predicted PPIs'!U77+'Predicted PPIs'!U76)))*IF(N$60=".",1,(N77/N76)^(('Summary, PPI''s'!$N77+'Summary, PPI''s'!$N76)/('Predicted PPIs'!U77+'Predicted PPIs'!U76)))*IF(O$60=".",1,(O77/O76)^(('Summary, PPI''s'!$O77+'Summary, PPI''s'!$O76)/('Predicted PPIs'!U77+'Predicted PPIs'!U76)))*IF(P$60=".",1,(P77/P76)^(('Summary, PPI''s'!$P77+'Summary, PPI''s'!$P76)/('Predicted PPIs'!U77+'Predicted PPIs'!U76)))</f>
        <v>#VALUE!</v>
      </c>
      <c r="AD77" s="4">
        <f>AD76*IF(E$73=".", 1, (E77/E76)^(('Summary, PPI''s'!$E77+'Summary, PPI''s'!$E76)/('Predicted PPIs'!V77+'Predicted PPIs'!V76)))*IF(F$73=".", 1, (F77/F76)^(('Summary, PPI''s'!$F77+'Summary, PPI''s'!$F76)/('Predicted PPIs'!V77+'Predicted PPIs'!V76)))*IF(G$73=".", 1, (G77/G76)^(('Summary, PPI''s'!$G77+'Summary, PPI''s'!$G76)/('Predicted PPIs'!V77+'Predicted PPIs'!V76)))*IF(H$73=".", 1, (H77/H76)^(('Summary, PPI''s'!$H77+'Summary, PPI''s'!$H76)/('Predicted PPIs'!V77+'Predicted PPIs'!V76)))*IF(I$73=".", 1, (I77/I76)^(('Summary, PPI''s'!$I77+'Summary, PPI''s'!$I76)/('Predicted PPIs'!V77+'Predicted PPIs'!V76)))*IF(J$73=".", 1, (J77/J76)^(('Summary, PPI''s'!$J77+'Summary, PPI''s'!$J76)/('Predicted PPIs'!V77+'Predicted PPIs'!V76)))*IF(K$73=".", 1, (K77/K76)^(('Summary, PPI''s'!$K77+'Summary, PPI''s'!$K76)/('Predicted PPIs'!V77+'Predicted PPIs'!V76)))*IF(L$73=".", 1, (L77/L76)^(('Summary, PPI''s'!$L77+'Summary, PPI''s'!$L76)/('Predicted PPIs'!V77+'Predicted PPIs'!V76)))*IF(M$73=".", 1, (M77/M76)^(('Summary, PPI''s'!$M77+'Summary, PPI''s'!$M76)/('Predicted PPIs'!V77+'Predicted PPIs'!V76)))*IF(B$73=".", 1, (B77/B76)^(('Summary, PPI''s'!$B77+'Summary, PPI''s'!$B76)/('Predicted PPIs'!V77+'Predicted PPIs'!V76)))*IF(C$73=".", 1, (C77/C76)^(('Summary, PPI''s'!$C77+'Summary, PPI''s'!$C76)/('Predicted PPIs'!V77+'Predicted PPIs'!V76)))*IF(D$73=".", 1, (D77/D76)^(('Summary, PPI''s'!$D77+'Summary, PPI''s'!$D76)/('Predicted PPIs'!V77+'Predicted PPIs'!V76)))*IF(N$73=".", 1, (N77/N76)^(('Summary, PPI''s'!$N77+'Summary, PPI''s'!$N76)/('Predicted PPIs'!V77+'Predicted PPIs'!V76)))*IF(O$73=".", 1, (O77/O76)^(('Summary, PPI''s'!$O77+'Summary, PPI''s'!$O76)/('Predicted PPIs'!V77+'Predicted PPIs'!V76)))*IF(P$73=".", 1, (P77/P76)^(('Summary, PPI''s'!$P77+'Summary, PPI''s'!$P76)/('Predicted PPIs'!V77+'Predicted PPIs'!V76)))</f>
        <v>4.6802181480211278</v>
      </c>
      <c r="AE77" s="4">
        <f>AE76*IF(E$94=".", 1, (E77/E76)^(('Summary, PPI''s'!$E77+'Summary, PPI''s'!$E76)/('Predicted PPIs'!W77+'Predicted PPIs'!W76)))*IF(F$94=".", 1, (F77/F76)^(('Summary, PPI''s'!$F77+'Summary, PPI''s'!$F76)/('Predicted PPIs'!W77+'Predicted PPIs'!W76)))*IF(G$94=".", 1, (G77/G76)^(('Summary, PPI''s'!$G77+'Summary, PPI''s'!$G76)/('Predicted PPIs'!W77+'Predicted PPIs'!W76)))*IF(H$94=".", 1, (H77/H76)^(('Summary, PPI''s'!$H77+'Summary, PPI''s'!$H76)/('Predicted PPIs'!W77+'Predicted PPIs'!W76)))*IF(I$94=".", 1, (I77/I76)^(('Summary, PPI''s'!$I77+'Summary, PPI''s'!$I76)/('Predicted PPIs'!W77+'Predicted PPIs'!W76)))*IF(J$94=".", 1, (J77/J76)^(('Summary, PPI''s'!$J77+'Summary, PPI''s'!$J76)/('Predicted PPIs'!W77+'Predicted PPIs'!W76)))*IF(K$94=".", 1, (K77/K76)^(('Summary, PPI''s'!$K77+'Summary, PPI''s'!$K76)/('Predicted PPIs'!W77+'Predicted PPIs'!W76)))*IF(L$94=".", 1, (L77/L76)^(('Summary, PPI''s'!$L77+'Summary, PPI''s'!$L76)/('Predicted PPIs'!W77+'Predicted PPIs'!W76)))*IF(M$94=".", 1, (M77/M76)^(('Summary, PPI''s'!$M77+'Summary, PPI''s'!$M76)/('Predicted PPIs'!W77+'Predicted PPIs'!W76)))*IF(B$94=".", 1, (B77/B76)^(('Summary, PPI''s'!$B77+'Summary, PPI''s'!$B76)/('Predicted PPIs'!W77+'Predicted PPIs'!W76)))*IF(C$94=".", 1, (C77/C76)^(('Summary, PPI''s'!$C77+'Summary, PPI''s'!$C76)/('Predicted PPIs'!W77+'Predicted PPIs'!W76)))*IF(D$94=".", 1, (D77/D76)^(('Summary, PPI''s'!$D77+'Summary, PPI''s'!$D76)/('Predicted PPIs'!W77+'Predicted PPIs'!W76)))*IF(N$94=".", 1, (N77/N76)^(('Summary, PPI''s'!$N77+'Summary, PPI''s'!$N76)/('Predicted PPIs'!W77+'Predicted PPIs'!W76)))*IF(O$94=".", 1, (O77/O76)^(('Summary, PPI''s'!$O77+'Summary, PPI''s'!$O76)/('Predicted PPIs'!W77+'Predicted PPIs'!W76)))*IF(P$94=".", 1, (P77/P76)^(('Summary, PPI''s'!$P77+'Summary, PPI''s'!$P76)/('Predicted PPIs'!W77+'Predicted PPIs'!W76)))</f>
        <v>4.101957134702432</v>
      </c>
      <c r="AF77" s="4">
        <f>AF76*IF(E$123=".", 1, (E77/E76)^(('Summary, PPI''s'!$E77+'Summary, PPI''s'!$E76)/('Predicted PPIs'!X77+'Predicted PPIs'!X76)))*IF(F$123=".", 1, (F77/F76)^(('Summary, PPI''s'!$F77+'Summary, PPI''s'!$F76)/('Predicted PPIs'!X77+'Predicted PPIs'!X76)))*IF(G$123=".", 1, (G77/G76)^(('Summary, PPI''s'!$G77+'Summary, PPI''s'!$G76)/('Predicted PPIs'!X77+'Predicted PPIs'!X76)))*IF(H$123=".", 1, (H77/H76)^(('Summary, PPI''s'!$H77+'Summary, PPI''s'!$H76)/('Predicted PPIs'!X77+'Predicted PPIs'!X76)))*IF(I$123=".", 1, (I77/I76)^(('Summary, PPI''s'!$I77+'Summary, PPI''s'!$I76)/('Predicted PPIs'!X77+'Predicted PPIs'!X76)))*IF(J$123=".", 1, (J77/J76)^(('Summary, PPI''s'!$J77+'Summary, PPI''s'!$J76)/('Predicted PPIs'!X77+'Predicted PPIs'!X76)))*IF(K$123=".", 1, (K77/K76)^(('Summary, PPI''s'!$K77+'Summary, PPI''s'!$K76)/('Predicted PPIs'!X77+'Predicted PPIs'!X76)))*IF(L$123=".", 1, (L77/L76)^(('Summary, PPI''s'!$L77+'Summary, PPI''s'!$L76)/('Predicted PPIs'!X77+'Predicted PPIs'!X76)))*IF(M$123=".", 1, (M77/M76)^(('Summary, PPI''s'!$M77+'Summary, PPI''s'!$M76)/('Predicted PPIs'!X77+'Predicted PPIs'!X76)))*IF(B$123=".", 1, (B77/B76)^(('Summary, PPI''s'!$B77+'Summary, PPI''s'!$B76)/('Predicted PPIs'!X77+'Predicted PPIs'!X76)))*IF(C$123=".", 1, (C77/C76)^(('Summary, PPI''s'!$C77+'Summary, PPI''s'!$C76)/('Predicted PPIs'!X77+'Predicted PPIs'!X76)))*IF(D$123=".", 1, (D77/D76)^(('Summary, PPI''s'!$D77+'Summary, PPI''s'!$D76)/('Predicted PPIs'!X77+'Predicted PPIs'!X76)))*IF(N$123=".", 1, (N77/N76)^(('Summary, PPI''s'!$N77+'Summary, PPI''s'!$N76)/('Predicted PPIs'!X77+'Predicted PPIs'!X76)))*IF(O$123=".", 1, (O77/O76)^(('Summary, PPI''s'!$O77+'Summary, PPI''s'!$O76)/('Predicted PPIs'!X77+'Predicted PPIs'!X76)))*IF(P$123=".", 1, (P77/P76)^(('Summary, PPI''s'!$P77+'Summary, PPI''s'!$P76)/('Predicted PPIs'!X77+'Predicted PPIs'!X76)))</f>
        <v>3.5496888546663943</v>
      </c>
      <c r="AH77" s="13">
        <f t="shared" si="152"/>
        <v>5.6095561396634332</v>
      </c>
      <c r="AJ77" s="4">
        <v>144.19999999999999</v>
      </c>
      <c r="AK77" s="4">
        <v>-2.6619999999999999</v>
      </c>
      <c r="AL77" s="4">
        <v>-7.3559999999999999</v>
      </c>
      <c r="AM77" s="4">
        <v>-1.3029999999999999</v>
      </c>
      <c r="AN77" s="4">
        <f>AN76*AJ77/AJ76</f>
        <v>192.29635577516984</v>
      </c>
      <c r="AO77" s="4">
        <v>26.9</v>
      </c>
      <c r="AP77" s="4">
        <f>AP76*AO77/AO76</f>
        <v>-2.4886096256684493</v>
      </c>
      <c r="AQ77" s="4">
        <f>AQ76*AO77/AO76</f>
        <v>-4.7046229946524063</v>
      </c>
      <c r="AR77" s="4">
        <f t="shared" si="148"/>
        <v>-9.8514578075180868E-4</v>
      </c>
      <c r="AS77" s="4">
        <v>-0.996</v>
      </c>
      <c r="AT77" s="4">
        <v>11.342000000000001</v>
      </c>
      <c r="AU77" s="4">
        <v>22.596</v>
      </c>
      <c r="AV77" s="4">
        <v>9.2729999999999997</v>
      </c>
      <c r="AW77" s="4">
        <v>9.2690000000000001</v>
      </c>
      <c r="AX77" s="4">
        <f>AX76*AT77/AT76</f>
        <v>10.803590938200449</v>
      </c>
      <c r="AY77" s="4">
        <v>13.919</v>
      </c>
      <c r="AZ77" s="4">
        <v>4.9240000000000004</v>
      </c>
      <c r="BA77" s="4">
        <v>13.234</v>
      </c>
      <c r="BB77" s="4">
        <f t="shared" si="150"/>
        <v>75.695217805029912</v>
      </c>
      <c r="BC77" s="4">
        <v>10.805</v>
      </c>
      <c r="BG77" s="4">
        <f t="shared" ref="BG77:BG123" si="172">BG76*((AJ77/AT77)/(AJ76/AT76))^((AJ77+AJ76)/SUM(AJ76:AS77))*((AK77/AU77)/(AK76/AU76))^((AK77+AK76)/SUM(AJ76:AS77))*((AL77/AV77)/(AL76/AV76))^((AL77+AL76)/SUM(AJ76:AS77))*((AM77/AW77)/(AM76/AW76))^((AM77+AM76)/SUM(AJ76:AS77))*((AN77/AX77)/(AN76/AX76))^((AN77+AN76)/SUM(AJ76:AS77))*((AO77/AY77)/(AO76/AY76))^((AO77+AO76)/SUM(AJ76:AS77))*((AP77/AZ77)/(AP76/AZ76))^((AP77+AP76)/SUM(AJ76:AS77))*((AQ77/BA77)/(AQ76/BA76))^((AQ77+AQ76)/SUM(AJ76:AS77))*((AR77/BB77)/(AR76/BB76))^((AR77+AR76)/SUM(AJ76:AS77))*((AS77/BC77)/(AS76/BC76))^((AS77+AS76)/SUM(AJ76:AS77))</f>
        <v>12.868253154654335</v>
      </c>
      <c r="BI77" s="4">
        <f>BI$13*'[2]Ordinary Experience'!$D$349/'[2]Ordinary Experience'!$D$413</f>
        <v>143114396.33150563</v>
      </c>
      <c r="BJ77" s="4">
        <f>'[2]Ordinary Experience'!$E$349</f>
        <v>26.123259914207658</v>
      </c>
      <c r="BL77" s="4">
        <f t="shared" si="151"/>
        <v>30.70890126534297</v>
      </c>
      <c r="BM77" s="4">
        <f t="shared" si="153"/>
        <v>0.13526954403081137</v>
      </c>
      <c r="BO77" s="4" t="str">
        <f>IF(OR('Summary, hourly ad costs'!R77=-9999,'Summary, PPI''s'!R77="."),".",(('Summary, hourly ad costs'!B77/'Summary, hourly ad costs'!R77)*100/('Summary, hourly ad costs'!B$11/'Summary, hourly ad costs'!R$11))/('Summary, PPI''s'!R77))</f>
        <v>.</v>
      </c>
      <c r="BP77" s="4" t="str">
        <f>IF(OR('Summary, hourly ad costs'!S77=-9999,'Summary, PPI''s'!S77="."),".",(('Summary, hourly ad costs'!C77/'Summary, hourly ad costs'!S77)*100/('Summary, hourly ad costs'!C$11/'Summary, hourly ad costs'!S$11))/('Summary, PPI''s'!S77))</f>
        <v>.</v>
      </c>
      <c r="BQ77" s="4" t="str">
        <f>IF(OR('Summary, hourly ad costs'!T77=-9999,'Summary, PPI''s'!T77="."),".",(('Summary, hourly ad costs'!D77/'Summary, hourly ad costs'!T77)*100/('Summary, hourly ad costs'!D$11/'Summary, hourly ad costs'!T$11))/('Summary, PPI''s'!T77))</f>
        <v>.</v>
      </c>
      <c r="BR77" s="4" t="str">
        <f>IF(OR('Summary, hourly ad costs'!U77=-9999,'Summary, PPI''s'!U77="."),".",(('Summary, hourly ad costs'!E77/'Summary, hourly ad costs'!U77)*100/('Summary, hourly ad costs'!E$11/'Summary, hourly ad costs'!U$11))/('Summary, PPI''s'!U77))</f>
        <v>.</v>
      </c>
      <c r="BS77" s="4" t="str">
        <f>IF(OR('Summary, hourly ad costs'!V77=-9999,'Summary, PPI''s'!V77="."),".",(('Summary, hourly ad costs'!F77/'Summary, hourly ad costs'!V77)*100/('Summary, hourly ad costs'!F$11/'Summary, hourly ad costs'!V$11))/('Summary, PPI''s'!V77))</f>
        <v>.</v>
      </c>
      <c r="BT77" s="4" t="str">
        <f>IF(OR('Summary, hourly ad costs'!W77=-9999,'Summary, PPI''s'!W77="."),".",(('Summary, hourly ad costs'!G77/'Summary, hourly ad costs'!W77)*100/('Summary, hourly ad costs'!G$11/'Summary, hourly ad costs'!W$11))/('Summary, PPI''s'!W77))</f>
        <v>.</v>
      </c>
      <c r="BU77" s="4" t="str">
        <f>IF(OR('Summary, hourly ad costs'!X77=-9999,'Summary, PPI''s'!X77="."),".",(('Summary, hourly ad costs'!H77/'Summary, hourly ad costs'!X77)*100/('Summary, hourly ad costs'!H$11/'Summary, hourly ad costs'!X$11))/('Summary, PPI''s'!X77))</f>
        <v>.</v>
      </c>
      <c r="BV77" s="4" t="str">
        <f>IF(OR('Summary, hourly ad costs'!Y77=-9999,'Summary, PPI''s'!Y77="."),".",(('Summary, hourly ad costs'!I77/'Summary, hourly ad costs'!Y77)*100/('Summary, hourly ad costs'!I$11/'Summary, hourly ad costs'!Y$11))/('Summary, PPI''s'!Y77))</f>
        <v>.</v>
      </c>
      <c r="BW77" s="4" t="str">
        <f>IF(OR('Summary, hourly ad costs'!Z77=-9999,'Summary, PPI''s'!Z77="."),".",(('Summary, hourly ad costs'!J77/'Summary, hourly ad costs'!Z77)*100/('Summary, hourly ad costs'!J$11/'Summary, hourly ad costs'!Z$11))/('Summary, PPI''s'!Z77))</f>
        <v>.</v>
      </c>
      <c r="BX77" s="4" t="str">
        <f>IF(OR('Summary, hourly ad costs'!AA77=-9999,'Summary, PPI''s'!AA77="."),".",(('Summary, hourly ad costs'!K77/'Summary, hourly ad costs'!AA77)*100/('Summary, hourly ad costs'!K$11/'Summary, hourly ad costs'!AA$11))/('Summary, PPI''s'!AA77))</f>
        <v>.</v>
      </c>
      <c r="BY77" s="4" t="str">
        <f>IF(OR('Summary, hourly ad costs'!AB77=-9999,'Summary, PPI''s'!AB77="."),".",(('Summary, hourly ad costs'!L77/'Summary, hourly ad costs'!AB77)*100/('Summary, hourly ad costs'!L$11/'Summary, hourly ad costs'!AB$11))/('Summary, PPI''s'!AB77))</f>
        <v>.</v>
      </c>
      <c r="BZ77" s="4" t="str">
        <f>IF(OR('Summary, hourly ad costs'!AC77=-9999,'Summary, PPI''s'!AC77="."),".",(('Summary, hourly ad costs'!M77/'Summary, hourly ad costs'!AC77)*100/('Summary, hourly ad costs'!M$11/'Summary, hourly ad costs'!AC$11))/('Summary, PPI''s'!AC77))</f>
        <v>.</v>
      </c>
      <c r="CA77" s="4" t="str">
        <f>IF(OR('Summary, hourly ad costs'!AD77=-9999,'Summary, PPI''s'!AD77="."),".",(('Summary, hourly ad costs'!N77/'Summary, hourly ad costs'!AD77)*100/('Summary, hourly ad costs'!N$11/'Summary, hourly ad costs'!AD$11))/('Summary, PPI''s'!AD77))</f>
        <v>.</v>
      </c>
      <c r="CB77" s="4" t="str">
        <f>IF(OR('Summary, hourly ad costs'!AE77=-9999,'Summary, PPI''s'!AE77="."),".",(('Summary, hourly ad costs'!O77/'Summary, hourly ad costs'!AE77)*100/('Summary, hourly ad costs'!O$11/'Summary, hourly ad costs'!AE$11))/('Summary, PPI''s'!AE77))</f>
        <v>.</v>
      </c>
      <c r="CC77" s="4" t="str">
        <f>IF(OR('Summary, hourly ad costs'!AF77=-9999,'Summary, PPI''s'!AF77="."),".",(('Summary, hourly ad costs'!P77/'Summary, hourly ad costs'!AF77)*100/('Summary, hourly ad costs'!P$11/'Summary, hourly ad costs'!AF$11))/('Summary, PPI''s'!AF77))</f>
        <v>.</v>
      </c>
      <c r="CE77" s="4">
        <f t="shared" si="134"/>
        <v>9.6013154466588813E-2</v>
      </c>
      <c r="CF77" s="4" t="str">
        <f t="shared" si="135"/>
        <v>.</v>
      </c>
      <c r="CG77" s="4" t="str">
        <f t="shared" si="136"/>
        <v>.</v>
      </c>
      <c r="CH77" s="4">
        <f t="shared" si="145"/>
        <v>0.15357774073319294</v>
      </c>
      <c r="CI77" s="4">
        <f t="shared" si="145"/>
        <v>0.17612634646122413</v>
      </c>
      <c r="CJ77" s="4" t="str">
        <f t="shared" si="147"/>
        <v>.</v>
      </c>
      <c r="CK77" s="4">
        <f t="shared" si="149"/>
        <v>-3.1202564797018191E-3</v>
      </c>
      <c r="CL77" s="4">
        <f t="shared" si="130"/>
        <v>0.12283830368562167</v>
      </c>
      <c r="CM77" s="4">
        <f t="shared" si="130"/>
        <v>6.5680608109912442E-2</v>
      </c>
      <c r="CN77" s="4">
        <f t="shared" si="89"/>
        <v>0.10951786416691958</v>
      </c>
      <c r="CO77" s="4">
        <f t="shared" si="120"/>
        <v>0.88289074722668182</v>
      </c>
      <c r="CP77" s="4">
        <f t="shared" si="120"/>
        <v>-0.16730106154834545</v>
      </c>
      <c r="CQ77" s="4" t="str">
        <f t="shared" ref="CQ77:CQ108" si="173">IF(OR(CA77=".",CA78="."), ".", CA77/CA78-1)</f>
        <v>.</v>
      </c>
      <c r="CR77" s="4" t="str">
        <f t="shared" ref="CR77:CR108" si="174">IF(OR(CB77=".",CB78="."), ".", CB77/CB78-1)</f>
        <v>.</v>
      </c>
      <c r="CS77" s="4" t="str">
        <f t="shared" ref="CS77:CS108" si="175">IF(OR(CC77=".",CC78="."), ".", CC77/CC78-1)</f>
        <v>.</v>
      </c>
      <c r="CU77" s="5">
        <f>IF(CU76=".", ".", IF('Summary, PPI''s'!R77=".",IF(OR('Summary, hourly ad costs'!R77=-9999,'Summary, hourly ad costs'!R77=0), ".", 'Predicted PPIs'!CU76*('Summary, hourly ad costs'!B77/'Summary, hourly ad costs'!R77)/('Summary, hourly ad costs'!B76/'Summary, hourly ad costs'!R76)/(1-CE76)), 'Summary, PPI''s'!R77))</f>
        <v>17.949765969691864</v>
      </c>
      <c r="CV77" s="5" t="str">
        <f>IF(CV76=".", ".", IF('Summary, PPI''s'!S77=".",IF(OR('Summary, hourly ad costs'!S77=-9999,'Summary, hourly ad costs'!S77=0), ".", 'Predicted PPIs'!CV76*('Summary, hourly ad costs'!C77/'Summary, hourly ad costs'!S77)/('Summary, hourly ad costs'!C76/'Summary, hourly ad costs'!S76)/(1-CF76)), 'Summary, PPI''s'!S77))</f>
        <v>.</v>
      </c>
      <c r="CW77" s="5" t="str">
        <f>IF(CW76=".", ".", IF('Summary, PPI''s'!T77=".",IF(OR('Summary, hourly ad costs'!T77=-9999,'Summary, hourly ad costs'!T77=0), ".", 'Predicted PPIs'!CW76*('Summary, hourly ad costs'!D77/'Summary, hourly ad costs'!T77)/('Summary, hourly ad costs'!D76/'Summary, hourly ad costs'!T76)/(1-CG76)), 'Summary, PPI''s'!T77))</f>
        <v>.</v>
      </c>
      <c r="CX77" s="5">
        <f>IF(CX76=".", ".", IF('Summary, PPI''s'!U77=".",IF(OR('Summary, hourly ad costs'!U77=-9999,'Summary, hourly ad costs'!U77=0), ".", 'Predicted PPIs'!CX76*('Summary, hourly ad costs'!E77/'Summary, hourly ad costs'!U77)/('Summary, hourly ad costs'!E76/'Summary, hourly ad costs'!U76)/(1-CH76)), 'Summary, PPI''s'!U77))</f>
        <v>2.0973331824782933</v>
      </c>
      <c r="CY77" s="5">
        <f>IF(CY76=".", ".", IF('Summary, PPI''s'!V77=".",IF(OR('Summary, hourly ad costs'!V77=-9999,'Summary, hourly ad costs'!V77=0), ".", 'Predicted PPIs'!CY76*('Summary, hourly ad costs'!F77/'Summary, hourly ad costs'!V77)/('Summary, hourly ad costs'!F76/'Summary, hourly ad costs'!V76)/(1-CI76)), 'Summary, PPI''s'!V77))</f>
        <v>5.990303582393512</v>
      </c>
      <c r="CZ77" s="5" t="str">
        <f>IF(CZ76=".", ".", IF('Summary, PPI''s'!W77=".",IF(OR('Summary, hourly ad costs'!W77=-9999,'Summary, hourly ad costs'!W77=0), ".", 'Predicted PPIs'!CZ76*('Summary, hourly ad costs'!G77/'Summary, hourly ad costs'!W77)/('Summary, hourly ad costs'!G76/'Summary, hourly ad costs'!W76)/(1-CJ76)), 'Summary, PPI''s'!W77))</f>
        <v>.</v>
      </c>
      <c r="DA77" s="5">
        <f>IF(DA76=".", ".", IF('Summary, PPI''s'!X77=".",IF(OR('Summary, hourly ad costs'!X77=-9999,'Summary, hourly ad costs'!X77=0), ".", 'Predicted PPIs'!DA76*('Summary, hourly ad costs'!H77/'Summary, hourly ad costs'!X77)/('Summary, hourly ad costs'!H76/'Summary, hourly ad costs'!X76)/(1-CK76)), 'Summary, PPI''s'!X77))</f>
        <v>2.9023719313663565</v>
      </c>
      <c r="DB77" s="5">
        <f>IF(DB76=".", ".", IF('Summary, PPI''s'!Y77=".",IF(OR('Summary, hourly ad costs'!Y77=-9999,'Summary, hourly ad costs'!Y77=0), ".", 'Predicted PPIs'!DB76*('Summary, hourly ad costs'!I77/'Summary, hourly ad costs'!Y77)/('Summary, hourly ad costs'!I76/'Summary, hourly ad costs'!Y76)/(1-CL76)), 'Summary, PPI''s'!Y77))</f>
        <v>9.5716269409002486</v>
      </c>
      <c r="DC77" s="5" t="str">
        <f>IF(DC76=".", ".", IF('Summary, PPI''s'!Z77=".",IF(OR('Summary, hourly ad costs'!Z77=-9999,'Summary, hourly ad costs'!Z77=0), ".", 'Predicted PPIs'!DC76*('Summary, hourly ad costs'!J77/'Summary, hourly ad costs'!Z77)/('Summary, hourly ad costs'!J76/'Summary, hourly ad costs'!Z76)/(1-CM76)), 'Summary, PPI''s'!Z77))</f>
        <v>.</v>
      </c>
      <c r="DD77" s="5" t="str">
        <f>IF(DD76=".", ".", IF('Summary, PPI''s'!AA77=".",IF(OR('Summary, hourly ad costs'!AA77=-9999,'Summary, hourly ad costs'!AA77=0), ".", 'Predicted PPIs'!DD76*('Summary, hourly ad costs'!K77/'Summary, hourly ad costs'!AA77)/('Summary, hourly ad costs'!K76/'Summary, hourly ad costs'!AA76)/(1-CN76)), 'Summary, PPI''s'!AA77))</f>
        <v>.</v>
      </c>
      <c r="DE77" s="5" t="str">
        <f>IF(DE76=".", ".", IF('Summary, PPI''s'!AB77=".",IF(OR('Summary, hourly ad costs'!AB77=-9999,'Summary, hourly ad costs'!AB77=0), ".", 'Predicted PPIs'!DE76*('Summary, hourly ad costs'!L77/'Summary, hourly ad costs'!AB77)/('Summary, hourly ad costs'!L76/'Summary, hourly ad costs'!AB76)/(1-CO76)), 'Summary, PPI''s'!AB77))</f>
        <v>.</v>
      </c>
      <c r="DF77" s="5" t="str">
        <f>IF(DF76=".", ".", IF('Summary, PPI''s'!AC77=".",IF(OR('Summary, hourly ad costs'!AC77=-9999,'Summary, hourly ad costs'!AC77=0), ".", 'Predicted PPIs'!DF76*('Summary, hourly ad costs'!M77/'Summary, hourly ad costs'!AC77)/('Summary, hourly ad costs'!M76/'Summary, hourly ad costs'!AC76)/(1-CP76)), 'Summary, PPI''s'!AC77))</f>
        <v>.</v>
      </c>
      <c r="DG77" s="5" t="str">
        <f>IF(DG76=".", ".", IF('Summary, PPI''s'!AD77=".",IF(OR('Summary, hourly ad costs'!AD77=-9999,'Summary, hourly ad costs'!AD77=0), ".", 'Predicted PPIs'!DG76*('Summary, hourly ad costs'!N77/'Summary, hourly ad costs'!AD77)/('Summary, hourly ad costs'!N76/'Summary, hourly ad costs'!AD76)/(1-CQ76)), 'Summary, PPI''s'!AD77))</f>
        <v>.</v>
      </c>
      <c r="DH77" s="5" t="str">
        <f>IF(DH76=".", ".", IF('Summary, PPI''s'!AE77=".",IF(OR('Summary, hourly ad costs'!AE77=-9999,'Summary, hourly ad costs'!AE77=0), ".", 'Predicted PPIs'!DH76*('Summary, hourly ad costs'!O77/'Summary, hourly ad costs'!AE77)/('Summary, hourly ad costs'!O76/'Summary, hourly ad costs'!AE76)/(1-CR76)), 'Summary, PPI''s'!AE77))</f>
        <v>.</v>
      </c>
      <c r="DI77" s="5" t="str">
        <f>IF(DI76=".", ".", IF('Summary, PPI''s'!AF77=".",IF(OR('Summary, hourly ad costs'!AF77=-9999,'Summary, hourly ad costs'!AF77=0), ".", 'Predicted PPIs'!DI76*('Summary, hourly ad costs'!P77/'Summary, hourly ad costs'!AF77)/('Summary, hourly ad costs'!P76/'Summary, hourly ad costs'!AF76)/(1-CS76)), 'Summary, PPI''s'!AF77))</f>
        <v>.</v>
      </c>
      <c r="DK77" s="4">
        <v>3.3250000000000002</v>
      </c>
      <c r="DM77" s="5">
        <f t="shared" si="138"/>
        <v>-9.5809545272741437E-2</v>
      </c>
      <c r="DN77" s="4">
        <f t="shared" si="139"/>
        <v>-4.5855379750999105E-2</v>
      </c>
      <c r="DO77" s="4">
        <f t="shared" si="123"/>
        <v>-2.191159116734195E-2</v>
      </c>
      <c r="DP77" s="5">
        <f t="shared" si="140"/>
        <v>-2.4421113848314357E-2</v>
      </c>
      <c r="DQ77" s="5">
        <f t="shared" si="141"/>
        <v>-0.14670626748570725</v>
      </c>
      <c r="DR77" s="4">
        <f t="shared" si="146"/>
        <v>7.4342451937108589E-3</v>
      </c>
      <c r="DS77" s="5">
        <f t="shared" si="169"/>
        <v>-3.5607189130095862E-2</v>
      </c>
      <c r="DT77" s="5">
        <f t="shared" si="170"/>
        <v>-0.13796275330378494</v>
      </c>
      <c r="DU77" s="4">
        <f t="shared" si="171"/>
        <v>2.3220538324629794E-2</v>
      </c>
      <c r="DV77" s="4">
        <f t="shared" si="131"/>
        <v>-4.194848787111397E-3</v>
      </c>
      <c r="DW77" s="4">
        <f t="shared" si="133"/>
        <v>-0.41044000617536835</v>
      </c>
      <c r="DX77" s="4">
        <f t="shared" si="133"/>
        <v>0.58559947654513078</v>
      </c>
      <c r="DY77" s="4">
        <f t="shared" si="108"/>
        <v>-2.7809157507355797E-3</v>
      </c>
      <c r="DZ77" s="4">
        <f t="shared" si="132"/>
        <v>5.1686605632553853E-3</v>
      </c>
      <c r="EA77" s="4">
        <f t="shared" si="109"/>
        <v>-1.1242071957764457E-3</v>
      </c>
      <c r="EC77" s="1">
        <f t="shared" si="154"/>
        <v>17.949765969691864</v>
      </c>
      <c r="ED77" s="1">
        <f t="shared" si="155"/>
        <v>7.1475998298500345</v>
      </c>
      <c r="EE77" s="1">
        <f t="shared" si="156"/>
        <v>4.030245582138642</v>
      </c>
      <c r="EF77" s="1">
        <f t="shared" si="157"/>
        <v>2.0973331824782933</v>
      </c>
      <c r="EG77" s="1">
        <f t="shared" si="158"/>
        <v>5.990303582393512</v>
      </c>
      <c r="EH77" s="1">
        <f t="shared" si="159"/>
        <v>3.8092087671247725</v>
      </c>
      <c r="EI77" s="1">
        <f t="shared" si="160"/>
        <v>2.9023719313663565</v>
      </c>
      <c r="EJ77" s="1">
        <f t="shared" si="161"/>
        <v>9.5716269409002486</v>
      </c>
      <c r="EK77" s="1">
        <f t="shared" si="162"/>
        <v>14.8544920422902</v>
      </c>
      <c r="EL77" s="1">
        <f t="shared" si="163"/>
        <v>2.7175670109887951</v>
      </c>
      <c r="EM77" s="1">
        <f t="shared" si="164"/>
        <v>0.48961469403161834</v>
      </c>
      <c r="EN77" s="1">
        <f t="shared" si="165"/>
        <v>2.3626068937175635</v>
      </c>
      <c r="EO77" s="1">
        <f t="shared" si="166"/>
        <v>2.6233010789876792</v>
      </c>
      <c r="EP77" s="1">
        <f t="shared" si="167"/>
        <v>3.8693321121626503</v>
      </c>
      <c r="EQ77" s="1">
        <f t="shared" si="168"/>
        <v>2.9964829257610002</v>
      </c>
      <c r="ES77" s="1">
        <f>IF(EF$26=".", 0, 'Summary, PPI''s'!E77)+IF(EG$26=".", 0, 'Summary, PPI''s'!F77)+IF(EH$26=".", 0, 'Summary, PPI''s'!G77)+IF(EI$26=".", 0, 'Summary, PPI''s'!H77)+IF(EJ$26=".", 0, 'Summary, PPI''s'!I77)+IF(EK$26=".", 0, 'Summary, PPI''s'!J77)+IF(EL$26=".", 0, 'Summary, PPI''s'!K77)+IF(EM$26=".", 0, 'Summary, PPI''s'!L77)+IF(EN$26=".", 0, 'Summary, PPI''s'!M77)+IF(EC$26=".", 0, 'Summary, PPI''s'!B77)+IF(ED$26=".", 0, 'Summary, PPI''s'!C77)+IF(EE$26=".", 0, 'Summary, PPI''s'!D77)+IF(EO$26=".", 0, 'Summary, PPI''s'!N77)+IF(EP$26=".", 0, 'Summary, PPI''s'!O77)+IF(EQ$26=".", 0, 'Summary, PPI''s'!P77)</f>
        <v>3688607.562745261</v>
      </c>
      <c r="ET77" s="1">
        <f>'Summary, hourly ad costs'!E77+'Summary, hourly ad costs'!F77+'Summary, hourly ad costs'!H77+'Summary, hourly ad costs'!I77+'Summary, hourly ad costs'!J77+'Summary, hourly ad costs'!K77+'Summary, hourly ad costs'!L77+'Summary, hourly ad costs'!M77+'Summary, hourly ad costs'!B77</f>
        <v>2259397.2404183084</v>
      </c>
      <c r="EV77" s="13">
        <f>EV76*IF(EF$26=".", 1, (EF77/EF76)^(('Summary, PPI''s'!$E77+'Summary, PPI''s'!$E76)/('Predicted PPIs'!ES77+'Predicted PPIs'!ES76)))*IF(EG$26=".", 1, (EG77/EG76)^(('Summary, PPI''s'!$F77+'Summary, PPI''s'!$F76)/('Predicted PPIs'!ES77+'Predicted PPIs'!ES76)))*IF(EH$26=".", 1, (EH77/EH76)^(('Summary, PPI''s'!$G77+'Summary, PPI''s'!$G76)/('Predicted PPIs'!ES77+'Predicted PPIs'!ES76)))*IF(EI$26=".", 1, (EI77/EI76)^(('Summary, PPI''s'!$H77+'Summary, PPI''s'!$H76)/('Predicted PPIs'!ES77+'Predicted PPIs'!ES76)))*IF(EJ$26=".", 1, (EJ77/EJ76)^(('Summary, PPI''s'!$I77+'Summary, PPI''s'!$I76)/('Predicted PPIs'!ES77+'Predicted PPIs'!ES76)))*IF(EK$26=".", 1, (EK77/EK76)^(('Summary, PPI''s'!$J77+'Summary, PPI''s'!$J76)/('Predicted PPIs'!ES77+'Predicted PPIs'!ES76)))*IF(EL$26=".", 1, (EL77/EL76)^(('Summary, PPI''s'!$K77+'Summary, PPI''s'!$K76)/('Predicted PPIs'!ES77+'Predicted PPIs'!ES76)))*IF(EM$26=".", 1, (EM77/EM76)^(('Summary, PPI''s'!$L77+'Summary, PPI''s'!$L76)/('Predicted PPIs'!ES77+'Predicted PPIs'!ES76)))*IF(EN$26=".", 1, (EN77/EN76)^(('Summary, PPI''s'!$M77+'Summary, PPI''s'!$M76)/('Predicted PPIs'!ES77+'Predicted PPIs'!ES76)))*IF(EC$26=".", 1, (EC77/EC76)^(('Summary, PPI''s'!$B77+'Summary, PPI''s'!$B76)/('Predicted PPIs'!ES77+'Predicted PPIs'!ES76)))*IF(ED$26=".", 1, (ED77/ED76)^(('Summary, PPI''s'!$C77+'Summary, PPI''s'!$C76)/('Predicted PPIs'!ES77+'Predicted PPIs'!ES76)))*IF(EE$26=".", 1, (EE77/EE76)^(('Summary, PPI''s'!$D77+'Summary, PPI''s'!$D76)/('Predicted PPIs'!ES77+'Predicted PPIs'!ES76)))*IF(EO$26=".", 1, (EO77/EO76)^(('Summary, PPI''s'!$N77+'Summary, PPI''s'!$N76)/('Predicted PPIs'!ES77+'Predicted PPIs'!ES76)))*IF(EP$26=".", 1, (EP77/EP76)^(('Summary, PPI''s'!$O77+'Summary, PPI''s'!$O76)/('Predicted PPIs'!ES77+'Predicted PPIs'!ES76)))*IF(EQ$26=".", 1, (EQ77/EQ76)^(('Summary, PPI''s'!$P77+'Summary, PPI''s'!$P76)/('Predicted PPIs'!ES77+'Predicted PPIs'!ES76)))</f>
        <v>4.9830691576631718</v>
      </c>
      <c r="EW77" s="13">
        <f>EW76*IF(EF$26=".", 1, (EF77/EF76)^(('Summary, PPI''s'!$E77+'Summary, PPI''s'!$E76)/('Predicted PPIs'!ET77+'Predicted PPIs'!ET76)))*IF(EG$26=".", 1, (EG77/EG76)^(('Summary, PPI''s'!$F77+'Summary, PPI''s'!$F76)/('Predicted PPIs'!ET77+'Predicted PPIs'!ET76)))*IF(EH$26=".", 1, (EH77/EH76)^(('Summary, PPI''s'!$G77+'Summary, PPI''s'!$G76)/('Predicted PPIs'!ET77+'Predicted PPIs'!ET76)))*IF(EK$26=".", 1, (EK77/EK76)^(('Summary, PPI''s'!$J77+'Summary, PPI''s'!$J76)/('Predicted PPIs'!ET77+'Predicted PPIs'!ET76)))*IF(EL$26=".", 1, (EL77/EL76)^(('Summary, PPI''s'!$K77+'Summary, PPI''s'!$K76)/('Predicted PPIs'!ET77+'Predicted PPIs'!ET76)))*IF(EM$26=".", 1, (EM77/EM76)^(('Summary, PPI''s'!$L77+'Summary, PPI''s'!$L76)/('Predicted PPIs'!ET77+'Predicted PPIs'!ET76)))*IF(EN$26=".", 1, (EN77/EN76)^(('Summary, PPI''s'!$M77+'Summary, PPI''s'!$M76)/('Predicted PPIs'!ET77+'Predicted PPIs'!ET76)))*IF(EC$26=".", 1, (EC77/EC76)^(('Summary, PPI''s'!$B77+'Summary, PPI''s'!$B76)/('Predicted PPIs'!ET77+'Predicted PPIs'!ET76)))</f>
        <v>6.8169970214976718</v>
      </c>
      <c r="EY77" s="2"/>
    </row>
    <row r="78" spans="1:155" x14ac:dyDescent="0.3">
      <c r="A78" s="4">
        <v>1945</v>
      </c>
      <c r="B78" s="10">
        <f>IF(B77=".", ".", IF('Summary, PPI''s'!R78=".",IF(OR('Summary, hourly ad costs'!R78=-9999,'Summary, hourly ad costs'!R78=0), ".", 'Predicted PPIs'!B77*('Summary, hourly ad costs'!B78/'Summary, hourly ad costs'!R78)/('Summary, hourly ad costs'!B77/'Summary, hourly ad costs'!R77)), 'Summary, PPI''s'!R78))</f>
        <v>21.585017564583765</v>
      </c>
      <c r="C78" s="10" t="str">
        <f>IF(C77=".", ".", IF('Summary, PPI''s'!S78=".",IF(OR('Summary, hourly ad costs'!S78=-9999,'Summary, hourly ad costs'!S78=0), ".", 'Predicted PPIs'!C77*('Summary, hourly ad costs'!C78/'Summary, hourly ad costs'!S78)/('Summary, hourly ad costs'!C77/'Summary, hourly ad costs'!S77)), 'Summary, PPI''s'!S78))</f>
        <v>.</v>
      </c>
      <c r="D78" s="10" t="str">
        <f>IF(D77=".", ".", IF('Summary, PPI''s'!T78=".",IF(OR('Summary, hourly ad costs'!T78=-9999,'Summary, hourly ad costs'!T78=0), ".", 'Predicted PPIs'!D77*('Summary, hourly ad costs'!D78/'Summary, hourly ad costs'!T78)/('Summary, hourly ad costs'!D77/'Summary, hourly ad costs'!T77)), 'Summary, PPI''s'!T78))</f>
        <v>.</v>
      </c>
      <c r="E78" s="10">
        <f>IF(E77=".", ".", IF('Summary, PPI''s'!U78=".",IF(OR('Summary, hourly ad costs'!U78=-9999,'Summary, hourly ad costs'!U78=0), ".", 'Predicted PPIs'!E77*('Summary, hourly ad costs'!E78/'Summary, hourly ad costs'!U78)/('Summary, hourly ad costs'!E77/'Summary, hourly ad costs'!U77)), 'Summary, PPI''s'!U78))</f>
        <v>1.6077402502218932</v>
      </c>
      <c r="F78" s="10">
        <f>IF(F77=".", ".", IF('Summary, PPI''s'!V78=".",IF(OR('Summary, hourly ad costs'!V78=-9999,'Summary, hourly ad costs'!V78=0), ".", 'Predicted PPIs'!F77*('Summary, hourly ad costs'!F78/'Summary, hourly ad costs'!V78)/('Summary, hourly ad costs'!F77/'Summary, hourly ad costs'!V77)), 'Summary, PPI''s'!V78))</f>
        <v>4.8800835020425106</v>
      </c>
      <c r="G78" s="10" t="str">
        <f>IF(G77=".", ".", IF('Summary, PPI''s'!W78=".",IF(OR('Summary, hourly ad costs'!W78=-9999,'Summary, hourly ad costs'!W78=0), ".", 'Predicted PPIs'!G77*('Summary, hourly ad costs'!G78/'Summary, hourly ad costs'!W78)/('Summary, hourly ad costs'!G77/'Summary, hourly ad costs'!W77)), 'Summary, PPI''s'!W78))</f>
        <v>.</v>
      </c>
      <c r="H78" s="10">
        <f>IF(H77=".", ".", IF('Summary, PPI''s'!X78=".",IF(OR('Summary, hourly ad costs'!X78=-9999,'Summary, hourly ad costs'!X78=0), ".", 'Predicted PPIs'!H77*('Summary, hourly ad costs'!H78/'Summary, hourly ad costs'!X78)/('Summary, hourly ad costs'!H77/'Summary, hourly ad costs'!X77)), 'Summary, PPI''s'!X78))</f>
        <v>2.8258052307692294</v>
      </c>
      <c r="I78" s="10">
        <f>IF(I77=".", ".", IF('Summary, PPI''s'!Y78=".",IF(OR('Summary, hourly ad costs'!Y78=-9999,'Summary, hourly ad costs'!Y78=0), ".", 'Predicted PPIs'!I77*('Summary, hourly ad costs'!I78/'Summary, hourly ad costs'!Y78)/('Summary, hourly ad costs'!I77/'Summary, hourly ad costs'!Y77)), 'Summary, PPI''s'!Y78))</f>
        <v>7.6958905228248851</v>
      </c>
      <c r="J78" s="10" t="str">
        <f>IF(J77=".", ".", IF('Summary, PPI''s'!Z78=".",IF(OR('Summary, hourly ad costs'!Z78=-9999,'Summary, hourly ad costs'!Z78=0), ".", 'Predicted PPIs'!J77*('Summary, hourly ad costs'!J78/'Summary, hourly ad costs'!Z78)/('Summary, hourly ad costs'!J77/'Summary, hourly ad costs'!Z77)), 'Summary, PPI''s'!Z78))</f>
        <v>.</v>
      </c>
      <c r="K78" s="10" t="str">
        <f>IF(K77=".", ".", IF('Summary, PPI''s'!AA78=".",IF(OR('Summary, hourly ad costs'!AA78=-9999,'Summary, hourly ad costs'!AA78=0), ".", 'Predicted PPIs'!K77*('Summary, hourly ad costs'!K78/'Summary, hourly ad costs'!AA78)/('Summary, hourly ad costs'!K77/'Summary, hourly ad costs'!AA77)), 'Summary, PPI''s'!AA78))</f>
        <v>.</v>
      </c>
      <c r="L78" s="10" t="str">
        <f>IF(L77=".", ".", IF('Summary, PPI''s'!AB78=".",IF(OR('Summary, hourly ad costs'!AB78=-9999,'Summary, hourly ad costs'!AB78=0), ".", 'Predicted PPIs'!L77*('Summary, hourly ad costs'!L78/'Summary, hourly ad costs'!AB78)/('Summary, hourly ad costs'!L77/'Summary, hourly ad costs'!AB77)), 'Summary, PPI''s'!AB78))</f>
        <v>.</v>
      </c>
      <c r="M78" s="10" t="str">
        <f>IF(M77=".", ".", IF('Summary, PPI''s'!AC78=".",IF(OR('Summary, hourly ad costs'!AC78=-9999,'Summary, hourly ad costs'!AC78=0), ".", 'Predicted PPIs'!M77*('Summary, hourly ad costs'!M78/'Summary, hourly ad costs'!AC78)/('Summary, hourly ad costs'!M77/'Summary, hourly ad costs'!AC77)), 'Summary, PPI''s'!AC78))</f>
        <v>.</v>
      </c>
      <c r="N78" s="10" t="str">
        <f>IF(N77=".", ".", IF('Summary, PPI''s'!AD78=".",IF(OR('Summary, hourly ad costs'!AD78=-9999,'Summary, hourly ad costs'!AD78=0), ".", 'Predicted PPIs'!N77*('Summary, hourly ad costs'!N78/'Summary, hourly ad costs'!AD78)/('Summary, hourly ad costs'!N77/'Summary, hourly ad costs'!AD77)), 'Summary, PPI''s'!AD78))</f>
        <v>.</v>
      </c>
      <c r="O78" s="10" t="str">
        <f>IF(O77=".", ".", IF('Summary, PPI''s'!AE78=".",IF(OR('Summary, hourly ad costs'!AE78=-9999,'Summary, hourly ad costs'!AE78=0), ".", 'Predicted PPIs'!O77*('Summary, hourly ad costs'!O78/'Summary, hourly ad costs'!AE78)/('Summary, hourly ad costs'!O77/'Summary, hourly ad costs'!AE77)), 'Summary, PPI''s'!AE78))</f>
        <v>.</v>
      </c>
      <c r="P78" s="10" t="str">
        <f>IF(P77=".", ".", IF('Summary, PPI''s'!AF78=".",IF(OR('Summary, hourly ad costs'!AF78=-9999,'Summary, hourly ad costs'!AF78=0), ".", 'Predicted PPIs'!P77*('Summary, hourly ad costs'!P78/'Summary, hourly ad costs'!AF78)/('Summary, hourly ad costs'!P77/'Summary, hourly ad costs'!AF77)), 'Summary, PPI''s'!AF78))</f>
        <v>.</v>
      </c>
      <c r="R78" s="1">
        <f>IF(E$26=".", 0, 'Summary, PPI''s'!E78)+IF(F$26=".", 0, 'Summary, PPI''s'!F78)+IF(G$26=".", 0, 'Summary, PPI''s'!G78)+IF(H$26=".", 0, 'Summary, PPI''s'!H78)+IF(I$26=".", 0, 'Summary, PPI''s'!I78)+IF(J$26=".", 0, 'Summary, PPI''s'!J78)+IF(K$26=".", 0, 'Summary, PPI''s'!K78)+IF(L$26=".", 0, 'Summary, PPI''s'!L78)+IF(M$26=".", 0, 'Summary, PPI''s'!M78)+IF(B$26=".", 0, 'Summary, PPI''s'!B78)+IF(C$26=".", 0, 'Summary, PPI''s'!C78)+IF(D$26=".", 0, 'Summary, PPI''s'!D78)+IF(N$26=".", 0, 'Summary, PPI''s'!N78)+IF(O$26=".", 0, 'Summary, PPI''s'!O78)+IF(P$26=".", 0, 'Summary, PPI''s'!P78)</f>
        <v>3110869.0535600339</v>
      </c>
      <c r="S78" s="1">
        <f>IF(E$36=".", 0, 'Summary, PPI''s'!E78)+IF(F$36=".", 0, 'Summary, PPI''s'!F78)+IF(G$36=".", 0, 'Summary, PPI''s'!G78)+IF(H$36=".", 0, 'Summary, PPI''s'!H78)+IF(I$36=".", 0, 'Summary, PPI''s'!I78)+IF(J$36=".", 0, 'Summary, PPI''s'!J78)+IF(K$36=".", 0, 'Summary, PPI''s'!K78)+IF(L$36=".", 0, 'Summary, PPI''s'!L78)+IF(M$36=".", 0, 'Summary, PPI''s'!M78)+IF(B$36=".", 0, 'Summary, PPI''s'!B78)+IF(C$36=".", 0, 'Summary, PPI''s'!C78)+IF(D$36=".", 0, 'Summary, PPI''s'!D78)+IF(N$36=".", 0, 'Summary, PPI''s'!N78)+IF(O$36=".", 0, 'Summary, PPI''s'!O78)+IF(P$36=".", 0, 'Summary, PPI''s'!P78)</f>
        <v>3110869.0535600339</v>
      </c>
      <c r="T78" s="1">
        <f>IF(E$46=".", 0, 'Summary, PPI''s'!E78)+IF(F$46=".", 0, 'Summary, PPI''s'!F78)+IF(G$46=".", 0, 'Summary, PPI''s'!G78)+IF(H$46=".", 0, 'Summary, PPI''s'!H78)+IF(I$46=".", 0, 'Summary, PPI''s'!I78)+IF(J$46=".", 0, 'Summary, PPI''s'!J78)+IF(K$46=".", 0, 'Summary, PPI''s'!K78)+IF(L$46=".", 0, 'Summary, PPI''s'!L78)+IF(M$46=".", 0, 'Summary, PPI''s'!M78)+IF(B$46=".", 0, 'Summary, PPI''s'!B78)+IF(C$46=".", 0, 'Summary, PPI''s'!C78)+IF(D$46=".", 0, 'Summary, PPI''s'!D78)+IF(N$46=".", 0, 'Summary, PPI''s'!N78)+IF(O$46=".", 0, 'Summary, PPI''s'!O78)+IF(P$46=".", 0, 'Summary, PPI''s'!P78)</f>
        <v>2406964.3868205575</v>
      </c>
      <c r="U78" s="1">
        <f>IF(E$60=".", 0, 'Summary, PPI''s'!E78)+IF(F$60=".", 0, 'Summary, PPI''s'!F78)+IF(G$60=".", 0, 'Summary, PPI''s'!G78)+IF(H$60=".", 0, 'Summary, PPI''s'!H78)+IF(I$60=".", 0, 'Summary, PPI''s'!I78)+IF(J$60=".", 0, 'Summary, PPI''s'!J78)+IF(K$60=".", 0, 'Summary, PPI''s'!K78)+IF(L$60=".", 0, 'Summary, PPI''s'!L78)+IF(M$60=".", 0, 'Summary, PPI''s'!M78)+IF(B$60=".", 0, 'Summary, PPI''s'!B78)+IF(C$60=".", 0, 'Summary, PPI''s'!C78)+IF(D$60=".", 0, 'Summary, PPI''s'!D78)+IF(N$60=".", 0, 'Summary, PPI''s'!N78)+IF(O$60=".", 0, 'Summary, PPI''s'!O78)+IF(P$60=".", 0, 'Summary, PPI''s'!P78)</f>
        <v>2179725.4716342962</v>
      </c>
      <c r="V78" s="1">
        <f>IF(E$73=".", 0, 'Summary, PPI''s'!E78)+IF(F$73=".", 0, 'Summary, PPI''s'!F78)+IF(G$73=".", 0, 'Summary, PPI''s'!G78)+IF(H$73=".", 0, 'Summary, PPI''s'!H78)+IF(I$73=".", 0, 'Summary, PPI''s'!I78)+IF(J$73=".", 0, 'Summary, PPI''s'!J78)+IF(K$73=".", 0, 'Summary, PPI''s'!K78)+IF(L$73=".", 0, 'Summary, PPI''s'!L78)+IF(M$73=".", 0, 'Summary, PPI''s'!M78)+IF(B$73=".", 0, 'Summary, PPI''s'!B78)+IF(C$73=".", 0, 'Summary, PPI''s'!C78)+IF(D$73=".", 0, 'Summary, PPI''s'!D78)+IF(N$73=".", 0, 'Summary, PPI''s'!N78)+IF(O$73=".", 0, 'Summary, PPI''s'!O78)+IF(P$73=".", 0, 'Summary, PPI''s'!P78)</f>
        <v>1939719.6676074632</v>
      </c>
      <c r="W78" s="1">
        <f>IF(E$94=".",0,'Summary, PPI''s'!E78)+IF(F$94=".",0,'Summary, PPI''s'!F78)+IF(G$94=".",0,'Summary, PPI''s'!G78)+IF(H$94=".",0,'Summary, PPI''s'!H78)+IF(I$94=".",0,'Summary, PPI''s'!I78)+IF(J$94=".",0,'Summary, PPI''s'!J78)+IF(K$94=".",0,'Summary, PPI''s'!K78)+IF(L$94=".",0,'Summary, PPI''s'!L78)+IF(M$94=".",0,'Summary, PPI''s'!M78)+IF(B$94=".",0,'Summary, PPI''s'!B78)+IF(C$94=".",0,'Summary, PPI''s'!C78)+IF(D$94=".",0,'Summary, PPI''s'!D78)+IF(N$94=".",0,'Summary, PPI''s'!N78)+IF(O$94=".",0,'Summary, PPI''s'!O78)+IF(P$94=".",0,'Summary, PPI''s'!P78)</f>
        <v>1939719.6676074632</v>
      </c>
      <c r="X78" s="1">
        <f>IF(E$123=".", 0, 'Summary, PPI''s'!E78)+IF(F$123=".", 0, 'Summary, PPI''s'!F78)+IF(G$123=".", 0, 'Summary, PPI''s'!G78)+IF(H$123=".", 0, 'Summary, PPI''s'!H78)+IF(I$123=".", 0, 'Summary, PPI''s'!I78)+IF(J$123=".", 0, 'Summary, PPI''s'!J78)+IF(K$123=".", 0, 'Summary, PPI''s'!K78)+IF(L$123=".", 0, 'Summary, PPI''s'!L78)+IF(M$123=".", 0, 'Summary, PPI''s'!M78)+IF(B$123=".", 0, 'Summary, PPI''s'!B78)+IF(C$123=".", 0, 'Summary, PPI''s'!C78)+IF(D$123=".", 0, 'Summary, PPI''s'!D78)+IF(N$123=".", 0, 'Summary, PPI''s'!N78)+IF(O$123=".", 0, 'Summary, PPI''s'!O78)+IF(P$123=".", 0, 'Summary, PPI''s'!P78)</f>
        <v>1601366.7214805563</v>
      </c>
      <c r="Z78" s="4" t="e">
        <f>Z77*IF(E$26=".", 1, (E78/E77)^(('Summary, PPI''s'!$E78+'Summary, PPI''s'!$E77)/('Predicted PPIs'!R78+'Predicted PPIs'!R77)))*IF(F$26=".", 1, (F78/F77)^(('Summary, PPI''s'!$F78+'Summary, PPI''s'!$F77)/('Predicted PPIs'!R78+'Predicted PPIs'!R77)))*IF(G$26=".", 1, (G78/G77)^(('Summary, PPI''s'!$G78+'Summary, PPI''s'!$G77)/('Predicted PPIs'!R78+'Predicted PPIs'!R77)))*IF(H$26=".", 1, (H78/H77)^(('Summary, PPI''s'!$H78+'Summary, PPI''s'!$H77)/('Predicted PPIs'!R78+'Predicted PPIs'!R77)))*IF(I$26=".", 1, (I78/I77)^(('Summary, PPI''s'!$I78+'Summary, PPI''s'!$I77)/('Predicted PPIs'!R78+'Predicted PPIs'!R77)))*IF(J$26=".", 1, (J78/J77)^(('Summary, PPI''s'!$J78+'Summary, PPI''s'!$J77)/('Predicted PPIs'!R78+'Predicted PPIs'!R77)))*IF(K$26=".", 1, (K78/K77)^(('Summary, PPI''s'!$K78+'Summary, PPI''s'!$K77)/('Predicted PPIs'!R78+'Predicted PPIs'!R77)))*IF(L$26=".", 1, (L78/L77)^(('Summary, PPI''s'!$L78+'Summary, PPI''s'!$L77)/('Predicted PPIs'!R78+'Predicted PPIs'!R77)))*IF(M$26=".", 1, (M78/M77)^(('Summary, PPI''s'!$M78+'Summary, PPI''s'!$M77)/('Predicted PPIs'!R78+'Predicted PPIs'!R77)))*IF(B$26=".", 1, (B78/B77)^(('Summary, PPI''s'!$B78+'Summary, PPI''s'!$B77)/('Predicted PPIs'!R78+'Predicted PPIs'!R77)))*IF(C$26=".", 1, (C78/C77)^(('Summary, PPI''s'!$C78+'Summary, PPI''s'!$C77)/('Predicted PPIs'!R78+'Predicted PPIs'!R77)))*IF(D$26=".", 1, (D78/D77)^(('Summary, PPI''s'!$D78+'Summary, PPI''s'!$D77)/('Predicted PPIs'!R78+'Predicted PPIs'!R77)))*IF(N$26=".", 1, (N78/N77)^(('Summary, PPI''s'!$N78+'Summary, PPI''s'!$N77)/('Predicted PPIs'!R78+'Predicted PPIs'!R77)))*IF(O$26=".", 1, (O78/O77)^(('Summary, PPI''s'!$O78+'Summary, PPI''s'!$O77)/('Predicted PPIs'!R78+'Predicted PPIs'!R77)))*IF(P$26=".", 1, (P78/P77)^(('Summary, PPI''s'!$P78+'Summary, PPI''s'!$P77)/('Predicted PPIs'!R78+'Predicted PPIs'!R77)))</f>
        <v>#VALUE!</v>
      </c>
      <c r="AA78" s="4" t="e">
        <f>AA77*IF(E$36=".", 1, (E78/E77)^(('Summary, PPI''s'!$E78+'Summary, PPI''s'!$E77)/('Predicted PPIs'!S78+'Predicted PPIs'!S77)))*IF(F$36=".", 1, (F78/F77)^(('Summary, PPI''s'!$F78+'Summary, PPI''s'!$F77)/('Predicted PPIs'!S78+'Predicted PPIs'!S77)))*IF(G$36=".", 1, (G78/G77)^(('Summary, PPI''s'!$G78+'Summary, PPI''s'!$G77)/('Predicted PPIs'!S78+'Predicted PPIs'!S77)))*IF(H$36=".", 1, (H78/H77)^(('Summary, PPI''s'!$H78+'Summary, PPI''s'!$H77)/('Predicted PPIs'!S78+'Predicted PPIs'!S77)))*IF(I$36=".", 1, (I78/I77)^(('Summary, PPI''s'!$I78+'Summary, PPI''s'!$I77)/('Predicted PPIs'!S78+'Predicted PPIs'!S77)))*IF(J$36=".", 1, (J78/J77)^(('Summary, PPI''s'!$J78+'Summary, PPI''s'!$J77)/('Predicted PPIs'!S78+'Predicted PPIs'!S77)))*IF(K$36=".", 1, (K78/K77)^(('Summary, PPI''s'!$K78+'Summary, PPI''s'!$K77)/('Predicted PPIs'!S78+'Predicted PPIs'!S77)))*IF(L$36=".", 1, (L78/L77)^(('Summary, PPI''s'!$L78+'Summary, PPI''s'!$L77)/('Predicted PPIs'!S78+'Predicted PPIs'!S77)))*IF(M$36=".", 1, (M78/M77)^(('Summary, PPI''s'!$M78+'Summary, PPI''s'!$M77)/('Predicted PPIs'!S78+'Predicted PPIs'!S77)))*IF(B$36=".", 1, (B78/B77)^(('Summary, PPI''s'!$B78+'Summary, PPI''s'!$B77)/('Predicted PPIs'!S78+'Predicted PPIs'!S77)))*IF(C$36=".", 1, (C78/C77)^(('Summary, PPI''s'!$C78+'Summary, PPI''s'!$C77)/('Predicted PPIs'!S78+'Predicted PPIs'!S77)))*IF(D$36=".", 1, (D78/D77)^(('Summary, PPI''s'!$D78+'Summary, PPI''s'!$D77)/('Predicted PPIs'!S78+'Predicted PPIs'!S77)))*IF(N$36=".", 1, (N78/N77)^(('Summary, PPI''s'!$N78+'Summary, PPI''s'!$N77)/('Predicted PPIs'!S78+'Predicted PPIs'!S77)))*IF(O$36=".", 1, (O78/O77)^(('Summary, PPI''s'!$O78+'Summary, PPI''s'!$O77)/('Predicted PPIs'!S78+'Predicted PPIs'!S77)))*IF(P$36=".", 1, (P78/P77)^(('Summary, PPI''s'!$P78+'Summary, PPI''s'!$P77)/('Predicted PPIs'!S78+'Predicted PPIs'!S77)))</f>
        <v>#VALUE!</v>
      </c>
      <c r="AB78" s="4" t="e">
        <f>AB77*IF(E$46=".", 1, (E78/E77)^(('Summary, PPI''s'!$E78+'Summary, PPI''s'!$E77)/('Predicted PPIs'!T78+'Predicted PPIs'!T77)))*IF(F$46=".", 1, (F78/F77)^(('Summary, PPI''s'!$F78+'Summary, PPI''s'!$F77)/('Predicted PPIs'!T78+'Predicted PPIs'!T77)))*IF(G$46=".", 1, (G78/G77)^(('Summary, PPI''s'!$G78+'Summary, PPI''s'!$G77)/('Predicted PPIs'!T78+'Predicted PPIs'!T77)))*IF(H$46=".", 1, (H78/H77)^(('Summary, PPI''s'!$H78+'Summary, PPI''s'!$H77)/('Predicted PPIs'!T78+'Predicted PPIs'!T77)))*IF(I$46=".", 1, (I78/I77)^(('Summary, PPI''s'!$I78+'Summary, PPI''s'!$I77)/('Predicted PPIs'!T78+'Predicted PPIs'!T77)))*IF(J$46=".", 1, (J78/J77)^(('Summary, PPI''s'!$J78+'Summary, PPI''s'!$J77)/('Predicted PPIs'!T78+'Predicted PPIs'!T77)))*IF(K$46=".", 1, (K78/K77)^(('Summary, PPI''s'!$K78+'Summary, PPI''s'!$K77)/('Predicted PPIs'!T78+'Predicted PPIs'!T77)))*IF(L$46=".", 1, (L78/L77)^(('Summary, PPI''s'!$L78+'Summary, PPI''s'!$L77)/('Predicted PPIs'!T78+'Predicted PPIs'!T77)))*IF(M$46=".", 1, (M78/M77)^(('Summary, PPI''s'!$M78+'Summary, PPI''s'!$M77)/('Predicted PPIs'!T78+'Predicted PPIs'!T77)))*IF(B$46=".", 1, (B78/B77)^(('Summary, PPI''s'!$B78+'Summary, PPI''s'!$B77)/('Predicted PPIs'!T78+'Predicted PPIs'!T77)))*IF(C$46=".", 1, (C78/C77)^(('Summary, PPI''s'!$C78+'Summary, PPI''s'!$C77)/('Predicted PPIs'!T78+'Predicted PPIs'!T77)))*IF(D$46=".", 1, (D78/D77)^(('Summary, PPI''s'!$D78+'Summary, PPI''s'!$D77)/('Predicted PPIs'!T78+'Predicted PPIs'!T77)))*IF(N$46=".", 1, (N78/N77)^(('Summary, PPI''s'!$N78+'Summary, PPI''s'!$N77)/('Predicted PPIs'!T78+'Predicted PPIs'!T77)))*IF(O$46=".", 1, (O78/O77)^(('Summary, PPI''s'!$O78+'Summary, PPI''s'!$O77)/('Predicted PPIs'!T78+'Predicted PPIs'!T77)))*IF(P$46=".", 1, (P78/P77)^(('Summary, PPI''s'!$P78+'Summary, PPI''s'!$P77)/('Predicted PPIs'!T78+'Predicted PPIs'!T77)))</f>
        <v>#VALUE!</v>
      </c>
      <c r="AC78" s="4" t="e">
        <f>AC77*IF(E$60=".",1,(E78/E77)^(('Summary, PPI''s'!$E78+'Summary, PPI''s'!$E77)/('Predicted PPIs'!U78+'Predicted PPIs'!U77)))*IF(F$60=".",1,(F78/F77)^(('Summary, PPI''s'!$F78+'Summary, PPI''s'!$F77)/('Predicted PPIs'!U78+'Predicted PPIs'!U77)))*IF(G$60=".",1,(G78/G77)^(('Summary, PPI''s'!$G78+'Summary, PPI''s'!$G77)/('Predicted PPIs'!U78+'Predicted PPIs'!U77)))*IF(H$60=".",1,(H78/H77)^(('Summary, PPI''s'!$H78+'Summary, PPI''s'!$H77)/('Predicted PPIs'!U78+'Predicted PPIs'!U77)))*IF(I$60=".",1,(I78/I77)^(('Summary, PPI''s'!$I78+'Summary, PPI''s'!$I77)/('Predicted PPIs'!U78+'Predicted PPIs'!U77)))*IF(J$60=".",1,(J78/J77)^(('Summary, PPI''s'!$J78+'Summary, PPI''s'!$J77)/('Predicted PPIs'!U78+'Predicted PPIs'!U77)))*IF(K$60=".",1,(K78/K77)^(('Summary, PPI''s'!$K78+'Summary, PPI''s'!$K77)/('Predicted PPIs'!U78+'Predicted PPIs'!U77)))*IF(L$60=".",1,(L78/L77)^(('Summary, PPI''s'!$L78+'Summary, PPI''s'!$L77)/('Predicted PPIs'!U78+'Predicted PPIs'!U77)))*IF(M$60=".",1,(M78/M77)^(('Summary, PPI''s'!$M78+'Summary, PPI''s'!$M77)/('Predicted PPIs'!U78+'Predicted PPIs'!U77)))*IF(B$60=".",1,(B78/B77)^(('Summary, PPI''s'!$B78+'Summary, PPI''s'!$B77)/('Predicted PPIs'!U78+'Predicted PPIs'!U77)))*IF(C$60=".",1,(C78/C77)^(('Summary, PPI''s'!$C78+'Summary, PPI''s'!$C77)/('Predicted PPIs'!U78+'Predicted PPIs'!U77)))*IF(D$60=".",1,(D78/D77)^(('Summary, PPI''s'!$D78+'Summary, PPI''s'!$D77)/('Predicted PPIs'!U78+'Predicted PPIs'!U77)))*IF(N$60=".",1,(N78/N77)^(('Summary, PPI''s'!$N78+'Summary, PPI''s'!$N77)/('Predicted PPIs'!U78+'Predicted PPIs'!U77)))*IF(O$60=".",1,(O78/O77)^(('Summary, PPI''s'!$O78+'Summary, PPI''s'!$O77)/('Predicted PPIs'!U78+'Predicted PPIs'!U77)))*IF(P$60=".",1,(P78/P77)^(('Summary, PPI''s'!$P78+'Summary, PPI''s'!$P77)/('Predicted PPIs'!U78+'Predicted PPIs'!U77)))</f>
        <v>#VALUE!</v>
      </c>
      <c r="AD78" s="4" t="e">
        <f>AD77*IF(E$73=".", 1, (E78/E77)^(('Summary, PPI''s'!$E78+'Summary, PPI''s'!$E77)/('Predicted PPIs'!V78+'Predicted PPIs'!V77)))*IF(F$73=".", 1, (F78/F77)^(('Summary, PPI''s'!$F78+'Summary, PPI''s'!$F77)/('Predicted PPIs'!V78+'Predicted PPIs'!V77)))*IF(G$73=".", 1, (G78/G77)^(('Summary, PPI''s'!$G78+'Summary, PPI''s'!$G77)/('Predicted PPIs'!V78+'Predicted PPIs'!V77)))*IF(H$73=".", 1, (H78/H77)^(('Summary, PPI''s'!$H78+'Summary, PPI''s'!$H77)/('Predicted PPIs'!V78+'Predicted PPIs'!V77)))*IF(I$73=".", 1, (I78/I77)^(('Summary, PPI''s'!$I78+'Summary, PPI''s'!$I77)/('Predicted PPIs'!V78+'Predicted PPIs'!V77)))*IF(J$73=".", 1, (J78/J77)^(('Summary, PPI''s'!$J78+'Summary, PPI''s'!$J77)/('Predicted PPIs'!V78+'Predicted PPIs'!V77)))*IF(K$73=".", 1, (K78/K77)^(('Summary, PPI''s'!$K78+'Summary, PPI''s'!$K77)/('Predicted PPIs'!V78+'Predicted PPIs'!V77)))*IF(L$73=".", 1, (L78/L77)^(('Summary, PPI''s'!$L78+'Summary, PPI''s'!$L77)/('Predicted PPIs'!V78+'Predicted PPIs'!V77)))*IF(M$73=".", 1, (M78/M77)^(('Summary, PPI''s'!$M78+'Summary, PPI''s'!$M77)/('Predicted PPIs'!V78+'Predicted PPIs'!V77)))*IF(B$73=".", 1, (B78/B77)^(('Summary, PPI''s'!$B78+'Summary, PPI''s'!$B77)/('Predicted PPIs'!V78+'Predicted PPIs'!V77)))*IF(C$73=".", 1, (C78/C77)^(('Summary, PPI''s'!$C78+'Summary, PPI''s'!$C77)/('Predicted PPIs'!V78+'Predicted PPIs'!V77)))*IF(D$73=".", 1, (D78/D77)^(('Summary, PPI''s'!$D78+'Summary, PPI''s'!$D77)/('Predicted PPIs'!V78+'Predicted PPIs'!V77)))*IF(N$73=".", 1, (N78/N77)^(('Summary, PPI''s'!$N78+'Summary, PPI''s'!$N77)/('Predicted PPIs'!V78+'Predicted PPIs'!V77)))*IF(O$73=".", 1, (O78/O77)^(('Summary, PPI''s'!$O78+'Summary, PPI''s'!$O77)/('Predicted PPIs'!V78+'Predicted PPIs'!V77)))*IF(P$73=".", 1, (P78/P77)^(('Summary, PPI''s'!$P78+'Summary, PPI''s'!$P77)/('Predicted PPIs'!V78+'Predicted PPIs'!V77)))</f>
        <v>#VALUE!</v>
      </c>
      <c r="AE78" s="4">
        <f>AE77*IF(E$94=".", 1, (E78/E77)^(('Summary, PPI''s'!$E78+'Summary, PPI''s'!$E77)/('Predicted PPIs'!W78+'Predicted PPIs'!W77)))*IF(F$94=".", 1, (F78/F77)^(('Summary, PPI''s'!$F78+'Summary, PPI''s'!$F77)/('Predicted PPIs'!W78+'Predicted PPIs'!W77)))*IF(G$94=".", 1, (G78/G77)^(('Summary, PPI''s'!$G78+'Summary, PPI''s'!$G77)/('Predicted PPIs'!W78+'Predicted PPIs'!W77)))*IF(H$94=".", 1, (H78/H77)^(('Summary, PPI''s'!$H78+'Summary, PPI''s'!$H77)/('Predicted PPIs'!W78+'Predicted PPIs'!W77)))*IF(I$94=".", 1, (I78/I77)^(('Summary, PPI''s'!$I78+'Summary, PPI''s'!$I77)/('Predicted PPIs'!W78+'Predicted PPIs'!W77)))*IF(J$94=".", 1, (J78/J77)^(('Summary, PPI''s'!$J78+'Summary, PPI''s'!$J77)/('Predicted PPIs'!W78+'Predicted PPIs'!W77)))*IF(K$94=".", 1, (K78/K77)^(('Summary, PPI''s'!$K78+'Summary, PPI''s'!$K77)/('Predicted PPIs'!W78+'Predicted PPIs'!W77)))*IF(L$94=".", 1, (L78/L77)^(('Summary, PPI''s'!$L78+'Summary, PPI''s'!$L77)/('Predicted PPIs'!W78+'Predicted PPIs'!W77)))*IF(M$94=".", 1, (M78/M77)^(('Summary, PPI''s'!$M78+'Summary, PPI''s'!$M77)/('Predicted PPIs'!W78+'Predicted PPIs'!W77)))*IF(B$94=".", 1, (B78/B77)^(('Summary, PPI''s'!$B78+'Summary, PPI''s'!$B77)/('Predicted PPIs'!W78+'Predicted PPIs'!W77)))*IF(C$94=".", 1, (C78/C77)^(('Summary, PPI''s'!$C78+'Summary, PPI''s'!$C77)/('Predicted PPIs'!W78+'Predicted PPIs'!W77)))*IF(D$94=".", 1, (D78/D77)^(('Summary, PPI''s'!$D78+'Summary, PPI''s'!$D77)/('Predicted PPIs'!W78+'Predicted PPIs'!W77)))*IF(N$94=".", 1, (N78/N77)^(('Summary, PPI''s'!$N78+'Summary, PPI''s'!$N77)/('Predicted PPIs'!W78+'Predicted PPIs'!W77)))*IF(O$94=".", 1, (O78/O77)^(('Summary, PPI''s'!$O78+'Summary, PPI''s'!$O77)/('Predicted PPIs'!W78+'Predicted PPIs'!W77)))*IF(P$94=".", 1, (P78/P77)^(('Summary, PPI''s'!$P78+'Summary, PPI''s'!$P77)/('Predicted PPIs'!W78+'Predicted PPIs'!W77)))</f>
        <v>3.7668260246057432</v>
      </c>
      <c r="AF78" s="4">
        <f>AF77*IF(E$123=".", 1, (E78/E77)^(('Summary, PPI''s'!$E78+'Summary, PPI''s'!$E77)/('Predicted PPIs'!X78+'Predicted PPIs'!X77)))*IF(F$123=".", 1, (F78/F77)^(('Summary, PPI''s'!$F78+'Summary, PPI''s'!$F77)/('Predicted PPIs'!X78+'Predicted PPIs'!X77)))*IF(G$123=".", 1, (G78/G77)^(('Summary, PPI''s'!$G78+'Summary, PPI''s'!$G77)/('Predicted PPIs'!X78+'Predicted PPIs'!X77)))*IF(H$123=".", 1, (H78/H77)^(('Summary, PPI''s'!$H78+'Summary, PPI''s'!$H77)/('Predicted PPIs'!X78+'Predicted PPIs'!X77)))*IF(I$123=".", 1, (I78/I77)^(('Summary, PPI''s'!$I78+'Summary, PPI''s'!$I77)/('Predicted PPIs'!X78+'Predicted PPIs'!X77)))*IF(J$123=".", 1, (J78/J77)^(('Summary, PPI''s'!$J78+'Summary, PPI''s'!$J77)/('Predicted PPIs'!X78+'Predicted PPIs'!X77)))*IF(K$123=".", 1, (K78/K77)^(('Summary, PPI''s'!$K78+'Summary, PPI''s'!$K77)/('Predicted PPIs'!X78+'Predicted PPIs'!X77)))*IF(L$123=".", 1, (L78/L77)^(('Summary, PPI''s'!$L78+'Summary, PPI''s'!$L77)/('Predicted PPIs'!X78+'Predicted PPIs'!X77)))*IF(M$123=".", 1, (M78/M77)^(('Summary, PPI''s'!$M78+'Summary, PPI''s'!$M77)/('Predicted PPIs'!X78+'Predicted PPIs'!X77)))*IF(B$123=".", 1, (B78/B77)^(('Summary, PPI''s'!$B78+'Summary, PPI''s'!$B77)/('Predicted PPIs'!X78+'Predicted PPIs'!X77)))*IF(C$123=".", 1, (C78/C77)^(('Summary, PPI''s'!$C78+'Summary, PPI''s'!$C77)/('Predicted PPIs'!X78+'Predicted PPIs'!X77)))*IF(D$123=".", 1, (D78/D77)^(('Summary, PPI''s'!$D78+'Summary, PPI''s'!$D77)/('Predicted PPIs'!X78+'Predicted PPIs'!X77)))*IF(N$123=".", 1, (N78/N77)^(('Summary, PPI''s'!$N78+'Summary, PPI''s'!$N77)/('Predicted PPIs'!X78+'Predicted PPIs'!X77)))*IF(O$123=".", 1, (O78/O77)^(('Summary, PPI''s'!$O78+'Summary, PPI''s'!$O77)/('Predicted PPIs'!X78+'Predicted PPIs'!X77)))*IF(P$123=".", 1, (P78/P77)^(('Summary, PPI''s'!$P78+'Summary, PPI''s'!$P77)/('Predicted PPIs'!X78+'Predicted PPIs'!X77)))</f>
        <v>3.2080017790844555</v>
      </c>
      <c r="AH78" s="13">
        <f t="shared" si="152"/>
        <v>5.151253745342709</v>
      </c>
      <c r="AJ78" s="4">
        <v>120</v>
      </c>
      <c r="AK78" s="4">
        <v>-2.3559999999999999</v>
      </c>
      <c r="AL78" s="4">
        <v>-6.4960000000000004</v>
      </c>
      <c r="AM78" s="4">
        <v>-1.052</v>
      </c>
      <c r="AN78" s="4">
        <f t="shared" ref="AN78:AN123" si="176">AN77*AJ78/AJ77</f>
        <v>160.0247066090179</v>
      </c>
      <c r="AO78" s="4">
        <v>14.3</v>
      </c>
      <c r="AP78" s="4">
        <f t="shared" ref="AP78:AP123" si="177">AP77*AO78/AO77</f>
        <v>-1.3229411764705883</v>
      </c>
      <c r="AQ78" s="4">
        <f t="shared" ref="AQ78:AQ123" si="178">AQ77*AO78/AO77</f>
        <v>-2.5009705882352944</v>
      </c>
      <c r="AR78" s="4">
        <f t="shared" si="148"/>
        <v>-3.7667338675804449E-4</v>
      </c>
      <c r="AS78" s="4">
        <v>-0.90700000000000003</v>
      </c>
      <c r="AT78" s="4">
        <v>10.603999999999999</v>
      </c>
      <c r="AU78" s="4">
        <v>21.071999999999999</v>
      </c>
      <c r="AV78" s="4">
        <v>9.2170000000000005</v>
      </c>
      <c r="AW78" s="4">
        <v>7.66</v>
      </c>
      <c r="AX78" s="4">
        <f t="shared" ref="AX78:AX94" si="179">AX77*AT78/AT77</f>
        <v>10.100624079410821</v>
      </c>
      <c r="AY78" s="4">
        <v>12.678000000000001</v>
      </c>
      <c r="AZ78" s="4">
        <v>4.3959999999999999</v>
      </c>
      <c r="BA78" s="4">
        <v>12.750999999999999</v>
      </c>
      <c r="BB78" s="4">
        <f t="shared" si="150"/>
        <v>72.932576865039778</v>
      </c>
      <c r="BC78" s="4">
        <v>10.15</v>
      </c>
      <c r="BG78" s="4">
        <f t="shared" si="172"/>
        <v>11.21607477651529</v>
      </c>
      <c r="BI78" s="4">
        <f>BI$13*'[2]Ordinary Experience'!$D$348/'[2]Ordinary Experience'!$D$413</f>
        <v>141248636.02237114</v>
      </c>
      <c r="BJ78" s="4">
        <f>'[2]Ordinary Experience'!$E$348</f>
        <v>25.932604959779869</v>
      </c>
      <c r="BL78" s="4">
        <f t="shared" si="151"/>
        <v>27.049876768745172</v>
      </c>
      <c r="BM78" s="4">
        <f t="shared" si="153"/>
        <v>5.8833004776486675E-2</v>
      </c>
      <c r="BO78" s="4" t="str">
        <f>IF(OR('Summary, hourly ad costs'!R78=-9999,'Summary, PPI''s'!R78="."),".",(('Summary, hourly ad costs'!B78/'Summary, hourly ad costs'!R78)*100/('Summary, hourly ad costs'!B$11/'Summary, hourly ad costs'!R$11))/('Summary, PPI''s'!R78))</f>
        <v>.</v>
      </c>
      <c r="BP78" s="4" t="str">
        <f>IF(OR('Summary, hourly ad costs'!S78=-9999,'Summary, PPI''s'!S78="."),".",(('Summary, hourly ad costs'!C78/'Summary, hourly ad costs'!S78)*100/('Summary, hourly ad costs'!C$11/'Summary, hourly ad costs'!S$11))/('Summary, PPI''s'!S78))</f>
        <v>.</v>
      </c>
      <c r="BQ78" s="4" t="str">
        <f>IF(OR('Summary, hourly ad costs'!T78=-9999,'Summary, PPI''s'!T78="."),".",(('Summary, hourly ad costs'!D78/'Summary, hourly ad costs'!T78)*100/('Summary, hourly ad costs'!D$11/'Summary, hourly ad costs'!T$11))/('Summary, PPI''s'!T78))</f>
        <v>.</v>
      </c>
      <c r="BR78" s="4" t="str">
        <f>IF(OR('Summary, hourly ad costs'!U78=-9999,'Summary, PPI''s'!U78="."),".",(('Summary, hourly ad costs'!E78/'Summary, hourly ad costs'!U78)*100/('Summary, hourly ad costs'!E$11/'Summary, hourly ad costs'!U$11))/('Summary, PPI''s'!U78))</f>
        <v>.</v>
      </c>
      <c r="BS78" s="4" t="str">
        <f>IF(OR('Summary, hourly ad costs'!V78=-9999,'Summary, PPI''s'!V78="."),".",(('Summary, hourly ad costs'!F78/'Summary, hourly ad costs'!V78)*100/('Summary, hourly ad costs'!F$11/'Summary, hourly ad costs'!V$11))/('Summary, PPI''s'!V78))</f>
        <v>.</v>
      </c>
      <c r="BT78" s="4" t="str">
        <f>IF(OR('Summary, hourly ad costs'!W78=-9999,'Summary, PPI''s'!W78="."),".",(('Summary, hourly ad costs'!G78/'Summary, hourly ad costs'!W78)*100/('Summary, hourly ad costs'!G$11/'Summary, hourly ad costs'!W$11))/('Summary, PPI''s'!W78))</f>
        <v>.</v>
      </c>
      <c r="BU78" s="4" t="str">
        <f>IF(OR('Summary, hourly ad costs'!X78=-9999,'Summary, PPI''s'!X78="."),".",(('Summary, hourly ad costs'!H78/'Summary, hourly ad costs'!X78)*100/('Summary, hourly ad costs'!H$11/'Summary, hourly ad costs'!X$11))/('Summary, PPI''s'!X78))</f>
        <v>.</v>
      </c>
      <c r="BV78" s="4" t="str">
        <f>IF(OR('Summary, hourly ad costs'!Y78=-9999,'Summary, PPI''s'!Y78="."),".",(('Summary, hourly ad costs'!I78/'Summary, hourly ad costs'!Y78)*100/('Summary, hourly ad costs'!I$11/'Summary, hourly ad costs'!Y$11))/('Summary, PPI''s'!Y78))</f>
        <v>.</v>
      </c>
      <c r="BW78" s="4" t="str">
        <f>IF(OR('Summary, hourly ad costs'!Z78=-9999,'Summary, PPI''s'!Z78="."),".",(('Summary, hourly ad costs'!J78/'Summary, hourly ad costs'!Z78)*100/('Summary, hourly ad costs'!J$11/'Summary, hourly ad costs'!Z$11))/('Summary, PPI''s'!Z78))</f>
        <v>.</v>
      </c>
      <c r="BX78" s="4" t="str">
        <f>IF(OR('Summary, hourly ad costs'!AA78=-9999,'Summary, PPI''s'!AA78="."),".",(('Summary, hourly ad costs'!K78/'Summary, hourly ad costs'!AA78)*100/('Summary, hourly ad costs'!K$11/'Summary, hourly ad costs'!AA$11))/('Summary, PPI''s'!AA78))</f>
        <v>.</v>
      </c>
      <c r="BY78" s="4" t="str">
        <f>IF(OR('Summary, hourly ad costs'!AB78=-9999,'Summary, PPI''s'!AB78="."),".",(('Summary, hourly ad costs'!L78/'Summary, hourly ad costs'!AB78)*100/('Summary, hourly ad costs'!L$11/'Summary, hourly ad costs'!AB$11))/('Summary, PPI''s'!AB78))</f>
        <v>.</v>
      </c>
      <c r="BZ78" s="4" t="str">
        <f>IF(OR('Summary, hourly ad costs'!AC78=-9999,'Summary, PPI''s'!AC78="."),".",(('Summary, hourly ad costs'!M78/'Summary, hourly ad costs'!AC78)*100/('Summary, hourly ad costs'!M$11/'Summary, hourly ad costs'!AC$11))/('Summary, PPI''s'!AC78))</f>
        <v>.</v>
      </c>
      <c r="CA78" s="4" t="str">
        <f>IF(OR('Summary, hourly ad costs'!AD78=-9999,'Summary, PPI''s'!AD78="."),".",(('Summary, hourly ad costs'!N78/'Summary, hourly ad costs'!AD78)*100/('Summary, hourly ad costs'!N$11/'Summary, hourly ad costs'!AD$11))/('Summary, PPI''s'!AD78))</f>
        <v>.</v>
      </c>
      <c r="CB78" s="4" t="str">
        <f>IF(OR('Summary, hourly ad costs'!AE78=-9999,'Summary, PPI''s'!AE78="."),".",(('Summary, hourly ad costs'!O78/'Summary, hourly ad costs'!AE78)*100/('Summary, hourly ad costs'!O$11/'Summary, hourly ad costs'!AE$11))/('Summary, PPI''s'!AE78))</f>
        <v>.</v>
      </c>
      <c r="CC78" s="4" t="str">
        <f>IF(OR('Summary, hourly ad costs'!AF78=-9999,'Summary, PPI''s'!AF78="."),".",(('Summary, hourly ad costs'!P78/'Summary, hourly ad costs'!AF78)*100/('Summary, hourly ad costs'!P$11/'Summary, hourly ad costs'!AF$11))/('Summary, PPI''s'!AF78))</f>
        <v>.</v>
      </c>
      <c r="CE78" s="4">
        <f t="shared" si="134"/>
        <v>2.372887509208392E-2</v>
      </c>
      <c r="CF78" s="4" t="str">
        <f t="shared" si="135"/>
        <v>.</v>
      </c>
      <c r="CG78" s="4" t="str">
        <f t="shared" si="136"/>
        <v>.</v>
      </c>
      <c r="CH78" s="4">
        <f t="shared" si="145"/>
        <v>5.4805191333588535E-2</v>
      </c>
      <c r="CI78" s="4">
        <f t="shared" si="145"/>
        <v>6.3947782836762002E-2</v>
      </c>
      <c r="CJ78" s="4" t="str">
        <f t="shared" si="147"/>
        <v>.</v>
      </c>
      <c r="CK78" s="4">
        <f t="shared" si="149"/>
        <v>1.2071940162588402E-3</v>
      </c>
      <c r="CL78" s="4">
        <f t="shared" si="130"/>
        <v>4.4421886774892033E-2</v>
      </c>
      <c r="CM78" s="4">
        <f t="shared" si="130"/>
        <v>3.4194779032477508E-2</v>
      </c>
      <c r="CN78" s="4">
        <f t="shared" si="89"/>
        <v>3.0415761081376329E-2</v>
      </c>
      <c r="CO78" s="4">
        <f t="shared" ref="CO78:CP123" si="180">_xlfn.FORECAST.LINEAR($BM78,CO$4:CO$12,$BM$4:$BM$12)</f>
        <v>0.38069046268601159</v>
      </c>
      <c r="CP78" s="4">
        <f t="shared" si="180"/>
        <v>3.5101666073941523E-2</v>
      </c>
      <c r="CQ78" s="4" t="str">
        <f t="shared" si="173"/>
        <v>.</v>
      </c>
      <c r="CR78" s="4" t="str">
        <f t="shared" si="174"/>
        <v>.</v>
      </c>
      <c r="CS78" s="4" t="str">
        <f t="shared" si="175"/>
        <v>.</v>
      </c>
      <c r="CU78" s="5">
        <f>IF(CU77=".", ".", IF('Summary, PPI''s'!R78=".",IF(OR('Summary, hourly ad costs'!R78=-9999,'Summary, hourly ad costs'!R78=0), ".", 'Predicted PPIs'!CU77*('Summary, hourly ad costs'!B78/'Summary, hourly ad costs'!R78)/('Summary, hourly ad costs'!B77/'Summary, hourly ad costs'!R77)/(1-CE77)), 'Summary, PPI''s'!R78))</f>
        <v>19.403969527435621</v>
      </c>
      <c r="CV78" s="5" t="str">
        <f>IF(CV77=".", ".", IF('Summary, PPI''s'!S78=".",IF(OR('Summary, hourly ad costs'!S78=-9999,'Summary, hourly ad costs'!S78=0), ".", 'Predicted PPIs'!CV77*('Summary, hourly ad costs'!C78/'Summary, hourly ad costs'!S78)/('Summary, hourly ad costs'!C77/'Summary, hourly ad costs'!S77)/(1-CF77)), 'Summary, PPI''s'!S78))</f>
        <v>.</v>
      </c>
      <c r="CW78" s="5" t="str">
        <f>IF(CW77=".", ".", IF('Summary, PPI''s'!T78=".",IF(OR('Summary, hourly ad costs'!T78=-9999,'Summary, hourly ad costs'!T78=0), ".", 'Predicted PPIs'!CW77*('Summary, hourly ad costs'!D78/'Summary, hourly ad costs'!T78)/('Summary, hourly ad costs'!D77/'Summary, hourly ad costs'!T77)/(1-CG77)), 'Summary, PPI''s'!T78))</f>
        <v>.</v>
      </c>
      <c r="CX78" s="5">
        <f>IF(CX77=".", ".", IF('Summary, PPI''s'!U78=".",IF(OR('Summary, hourly ad costs'!U78=-9999,'Summary, hourly ad costs'!U78=0), ".", 'Predicted PPIs'!CX77*('Summary, hourly ad costs'!E78/'Summary, hourly ad costs'!U78)/('Summary, hourly ad costs'!E77/'Summary, hourly ad costs'!U77)/(1-CH77)), 'Summary, PPI''s'!U78))</f>
        <v>2.1013420281069957</v>
      </c>
      <c r="CY78" s="5">
        <f>IF(CY77=".", ".", IF('Summary, PPI''s'!V78=".",IF(OR('Summary, hourly ad costs'!V78=-9999,'Summary, hourly ad costs'!V78=0), ".", 'Predicted PPIs'!CY77*('Summary, hourly ad costs'!F78/'Summary, hourly ad costs'!V78)/('Summary, hourly ad costs'!F77/'Summary, hourly ad costs'!V77)/(1-CI77)), 'Summary, PPI''s'!V78))</f>
        <v>6.8618621344642161</v>
      </c>
      <c r="CZ78" s="5" t="str">
        <f>IF(CZ77=".", ".", IF('Summary, PPI''s'!W78=".",IF(OR('Summary, hourly ad costs'!W78=-9999,'Summary, hourly ad costs'!W78=0), ".", 'Predicted PPIs'!CZ77*('Summary, hourly ad costs'!G78/'Summary, hourly ad costs'!W78)/('Summary, hourly ad costs'!G77/'Summary, hourly ad costs'!W77)/(1-CJ77)), 'Summary, PPI''s'!W78))</f>
        <v>.</v>
      </c>
      <c r="DA78" s="5">
        <f>IF(DA77=".", ".", IF('Summary, PPI''s'!X78=".",IF(OR('Summary, hourly ad costs'!X78=-9999,'Summary, hourly ad costs'!X78=0), ".", 'Predicted PPIs'!DA77*('Summary, hourly ad costs'!H78/'Summary, hourly ad costs'!X78)/('Summary, hourly ad costs'!H77/'Summary, hourly ad costs'!X77)/(1-CK77)), 'Summary, PPI''s'!X78))</f>
        <v>2.9416487382994347</v>
      </c>
      <c r="DB78" s="5">
        <f>IF(DB77=".", ".", IF('Summary, PPI''s'!Y78=".",IF(OR('Summary, hourly ad costs'!Y78=-9999,'Summary, hourly ad costs'!Y78=0), ".", 'Predicted PPIs'!DB77*('Summary, hourly ad costs'!I78/'Summary, hourly ad costs'!Y78)/('Summary, hourly ad costs'!I77/'Summary, hourly ad costs'!Y77)/(1-CL77)), 'Summary, PPI''s'!Y78))</f>
        <v>10.853040999315498</v>
      </c>
      <c r="DC78" s="5" t="str">
        <f>IF(DC77=".", ".", IF('Summary, PPI''s'!Z78=".",IF(OR('Summary, hourly ad costs'!Z78=-9999,'Summary, hourly ad costs'!Z78=0), ".", 'Predicted PPIs'!DC77*('Summary, hourly ad costs'!J78/'Summary, hourly ad costs'!Z78)/('Summary, hourly ad costs'!J77/'Summary, hourly ad costs'!Z77)/(1-CM77)), 'Summary, PPI''s'!Z78))</f>
        <v>.</v>
      </c>
      <c r="DD78" s="5" t="str">
        <f>IF(DD77=".", ".", IF('Summary, PPI''s'!AA78=".",IF(OR('Summary, hourly ad costs'!AA78=-9999,'Summary, hourly ad costs'!AA78=0), ".", 'Predicted PPIs'!DD77*('Summary, hourly ad costs'!K78/'Summary, hourly ad costs'!AA78)/('Summary, hourly ad costs'!K77/'Summary, hourly ad costs'!AA77)/(1-CN77)), 'Summary, PPI''s'!AA78))</f>
        <v>.</v>
      </c>
      <c r="DE78" s="5" t="str">
        <f>IF(DE77=".", ".", IF('Summary, PPI''s'!AB78=".",IF(OR('Summary, hourly ad costs'!AB78=-9999,'Summary, hourly ad costs'!AB78=0), ".", 'Predicted PPIs'!DE77*('Summary, hourly ad costs'!L78/'Summary, hourly ad costs'!AB78)/('Summary, hourly ad costs'!L77/'Summary, hourly ad costs'!AB77)/(1-CO77)), 'Summary, PPI''s'!AB78))</f>
        <v>.</v>
      </c>
      <c r="DF78" s="5" t="str">
        <f>IF(DF77=".", ".", IF('Summary, PPI''s'!AC78=".",IF(OR('Summary, hourly ad costs'!AC78=-9999,'Summary, hourly ad costs'!AC78=0), ".", 'Predicted PPIs'!DF77*('Summary, hourly ad costs'!M78/'Summary, hourly ad costs'!AC78)/('Summary, hourly ad costs'!M77/'Summary, hourly ad costs'!AC77)/(1-CP77)), 'Summary, PPI''s'!AC78))</f>
        <v>.</v>
      </c>
      <c r="DG78" s="5" t="str">
        <f>IF(DG77=".", ".", IF('Summary, PPI''s'!AD78=".",IF(OR('Summary, hourly ad costs'!AD78=-9999,'Summary, hourly ad costs'!AD78=0), ".", 'Predicted PPIs'!DG77*('Summary, hourly ad costs'!N78/'Summary, hourly ad costs'!AD78)/('Summary, hourly ad costs'!N77/'Summary, hourly ad costs'!AD77)/(1-CQ77)), 'Summary, PPI''s'!AD78))</f>
        <v>.</v>
      </c>
      <c r="DH78" s="5" t="str">
        <f>IF(DH77=".", ".", IF('Summary, PPI''s'!AE78=".",IF(OR('Summary, hourly ad costs'!AE78=-9999,'Summary, hourly ad costs'!AE78=0), ".", 'Predicted PPIs'!DH77*('Summary, hourly ad costs'!O78/'Summary, hourly ad costs'!AE78)/('Summary, hourly ad costs'!O77/'Summary, hourly ad costs'!AE77)/(1-CR77)), 'Summary, PPI''s'!AE78))</f>
        <v>.</v>
      </c>
      <c r="DI78" s="5" t="str">
        <f>IF(DI77=".", ".", IF('Summary, PPI''s'!AF78=".",IF(OR('Summary, hourly ad costs'!AF78=-9999,'Summary, hourly ad costs'!AF78=0), ".", 'Predicted PPIs'!DI77*('Summary, hourly ad costs'!P78/'Summary, hourly ad costs'!AF78)/('Summary, hourly ad costs'!P77/'Summary, hourly ad costs'!AF77)/(1-CS77)), 'Summary, PPI''s'!AF78))</f>
        <v>.</v>
      </c>
      <c r="DK78" s="4">
        <v>3.25</v>
      </c>
      <c r="DM78" s="5">
        <f t="shared" si="138"/>
        <v>-0.31420692001976447</v>
      </c>
      <c r="DN78" s="4">
        <f t="shared" si="139"/>
        <v>-3.1044814531554797E-2</v>
      </c>
      <c r="DO78" s="4">
        <f t="shared" ref="DO78:DO109" si="181">_xlfn.FORECAST.LINEAR($BM78,DO$4:DO$45,$BM$4:$BM$45)</f>
        <v>-2.2438659637260709E-2</v>
      </c>
      <c r="DP78" s="5">
        <f t="shared" si="140"/>
        <v>-0.11850300934500413</v>
      </c>
      <c r="DQ78" s="5">
        <f t="shared" si="141"/>
        <v>-6.7255155992143711E-2</v>
      </c>
      <c r="DR78" s="4">
        <f t="shared" si="146"/>
        <v>-3.1453235586778368E-3</v>
      </c>
      <c r="DS78" s="5">
        <f t="shared" si="169"/>
        <v>0.17444621032683183</v>
      </c>
      <c r="DT78" s="5">
        <f t="shared" si="170"/>
        <v>-0.1025022729467544</v>
      </c>
      <c r="DU78" s="4">
        <f t="shared" si="171"/>
        <v>-7.5323602080632351E-3</v>
      </c>
      <c r="DV78" s="4">
        <f t="shared" si="131"/>
        <v>-1.3430227359566287E-3</v>
      </c>
      <c r="DW78" s="4">
        <f t="shared" si="133"/>
        <v>-0.18869418022962858</v>
      </c>
      <c r="DX78" s="4">
        <f t="shared" si="133"/>
        <v>0.17419941151686463</v>
      </c>
      <c r="DY78" s="4">
        <f t="shared" si="108"/>
        <v>-1.2610607516542029E-2</v>
      </c>
      <c r="DZ78" s="4">
        <f t="shared" si="132"/>
        <v>-5.5504481097377149E-3</v>
      </c>
      <c r="EA78" s="4">
        <f t="shared" si="109"/>
        <v>-7.2656277308403251E-3</v>
      </c>
      <c r="EC78" s="1">
        <f t="shared" si="154"/>
        <v>19.403969527435621</v>
      </c>
      <c r="ED78" s="1">
        <f t="shared" si="155"/>
        <v>6.6800591255752479</v>
      </c>
      <c r="EE78" s="1">
        <f t="shared" si="156"/>
        <v>3.8548714204844807</v>
      </c>
      <c r="EF78" s="1">
        <f t="shared" si="157"/>
        <v>2.1013420281069957</v>
      </c>
      <c r="EG78" s="1">
        <f t="shared" si="158"/>
        <v>6.8618621344642161</v>
      </c>
      <c r="EH78" s="1">
        <f t="shared" si="159"/>
        <v>3.7511739114810014</v>
      </c>
      <c r="EI78" s="1">
        <f t="shared" si="160"/>
        <v>2.9416487382994347</v>
      </c>
      <c r="EJ78" s="1">
        <f t="shared" si="161"/>
        <v>10.853040999315498</v>
      </c>
      <c r="EK78" s="1">
        <f t="shared" si="162"/>
        <v>14.864592143562563</v>
      </c>
      <c r="EL78" s="1">
        <f t="shared" si="163"/>
        <v>2.6451724087111468</v>
      </c>
      <c r="EM78" s="1">
        <f t="shared" si="164"/>
        <v>0.33930599775204917</v>
      </c>
      <c r="EN78" s="1">
        <f t="shared" si="165"/>
        <v>5.5726643143305896</v>
      </c>
      <c r="EO78" s="1">
        <f t="shared" si="166"/>
        <v>2.5570180225047845</v>
      </c>
      <c r="EP78" s="1">
        <f t="shared" si="167"/>
        <v>3.801703659999756</v>
      </c>
      <c r="EQ78" s="1">
        <f t="shared" si="168"/>
        <v>2.9256041001489201</v>
      </c>
      <c r="ES78" s="1">
        <f>IF(EF$26=".", 0, 'Summary, PPI''s'!E78)+IF(EG$26=".", 0, 'Summary, PPI''s'!F78)+IF(EH$26=".", 0, 'Summary, PPI''s'!G78)+IF(EI$26=".", 0, 'Summary, PPI''s'!H78)+IF(EJ$26=".", 0, 'Summary, PPI''s'!I78)+IF(EK$26=".", 0, 'Summary, PPI''s'!J78)+IF(EL$26=".", 0, 'Summary, PPI''s'!K78)+IF(EM$26=".", 0, 'Summary, PPI''s'!L78)+IF(EN$26=".", 0, 'Summary, PPI''s'!M78)+IF(EC$26=".", 0, 'Summary, PPI''s'!B78)+IF(ED$26=".", 0, 'Summary, PPI''s'!C78)+IF(EE$26=".", 0, 'Summary, PPI''s'!D78)+IF(EO$26=".", 0, 'Summary, PPI''s'!N78)+IF(EP$26=".", 0, 'Summary, PPI''s'!O78)+IF(EQ$26=".", 0, 'Summary, PPI''s'!P78)</f>
        <v>3110869.0535600339</v>
      </c>
      <c r="ET78" s="1">
        <f>'Summary, hourly ad costs'!E78+'Summary, hourly ad costs'!F78+'Summary, hourly ad costs'!H78+'Summary, hourly ad costs'!I78+'Summary, hourly ad costs'!J78+'Summary, hourly ad costs'!K78+'Summary, hourly ad costs'!L78+'Summary, hourly ad costs'!M78+'Summary, hourly ad costs'!B78</f>
        <v>1939719.6676074632</v>
      </c>
      <c r="EV78" s="13">
        <f>EV77*IF(EF$26=".", 1, (EF78/EF77)^(('Summary, PPI''s'!$E78+'Summary, PPI''s'!$E77)/('Predicted PPIs'!ES78+'Predicted PPIs'!ES77)))*IF(EG$26=".", 1, (EG78/EG77)^(('Summary, PPI''s'!$F78+'Summary, PPI''s'!$F77)/('Predicted PPIs'!ES78+'Predicted PPIs'!ES77)))*IF(EH$26=".", 1, (EH78/EH77)^(('Summary, PPI''s'!$G78+'Summary, PPI''s'!$G77)/('Predicted PPIs'!ES78+'Predicted PPIs'!ES77)))*IF(EI$26=".", 1, (EI78/EI77)^(('Summary, PPI''s'!$H78+'Summary, PPI''s'!$H77)/('Predicted PPIs'!ES78+'Predicted PPIs'!ES77)))*IF(EJ$26=".", 1, (EJ78/EJ77)^(('Summary, PPI''s'!$I78+'Summary, PPI''s'!$I77)/('Predicted PPIs'!ES78+'Predicted PPIs'!ES77)))*IF(EK$26=".", 1, (EK78/EK77)^(('Summary, PPI''s'!$J78+'Summary, PPI''s'!$J77)/('Predicted PPIs'!ES78+'Predicted PPIs'!ES77)))*IF(EL$26=".", 1, (EL78/EL77)^(('Summary, PPI''s'!$K78+'Summary, PPI''s'!$K77)/('Predicted PPIs'!ES78+'Predicted PPIs'!ES77)))*IF(EM$26=".", 1, (EM78/EM77)^(('Summary, PPI''s'!$L78+'Summary, PPI''s'!$L77)/('Predicted PPIs'!ES78+'Predicted PPIs'!ES77)))*IF(EN$26=".", 1, (EN78/EN77)^(('Summary, PPI''s'!$M78+'Summary, PPI''s'!$M77)/('Predicted PPIs'!ES78+'Predicted PPIs'!ES77)))*IF(EC$26=".", 1, (EC78/EC77)^(('Summary, PPI''s'!$B78+'Summary, PPI''s'!$B77)/('Predicted PPIs'!ES78+'Predicted PPIs'!ES77)))*IF(ED$26=".", 1, (ED78/ED77)^(('Summary, PPI''s'!$C78+'Summary, PPI''s'!$C77)/('Predicted PPIs'!ES78+'Predicted PPIs'!ES77)))*IF(EE$26=".", 1, (EE78/EE77)^(('Summary, PPI''s'!$D78+'Summary, PPI''s'!$D77)/('Predicted PPIs'!ES78+'Predicted PPIs'!ES77)))*IF(EO$26=".", 1, (EO78/EO77)^(('Summary, PPI''s'!$N78+'Summary, PPI''s'!$N77)/('Predicted PPIs'!ES78+'Predicted PPIs'!ES77)))*IF(EP$26=".", 1, (EP78/EP77)^(('Summary, PPI''s'!$O78+'Summary, PPI''s'!$O77)/('Predicted PPIs'!ES78+'Predicted PPIs'!ES77)))*IF(EQ$26=".", 1, (EQ78/EQ77)^(('Summary, PPI''s'!$P78+'Summary, PPI''s'!$P77)/('Predicted PPIs'!ES78+'Predicted PPIs'!ES77)))</f>
        <v>5.162902400354473</v>
      </c>
      <c r="EW78" s="13">
        <f>EW77*IF(EF$26=".", 1, (EF78/EF77)^(('Summary, PPI''s'!$E78+'Summary, PPI''s'!$E77)/('Predicted PPIs'!ET78+'Predicted PPIs'!ET77)))*IF(EG$26=".", 1, (EG78/EG77)^(('Summary, PPI''s'!$F78+'Summary, PPI''s'!$F77)/('Predicted PPIs'!ET78+'Predicted PPIs'!ET77)))*IF(EH$26=".", 1, (EH78/EH77)^(('Summary, PPI''s'!$G78+'Summary, PPI''s'!$G77)/('Predicted PPIs'!ET78+'Predicted PPIs'!ET77)))*IF(EK$26=".", 1, (EK78/EK77)^(('Summary, PPI''s'!$J78+'Summary, PPI''s'!$J77)/('Predicted PPIs'!ET78+'Predicted PPIs'!ET77)))*IF(EL$26=".", 1, (EL78/EL77)^(('Summary, PPI''s'!$K78+'Summary, PPI''s'!$K77)/('Predicted PPIs'!ET78+'Predicted PPIs'!ET77)))*IF(EM$26=".", 1, (EM78/EM77)^(('Summary, PPI''s'!$L78+'Summary, PPI''s'!$L77)/('Predicted PPIs'!ET78+'Predicted PPIs'!ET77)))*IF(EN$26=".", 1, (EN78/EN77)^(('Summary, PPI''s'!$M78+'Summary, PPI''s'!$M77)/('Predicted PPIs'!ET78+'Predicted PPIs'!ET77)))*IF(EC$26=".", 1, (EC78/EC77)^(('Summary, PPI''s'!$B78+'Summary, PPI''s'!$B77)/('Predicted PPIs'!ET78+'Predicted PPIs'!ET77)))</f>
        <v>7.2114662906420461</v>
      </c>
      <c r="EY78" s="2"/>
    </row>
    <row r="79" spans="1:155" x14ac:dyDescent="0.3">
      <c r="A79" s="4">
        <v>1944</v>
      </c>
      <c r="B79" s="10">
        <f>IF(B78=".", ".", IF('Summary, PPI''s'!R79=".",IF(OR('Summary, hourly ad costs'!R79=-9999,'Summary, hourly ad costs'!R79=0), ".", 'Predicted PPIs'!B78*('Summary, hourly ad costs'!B79/'Summary, hourly ad costs'!R79)/('Summary, hourly ad costs'!B78/'Summary, hourly ad costs'!R78)), 'Summary, PPI''s'!R79))</f>
        <v>28.61928715689152</v>
      </c>
      <c r="C79" s="10" t="str">
        <f>IF(C78=".", ".", IF('Summary, PPI''s'!S79=".",IF(OR('Summary, hourly ad costs'!S79=-9999,'Summary, hourly ad costs'!S79=0), ".", 'Predicted PPIs'!C78*('Summary, hourly ad costs'!C79/'Summary, hourly ad costs'!S79)/('Summary, hourly ad costs'!C78/'Summary, hourly ad costs'!S78)), 'Summary, PPI''s'!S79))</f>
        <v>.</v>
      </c>
      <c r="D79" s="10" t="str">
        <f>IF(D78=".", ".", IF('Summary, PPI''s'!T79=".",IF(OR('Summary, hourly ad costs'!T79=-9999,'Summary, hourly ad costs'!T79=0), ".", 'Predicted PPIs'!D78*('Summary, hourly ad costs'!D79/'Summary, hourly ad costs'!T79)/('Summary, hourly ad costs'!D78/'Summary, hourly ad costs'!T78)), 'Summary, PPI''s'!T79))</f>
        <v>.</v>
      </c>
      <c r="E79" s="10">
        <f>IF(E78=".", ".", IF('Summary, PPI''s'!U79=".",IF(OR('Summary, hourly ad costs'!U79=-9999,'Summary, hourly ad costs'!U79=0), ".", 'Predicted PPIs'!E78*('Summary, hourly ad costs'!E79/'Summary, hourly ad costs'!U79)/('Summary, hourly ad costs'!E78/'Summary, hourly ad costs'!U78)), 'Summary, PPI''s'!U79))</f>
        <v>1.605629867679659</v>
      </c>
      <c r="F79" s="10">
        <f>IF(F78=".", ".", IF('Summary, PPI''s'!V79=".",IF(OR('Summary, hourly ad costs'!V79=-9999,'Summary, hourly ad costs'!V79=0), ".", 'Predicted PPIs'!F78*('Summary, hourly ad costs'!F79/'Summary, hourly ad costs'!V79)/('Summary, hourly ad costs'!F78/'Summary, hourly ad costs'!V78)), 'Summary, PPI''s'!V79))</f>
        <v>4.5613514153103489</v>
      </c>
      <c r="G79" s="10" t="str">
        <f>IF(G78=".", ".", IF('Summary, PPI''s'!W79=".",IF(OR('Summary, hourly ad costs'!W79=-9999,'Summary, hourly ad costs'!W79=0), ".", 'Predicted PPIs'!G78*('Summary, hourly ad costs'!G79/'Summary, hourly ad costs'!W79)/('Summary, hourly ad costs'!G78/'Summary, hourly ad costs'!W78)), 'Summary, PPI''s'!W79))</f>
        <v>.</v>
      </c>
      <c r="H79" s="10">
        <f>IF(H78=".", ".", IF('Summary, PPI''s'!X79=".",IF(OR('Summary, hourly ad costs'!X79=-9999,'Summary, hourly ad costs'!X79=0), ".", 'Predicted PPIs'!H78*('Summary, hourly ad costs'!H79/'Summary, hourly ad costs'!X79)/('Summary, hourly ad costs'!H78/'Summary, hourly ad costs'!X78)), 'Summary, PPI''s'!X79))</f>
        <v>2.2382755949669475</v>
      </c>
      <c r="I79" s="10">
        <f>IF(I78=".", ".", IF('Summary, PPI''s'!Y79=".",IF(OR('Summary, hourly ad costs'!Y79=-9999,'Summary, hourly ad costs'!Y79=0), ".", 'Predicted PPIs'!I78*('Summary, hourly ad costs'!I79/'Summary, hourly ad costs'!Y79)/('Summary, hourly ad costs'!I78/'Summary, hourly ad costs'!Y78)), 'Summary, PPI''s'!Y79))</f>
        <v>7.6316909962813355</v>
      </c>
      <c r="J79" s="10" t="str">
        <f>IF(J78=".", ".", IF('Summary, PPI''s'!Z79=".",IF(OR('Summary, hourly ad costs'!Z79=-9999,'Summary, hourly ad costs'!Z79=0), ".", 'Predicted PPIs'!J78*('Summary, hourly ad costs'!J79/'Summary, hourly ad costs'!Z79)/('Summary, hourly ad costs'!J78/'Summary, hourly ad costs'!Z78)), 'Summary, PPI''s'!Z79))</f>
        <v>.</v>
      </c>
      <c r="K79" s="10" t="str">
        <f>IF(K78=".", ".", IF('Summary, PPI''s'!AA79=".",IF(OR('Summary, hourly ad costs'!AA79=-9999,'Summary, hourly ad costs'!AA79=0), ".", 'Predicted PPIs'!K78*('Summary, hourly ad costs'!K79/'Summary, hourly ad costs'!AA79)/('Summary, hourly ad costs'!K78/'Summary, hourly ad costs'!AA78)), 'Summary, PPI''s'!AA79))</f>
        <v>.</v>
      </c>
      <c r="L79" s="10" t="str">
        <f>IF(L78=".", ".", IF('Summary, PPI''s'!AB79=".",IF(OR('Summary, hourly ad costs'!AB79=-9999,'Summary, hourly ad costs'!AB79=0), ".", 'Predicted PPIs'!L78*('Summary, hourly ad costs'!L79/'Summary, hourly ad costs'!AB79)/('Summary, hourly ad costs'!L78/'Summary, hourly ad costs'!AB78)), 'Summary, PPI''s'!AB79))</f>
        <v>.</v>
      </c>
      <c r="M79" s="10" t="str">
        <f>IF(M78=".", ".", IF('Summary, PPI''s'!AC79=".",IF(OR('Summary, hourly ad costs'!AC79=-9999,'Summary, hourly ad costs'!AC79=0), ".", 'Predicted PPIs'!M78*('Summary, hourly ad costs'!M79/'Summary, hourly ad costs'!AC79)/('Summary, hourly ad costs'!M78/'Summary, hourly ad costs'!AC78)), 'Summary, PPI''s'!AC79))</f>
        <v>.</v>
      </c>
      <c r="N79" s="10" t="str">
        <f>IF(N78=".", ".", IF('Summary, PPI''s'!AD79=".",IF(OR('Summary, hourly ad costs'!AD79=-9999,'Summary, hourly ad costs'!AD79=0), ".", 'Predicted PPIs'!N78*('Summary, hourly ad costs'!N79/'Summary, hourly ad costs'!AD79)/('Summary, hourly ad costs'!N78/'Summary, hourly ad costs'!AD78)), 'Summary, PPI''s'!AD79))</f>
        <v>.</v>
      </c>
      <c r="O79" s="10" t="str">
        <f>IF(O78=".", ".", IF('Summary, PPI''s'!AE79=".",IF(OR('Summary, hourly ad costs'!AE79=-9999,'Summary, hourly ad costs'!AE79=0), ".", 'Predicted PPIs'!O78*('Summary, hourly ad costs'!O79/'Summary, hourly ad costs'!AE79)/('Summary, hourly ad costs'!O78/'Summary, hourly ad costs'!AE78)), 'Summary, PPI''s'!AE79))</f>
        <v>.</v>
      </c>
      <c r="P79" s="10" t="str">
        <f>IF(P78=".", ".", IF('Summary, PPI''s'!AF79=".",IF(OR('Summary, hourly ad costs'!AF79=-9999,'Summary, hourly ad costs'!AF79=0), ".", 'Predicted PPIs'!P78*('Summary, hourly ad costs'!P79/'Summary, hourly ad costs'!AF79)/('Summary, hourly ad costs'!P78/'Summary, hourly ad costs'!AF78)), 'Summary, PPI''s'!AF79))</f>
        <v>.</v>
      </c>
      <c r="R79" s="1">
        <f>IF(E$26=".", 0, 'Summary, PPI''s'!E79)+IF(F$26=".", 0, 'Summary, PPI''s'!F79)+IF(G$26=".", 0, 'Summary, PPI''s'!G79)+IF(H$26=".", 0, 'Summary, PPI''s'!H79)+IF(I$26=".", 0, 'Summary, PPI''s'!I79)+IF(J$26=".", 0, 'Summary, PPI''s'!J79)+IF(K$26=".", 0, 'Summary, PPI''s'!K79)+IF(L$26=".", 0, 'Summary, PPI''s'!L79)+IF(M$26=".", 0, 'Summary, PPI''s'!M79)+IF(B$26=".", 0, 'Summary, PPI''s'!B79)+IF(C$26=".", 0, 'Summary, PPI''s'!C79)+IF(D$26=".", 0, 'Summary, PPI''s'!D79)+IF(N$26=".", 0, 'Summary, PPI''s'!N79)+IF(O$26=".", 0, 'Summary, PPI''s'!O79)+IF(P$26=".", 0, 'Summary, PPI''s'!P79)</f>
        <v>2896021.6397540229</v>
      </c>
      <c r="S79" s="1">
        <f>IF(E$36=".", 0, 'Summary, PPI''s'!E79)+IF(F$36=".", 0, 'Summary, PPI''s'!F79)+IF(G$36=".", 0, 'Summary, PPI''s'!G79)+IF(H$36=".", 0, 'Summary, PPI''s'!H79)+IF(I$36=".", 0, 'Summary, PPI''s'!I79)+IF(J$36=".", 0, 'Summary, PPI''s'!J79)+IF(K$36=".", 0, 'Summary, PPI''s'!K79)+IF(L$36=".", 0, 'Summary, PPI''s'!L79)+IF(M$36=".", 0, 'Summary, PPI''s'!M79)+IF(B$36=".", 0, 'Summary, PPI''s'!B79)+IF(C$36=".", 0, 'Summary, PPI''s'!C79)+IF(D$36=".", 0, 'Summary, PPI''s'!D79)+IF(N$36=".", 0, 'Summary, PPI''s'!N79)+IF(O$36=".", 0, 'Summary, PPI''s'!O79)+IF(P$36=".", 0, 'Summary, PPI''s'!P79)</f>
        <v>2896021.6397540229</v>
      </c>
      <c r="T79" s="1">
        <f>IF(E$46=".", 0, 'Summary, PPI''s'!E79)+IF(F$46=".", 0, 'Summary, PPI''s'!F79)+IF(G$46=".", 0, 'Summary, PPI''s'!G79)+IF(H$46=".", 0, 'Summary, PPI''s'!H79)+IF(I$46=".", 0, 'Summary, PPI''s'!I79)+IF(J$46=".", 0, 'Summary, PPI''s'!J79)+IF(K$46=".", 0, 'Summary, PPI''s'!K79)+IF(L$46=".", 0, 'Summary, PPI''s'!L79)+IF(M$46=".", 0, 'Summary, PPI''s'!M79)+IF(B$46=".", 0, 'Summary, PPI''s'!B79)+IF(C$46=".", 0, 'Summary, PPI''s'!C79)+IF(D$46=".", 0, 'Summary, PPI''s'!D79)+IF(N$46=".", 0, 'Summary, PPI''s'!N79)+IF(O$46=".", 0, 'Summary, PPI''s'!O79)+IF(P$46=".", 0, 'Summary, PPI''s'!P79)</f>
        <v>2284258.250789477</v>
      </c>
      <c r="U79" s="1">
        <f>IF(E$60=".", 0, 'Summary, PPI''s'!E79)+IF(F$60=".", 0, 'Summary, PPI''s'!F79)+IF(G$60=".", 0, 'Summary, PPI''s'!G79)+IF(H$60=".", 0, 'Summary, PPI''s'!H79)+IF(I$60=".", 0, 'Summary, PPI''s'!I79)+IF(J$60=".", 0, 'Summary, PPI''s'!J79)+IF(K$60=".", 0, 'Summary, PPI''s'!K79)+IF(L$60=".", 0, 'Summary, PPI''s'!L79)+IF(M$60=".", 0, 'Summary, PPI''s'!M79)+IF(B$60=".", 0, 'Summary, PPI''s'!B79)+IF(C$60=".", 0, 'Summary, PPI''s'!C79)+IF(D$60=".", 0, 'Summary, PPI''s'!D79)+IF(N$60=".", 0, 'Summary, PPI''s'!N79)+IF(O$60=".", 0, 'Summary, PPI''s'!O79)+IF(P$60=".", 0, 'Summary, PPI''s'!P79)</f>
        <v>2076408.594055776</v>
      </c>
      <c r="V79" s="1">
        <f>IF(E$73=".", 0, 'Summary, PPI''s'!E79)+IF(F$73=".", 0, 'Summary, PPI''s'!F79)+IF(G$73=".", 0, 'Summary, PPI''s'!G79)+IF(H$73=".", 0, 'Summary, PPI''s'!H79)+IF(I$73=".", 0, 'Summary, PPI''s'!I79)+IF(J$73=".", 0, 'Summary, PPI''s'!J79)+IF(K$73=".", 0, 'Summary, PPI''s'!K79)+IF(L$73=".", 0, 'Summary, PPI''s'!L79)+IF(M$73=".", 0, 'Summary, PPI''s'!M79)+IF(B$73=".", 0, 'Summary, PPI''s'!B79)+IF(C$73=".", 0, 'Summary, PPI''s'!C79)+IF(D$73=".", 0, 'Summary, PPI''s'!D79)+IF(N$73=".", 0, 'Summary, PPI''s'!N79)+IF(O$73=".", 0, 'Summary, PPI''s'!O79)+IF(P$73=".", 0, 'Summary, PPI''s'!P79)</f>
        <v>1826768.7452075882</v>
      </c>
      <c r="W79" s="1">
        <f>IF(E$94=".",0,'Summary, PPI''s'!E79)+IF(F$94=".",0,'Summary, PPI''s'!F79)+IF(G$94=".",0,'Summary, PPI''s'!G79)+IF(H$94=".",0,'Summary, PPI''s'!H79)+IF(I$94=".",0,'Summary, PPI''s'!I79)+IF(J$94=".",0,'Summary, PPI''s'!J79)+IF(K$94=".",0,'Summary, PPI''s'!K79)+IF(L$94=".",0,'Summary, PPI''s'!L79)+IF(M$94=".",0,'Summary, PPI''s'!M79)+IF(B$94=".",0,'Summary, PPI''s'!B79)+IF(C$94=".",0,'Summary, PPI''s'!C79)+IF(D$94=".",0,'Summary, PPI''s'!D79)+IF(N$94=".",0,'Summary, PPI''s'!N79)+IF(O$94=".",0,'Summary, PPI''s'!O79)+IF(P$94=".",0,'Summary, PPI''s'!P79)</f>
        <v>1826768.7452075882</v>
      </c>
      <c r="X79" s="1">
        <f>IF(E$123=".", 0, 'Summary, PPI''s'!E79)+IF(F$123=".", 0, 'Summary, PPI''s'!F79)+IF(G$123=".", 0, 'Summary, PPI''s'!G79)+IF(H$123=".", 0, 'Summary, PPI''s'!H79)+IF(I$123=".", 0, 'Summary, PPI''s'!I79)+IF(J$123=".", 0, 'Summary, PPI''s'!J79)+IF(K$123=".", 0, 'Summary, PPI''s'!K79)+IF(L$123=".", 0, 'Summary, PPI''s'!L79)+IF(M$123=".", 0, 'Summary, PPI''s'!M79)+IF(B$123=".", 0, 'Summary, PPI''s'!B79)+IF(C$123=".", 0, 'Summary, PPI''s'!C79)+IF(D$123=".", 0, 'Summary, PPI''s'!D79)+IF(N$123=".", 0, 'Summary, PPI''s'!N79)+IF(O$123=".", 0, 'Summary, PPI''s'!O79)+IF(P$123=".", 0, 'Summary, PPI''s'!P79)</f>
        <v>1511788.4734172155</v>
      </c>
      <c r="Z79" s="4" t="e">
        <f>Z78*IF(E$26=".", 1, (E79/E78)^(('Summary, PPI''s'!$E79+'Summary, PPI''s'!$E78)/('Predicted PPIs'!R79+'Predicted PPIs'!R78)))*IF(F$26=".", 1, (F79/F78)^(('Summary, PPI''s'!$F79+'Summary, PPI''s'!$F78)/('Predicted PPIs'!R79+'Predicted PPIs'!R78)))*IF(G$26=".", 1, (G79/G78)^(('Summary, PPI''s'!$G79+'Summary, PPI''s'!$G78)/('Predicted PPIs'!R79+'Predicted PPIs'!R78)))*IF(H$26=".", 1, (H79/H78)^(('Summary, PPI''s'!$H79+'Summary, PPI''s'!$H78)/('Predicted PPIs'!R79+'Predicted PPIs'!R78)))*IF(I$26=".", 1, (I79/I78)^(('Summary, PPI''s'!$I79+'Summary, PPI''s'!$I78)/('Predicted PPIs'!R79+'Predicted PPIs'!R78)))*IF(J$26=".", 1, (J79/J78)^(('Summary, PPI''s'!$J79+'Summary, PPI''s'!$J78)/('Predicted PPIs'!R79+'Predicted PPIs'!R78)))*IF(K$26=".", 1, (K79/K78)^(('Summary, PPI''s'!$K79+'Summary, PPI''s'!$K78)/('Predicted PPIs'!R79+'Predicted PPIs'!R78)))*IF(L$26=".", 1, (L79/L78)^(('Summary, PPI''s'!$L79+'Summary, PPI''s'!$L78)/('Predicted PPIs'!R79+'Predicted PPIs'!R78)))*IF(M$26=".", 1, (M79/M78)^(('Summary, PPI''s'!$M79+'Summary, PPI''s'!$M78)/('Predicted PPIs'!R79+'Predicted PPIs'!R78)))*IF(B$26=".", 1, (B79/B78)^(('Summary, PPI''s'!$B79+'Summary, PPI''s'!$B78)/('Predicted PPIs'!R79+'Predicted PPIs'!R78)))*IF(C$26=".", 1, (C79/C78)^(('Summary, PPI''s'!$C79+'Summary, PPI''s'!$C78)/('Predicted PPIs'!R79+'Predicted PPIs'!R78)))*IF(D$26=".", 1, (D79/D78)^(('Summary, PPI''s'!$D79+'Summary, PPI''s'!$D78)/('Predicted PPIs'!R79+'Predicted PPIs'!R78)))*IF(N$26=".", 1, (N79/N78)^(('Summary, PPI''s'!$N79+'Summary, PPI''s'!$N78)/('Predicted PPIs'!R79+'Predicted PPIs'!R78)))*IF(O$26=".", 1, (O79/O78)^(('Summary, PPI''s'!$O79+'Summary, PPI''s'!$O78)/('Predicted PPIs'!R79+'Predicted PPIs'!R78)))*IF(P$26=".", 1, (P79/P78)^(('Summary, PPI''s'!$P79+'Summary, PPI''s'!$P78)/('Predicted PPIs'!R79+'Predicted PPIs'!R78)))</f>
        <v>#VALUE!</v>
      </c>
      <c r="AA79" s="4" t="e">
        <f>AA78*IF(E$36=".", 1, (E79/E78)^(('Summary, PPI''s'!$E79+'Summary, PPI''s'!$E78)/('Predicted PPIs'!S79+'Predicted PPIs'!S78)))*IF(F$36=".", 1, (F79/F78)^(('Summary, PPI''s'!$F79+'Summary, PPI''s'!$F78)/('Predicted PPIs'!S79+'Predicted PPIs'!S78)))*IF(G$36=".", 1, (G79/G78)^(('Summary, PPI''s'!$G79+'Summary, PPI''s'!$G78)/('Predicted PPIs'!S79+'Predicted PPIs'!S78)))*IF(H$36=".", 1, (H79/H78)^(('Summary, PPI''s'!$H79+'Summary, PPI''s'!$H78)/('Predicted PPIs'!S79+'Predicted PPIs'!S78)))*IF(I$36=".", 1, (I79/I78)^(('Summary, PPI''s'!$I79+'Summary, PPI''s'!$I78)/('Predicted PPIs'!S79+'Predicted PPIs'!S78)))*IF(J$36=".", 1, (J79/J78)^(('Summary, PPI''s'!$J79+'Summary, PPI''s'!$J78)/('Predicted PPIs'!S79+'Predicted PPIs'!S78)))*IF(K$36=".", 1, (K79/K78)^(('Summary, PPI''s'!$K79+'Summary, PPI''s'!$K78)/('Predicted PPIs'!S79+'Predicted PPIs'!S78)))*IF(L$36=".", 1, (L79/L78)^(('Summary, PPI''s'!$L79+'Summary, PPI''s'!$L78)/('Predicted PPIs'!S79+'Predicted PPIs'!S78)))*IF(M$36=".", 1, (M79/M78)^(('Summary, PPI''s'!$M79+'Summary, PPI''s'!$M78)/('Predicted PPIs'!S79+'Predicted PPIs'!S78)))*IF(B$36=".", 1, (B79/B78)^(('Summary, PPI''s'!$B79+'Summary, PPI''s'!$B78)/('Predicted PPIs'!S79+'Predicted PPIs'!S78)))*IF(C$36=".", 1, (C79/C78)^(('Summary, PPI''s'!$C79+'Summary, PPI''s'!$C78)/('Predicted PPIs'!S79+'Predicted PPIs'!S78)))*IF(D$36=".", 1, (D79/D78)^(('Summary, PPI''s'!$D79+'Summary, PPI''s'!$D78)/('Predicted PPIs'!S79+'Predicted PPIs'!S78)))*IF(N$36=".", 1, (N79/N78)^(('Summary, PPI''s'!$N79+'Summary, PPI''s'!$N78)/('Predicted PPIs'!S79+'Predicted PPIs'!S78)))*IF(O$36=".", 1, (O79/O78)^(('Summary, PPI''s'!$O79+'Summary, PPI''s'!$O78)/('Predicted PPIs'!S79+'Predicted PPIs'!S78)))*IF(P$36=".", 1, (P79/P78)^(('Summary, PPI''s'!$P79+'Summary, PPI''s'!$P78)/('Predicted PPIs'!S79+'Predicted PPIs'!S78)))</f>
        <v>#VALUE!</v>
      </c>
      <c r="AB79" s="4" t="e">
        <f>AB78*IF(E$46=".", 1, (E79/E78)^(('Summary, PPI''s'!$E79+'Summary, PPI''s'!$E78)/('Predicted PPIs'!T79+'Predicted PPIs'!T78)))*IF(F$46=".", 1, (F79/F78)^(('Summary, PPI''s'!$F79+'Summary, PPI''s'!$F78)/('Predicted PPIs'!T79+'Predicted PPIs'!T78)))*IF(G$46=".", 1, (G79/G78)^(('Summary, PPI''s'!$G79+'Summary, PPI''s'!$G78)/('Predicted PPIs'!T79+'Predicted PPIs'!T78)))*IF(H$46=".", 1, (H79/H78)^(('Summary, PPI''s'!$H79+'Summary, PPI''s'!$H78)/('Predicted PPIs'!T79+'Predicted PPIs'!T78)))*IF(I$46=".", 1, (I79/I78)^(('Summary, PPI''s'!$I79+'Summary, PPI''s'!$I78)/('Predicted PPIs'!T79+'Predicted PPIs'!T78)))*IF(J$46=".", 1, (J79/J78)^(('Summary, PPI''s'!$J79+'Summary, PPI''s'!$J78)/('Predicted PPIs'!T79+'Predicted PPIs'!T78)))*IF(K$46=".", 1, (K79/K78)^(('Summary, PPI''s'!$K79+'Summary, PPI''s'!$K78)/('Predicted PPIs'!T79+'Predicted PPIs'!T78)))*IF(L$46=".", 1, (L79/L78)^(('Summary, PPI''s'!$L79+'Summary, PPI''s'!$L78)/('Predicted PPIs'!T79+'Predicted PPIs'!T78)))*IF(M$46=".", 1, (M79/M78)^(('Summary, PPI''s'!$M79+'Summary, PPI''s'!$M78)/('Predicted PPIs'!T79+'Predicted PPIs'!T78)))*IF(B$46=".", 1, (B79/B78)^(('Summary, PPI''s'!$B79+'Summary, PPI''s'!$B78)/('Predicted PPIs'!T79+'Predicted PPIs'!T78)))*IF(C$46=".", 1, (C79/C78)^(('Summary, PPI''s'!$C79+'Summary, PPI''s'!$C78)/('Predicted PPIs'!T79+'Predicted PPIs'!T78)))*IF(D$46=".", 1, (D79/D78)^(('Summary, PPI''s'!$D79+'Summary, PPI''s'!$D78)/('Predicted PPIs'!T79+'Predicted PPIs'!T78)))*IF(N$46=".", 1, (N79/N78)^(('Summary, PPI''s'!$N79+'Summary, PPI''s'!$N78)/('Predicted PPIs'!T79+'Predicted PPIs'!T78)))*IF(O$46=".", 1, (O79/O78)^(('Summary, PPI''s'!$O79+'Summary, PPI''s'!$O78)/('Predicted PPIs'!T79+'Predicted PPIs'!T78)))*IF(P$46=".", 1, (P79/P78)^(('Summary, PPI''s'!$P79+'Summary, PPI''s'!$P78)/('Predicted PPIs'!T79+'Predicted PPIs'!T78)))</f>
        <v>#VALUE!</v>
      </c>
      <c r="AC79" s="4" t="e">
        <f>AC78*IF(E$60=".",1,(E79/E78)^(('Summary, PPI''s'!$E79+'Summary, PPI''s'!$E78)/('Predicted PPIs'!U79+'Predicted PPIs'!U78)))*IF(F$60=".",1,(F79/F78)^(('Summary, PPI''s'!$F79+'Summary, PPI''s'!$F78)/('Predicted PPIs'!U79+'Predicted PPIs'!U78)))*IF(G$60=".",1,(G79/G78)^(('Summary, PPI''s'!$G79+'Summary, PPI''s'!$G78)/('Predicted PPIs'!U79+'Predicted PPIs'!U78)))*IF(H$60=".",1,(H79/H78)^(('Summary, PPI''s'!$H79+'Summary, PPI''s'!$H78)/('Predicted PPIs'!U79+'Predicted PPIs'!U78)))*IF(I$60=".",1,(I79/I78)^(('Summary, PPI''s'!$I79+'Summary, PPI''s'!$I78)/('Predicted PPIs'!U79+'Predicted PPIs'!U78)))*IF(J$60=".",1,(J79/J78)^(('Summary, PPI''s'!$J79+'Summary, PPI''s'!$J78)/('Predicted PPIs'!U79+'Predicted PPIs'!U78)))*IF(K$60=".",1,(K79/K78)^(('Summary, PPI''s'!$K79+'Summary, PPI''s'!$K78)/('Predicted PPIs'!U79+'Predicted PPIs'!U78)))*IF(L$60=".",1,(L79/L78)^(('Summary, PPI''s'!$L79+'Summary, PPI''s'!$L78)/('Predicted PPIs'!U79+'Predicted PPIs'!U78)))*IF(M$60=".",1,(M79/M78)^(('Summary, PPI''s'!$M79+'Summary, PPI''s'!$M78)/('Predicted PPIs'!U79+'Predicted PPIs'!U78)))*IF(B$60=".",1,(B79/B78)^(('Summary, PPI''s'!$B79+'Summary, PPI''s'!$B78)/('Predicted PPIs'!U79+'Predicted PPIs'!U78)))*IF(C$60=".",1,(C79/C78)^(('Summary, PPI''s'!$C79+'Summary, PPI''s'!$C78)/('Predicted PPIs'!U79+'Predicted PPIs'!U78)))*IF(D$60=".",1,(D79/D78)^(('Summary, PPI''s'!$D79+'Summary, PPI''s'!$D78)/('Predicted PPIs'!U79+'Predicted PPIs'!U78)))*IF(N$60=".",1,(N79/N78)^(('Summary, PPI''s'!$N79+'Summary, PPI''s'!$N78)/('Predicted PPIs'!U79+'Predicted PPIs'!U78)))*IF(O$60=".",1,(O79/O78)^(('Summary, PPI''s'!$O79+'Summary, PPI''s'!$O78)/('Predicted PPIs'!U79+'Predicted PPIs'!U78)))*IF(P$60=".",1,(P79/P78)^(('Summary, PPI''s'!$P79+'Summary, PPI''s'!$P78)/('Predicted PPIs'!U79+'Predicted PPIs'!U78)))</f>
        <v>#VALUE!</v>
      </c>
      <c r="AD79" s="4" t="e">
        <f>AD78*IF(E$73=".", 1, (E79/E78)^(('Summary, PPI''s'!$E79+'Summary, PPI''s'!$E78)/('Predicted PPIs'!V79+'Predicted PPIs'!V78)))*IF(F$73=".", 1, (F79/F78)^(('Summary, PPI''s'!$F79+'Summary, PPI''s'!$F78)/('Predicted PPIs'!V79+'Predicted PPIs'!V78)))*IF(G$73=".", 1, (G79/G78)^(('Summary, PPI''s'!$G79+'Summary, PPI''s'!$G78)/('Predicted PPIs'!V79+'Predicted PPIs'!V78)))*IF(H$73=".", 1, (H79/H78)^(('Summary, PPI''s'!$H79+'Summary, PPI''s'!$H78)/('Predicted PPIs'!V79+'Predicted PPIs'!V78)))*IF(I$73=".", 1, (I79/I78)^(('Summary, PPI''s'!$I79+'Summary, PPI''s'!$I78)/('Predicted PPIs'!V79+'Predicted PPIs'!V78)))*IF(J$73=".", 1, (J79/J78)^(('Summary, PPI''s'!$J79+'Summary, PPI''s'!$J78)/('Predicted PPIs'!V79+'Predicted PPIs'!V78)))*IF(K$73=".", 1, (K79/K78)^(('Summary, PPI''s'!$K79+'Summary, PPI''s'!$K78)/('Predicted PPIs'!V79+'Predicted PPIs'!V78)))*IF(L$73=".", 1, (L79/L78)^(('Summary, PPI''s'!$L79+'Summary, PPI''s'!$L78)/('Predicted PPIs'!V79+'Predicted PPIs'!V78)))*IF(M$73=".", 1, (M79/M78)^(('Summary, PPI''s'!$M79+'Summary, PPI''s'!$M78)/('Predicted PPIs'!V79+'Predicted PPIs'!V78)))*IF(B$73=".", 1, (B79/B78)^(('Summary, PPI''s'!$B79+'Summary, PPI''s'!$B78)/('Predicted PPIs'!V79+'Predicted PPIs'!V78)))*IF(C$73=".", 1, (C79/C78)^(('Summary, PPI''s'!$C79+'Summary, PPI''s'!$C78)/('Predicted PPIs'!V79+'Predicted PPIs'!V78)))*IF(D$73=".", 1, (D79/D78)^(('Summary, PPI''s'!$D79+'Summary, PPI''s'!$D78)/('Predicted PPIs'!V79+'Predicted PPIs'!V78)))*IF(N$73=".", 1, (N79/N78)^(('Summary, PPI''s'!$N79+'Summary, PPI''s'!$N78)/('Predicted PPIs'!V79+'Predicted PPIs'!V78)))*IF(O$73=".", 1, (O79/O78)^(('Summary, PPI''s'!$O79+'Summary, PPI''s'!$O78)/('Predicted PPIs'!V79+'Predicted PPIs'!V78)))*IF(P$73=".", 1, (P79/P78)^(('Summary, PPI''s'!$P79+'Summary, PPI''s'!$P78)/('Predicted PPIs'!V79+'Predicted PPIs'!V78)))</f>
        <v>#VALUE!</v>
      </c>
      <c r="AE79" s="4">
        <f>AE78*IF(E$94=".", 1, (E79/E78)^(('Summary, PPI''s'!$E79+'Summary, PPI''s'!$E78)/('Predicted PPIs'!W79+'Predicted PPIs'!W78)))*IF(F$94=".", 1, (F79/F78)^(('Summary, PPI''s'!$F79+'Summary, PPI''s'!$F78)/('Predicted PPIs'!W79+'Predicted PPIs'!W78)))*IF(G$94=".", 1, (G79/G78)^(('Summary, PPI''s'!$G79+'Summary, PPI''s'!$G78)/('Predicted PPIs'!W79+'Predicted PPIs'!W78)))*IF(H$94=".", 1, (H79/H78)^(('Summary, PPI''s'!$H79+'Summary, PPI''s'!$H78)/('Predicted PPIs'!W79+'Predicted PPIs'!W78)))*IF(I$94=".", 1, (I79/I78)^(('Summary, PPI''s'!$I79+'Summary, PPI''s'!$I78)/('Predicted PPIs'!W79+'Predicted PPIs'!W78)))*IF(J$94=".", 1, (J79/J78)^(('Summary, PPI''s'!$J79+'Summary, PPI''s'!$J78)/('Predicted PPIs'!W79+'Predicted PPIs'!W78)))*IF(K$94=".", 1, (K79/K78)^(('Summary, PPI''s'!$K79+'Summary, PPI''s'!$K78)/('Predicted PPIs'!W79+'Predicted PPIs'!W78)))*IF(L$94=".", 1, (L79/L78)^(('Summary, PPI''s'!$L79+'Summary, PPI''s'!$L78)/('Predicted PPIs'!W79+'Predicted PPIs'!W78)))*IF(M$94=".", 1, (M79/M78)^(('Summary, PPI''s'!$M79+'Summary, PPI''s'!$M78)/('Predicted PPIs'!W79+'Predicted PPIs'!W78)))*IF(B$94=".", 1, (B79/B78)^(('Summary, PPI''s'!$B79+'Summary, PPI''s'!$B78)/('Predicted PPIs'!W79+'Predicted PPIs'!W78)))*IF(C$94=".", 1, (C79/C78)^(('Summary, PPI''s'!$C79+'Summary, PPI''s'!$C78)/('Predicted PPIs'!W79+'Predicted PPIs'!W78)))*IF(D$94=".", 1, (D79/D78)^(('Summary, PPI''s'!$D79+'Summary, PPI''s'!$D78)/('Predicted PPIs'!W79+'Predicted PPIs'!W78)))*IF(N$94=".", 1, (N79/N78)^(('Summary, PPI''s'!$N79+'Summary, PPI''s'!$N78)/('Predicted PPIs'!W79+'Predicted PPIs'!W78)))*IF(O$94=".", 1, (O79/O78)^(('Summary, PPI''s'!$O79+'Summary, PPI''s'!$O78)/('Predicted PPIs'!W79+'Predicted PPIs'!W78)))*IF(P$94=".", 1, (P79/P78)^(('Summary, PPI''s'!$P79+'Summary, PPI''s'!$P78)/('Predicted PPIs'!W79+'Predicted PPIs'!W78)))</f>
        <v>3.7738388043011777</v>
      </c>
      <c r="AF79" s="4">
        <f>AF78*IF(E$123=".", 1, (E79/E78)^(('Summary, PPI''s'!$E79+'Summary, PPI''s'!$E78)/('Predicted PPIs'!X79+'Predicted PPIs'!X78)))*IF(F$123=".", 1, (F79/F78)^(('Summary, PPI''s'!$F79+'Summary, PPI''s'!$F78)/('Predicted PPIs'!X79+'Predicted PPIs'!X78)))*IF(G$123=".", 1, (G79/G78)^(('Summary, PPI''s'!$G79+'Summary, PPI''s'!$G78)/('Predicted PPIs'!X79+'Predicted PPIs'!X78)))*IF(H$123=".", 1, (H79/H78)^(('Summary, PPI''s'!$H79+'Summary, PPI''s'!$H78)/('Predicted PPIs'!X79+'Predicted PPIs'!X78)))*IF(I$123=".", 1, (I79/I78)^(('Summary, PPI''s'!$I79+'Summary, PPI''s'!$I78)/('Predicted PPIs'!X79+'Predicted PPIs'!X78)))*IF(J$123=".", 1, (J79/J78)^(('Summary, PPI''s'!$J79+'Summary, PPI''s'!$J78)/('Predicted PPIs'!X79+'Predicted PPIs'!X78)))*IF(K$123=".", 1, (K79/K78)^(('Summary, PPI''s'!$K79+'Summary, PPI''s'!$K78)/('Predicted PPIs'!X79+'Predicted PPIs'!X78)))*IF(L$123=".", 1, (L79/L78)^(('Summary, PPI''s'!$L79+'Summary, PPI''s'!$L78)/('Predicted PPIs'!X79+'Predicted PPIs'!X78)))*IF(M$123=".", 1, (M79/M78)^(('Summary, PPI''s'!$M79+'Summary, PPI''s'!$M78)/('Predicted PPIs'!X79+'Predicted PPIs'!X78)))*IF(B$123=".", 1, (B79/B78)^(('Summary, PPI''s'!$B79+'Summary, PPI''s'!$B78)/('Predicted PPIs'!X79+'Predicted PPIs'!X78)))*IF(C$123=".", 1, (C79/C78)^(('Summary, PPI''s'!$C79+'Summary, PPI''s'!$C78)/('Predicted PPIs'!X79+'Predicted PPIs'!X78)))*IF(D$123=".", 1, (D79/D78)^(('Summary, PPI''s'!$D79+'Summary, PPI''s'!$D78)/('Predicted PPIs'!X79+'Predicted PPIs'!X78)))*IF(N$123=".", 1, (N79/N78)^(('Summary, PPI''s'!$N79+'Summary, PPI''s'!$N78)/('Predicted PPIs'!X79+'Predicted PPIs'!X78)))*IF(O$123=".", 1, (O79/O78)^(('Summary, PPI''s'!$O79+'Summary, PPI''s'!$O78)/('Predicted PPIs'!X79+'Predicted PPIs'!X78)))*IF(P$123=".", 1, (P79/P78)^(('Summary, PPI''s'!$P79+'Summary, PPI''s'!$P78)/('Predicted PPIs'!X79+'Predicted PPIs'!X78)))</f>
        <v>3.2208863958387868</v>
      </c>
      <c r="AH79" s="13">
        <f t="shared" si="152"/>
        <v>5.160843943412754</v>
      </c>
      <c r="AJ79" s="4">
        <v>108.6</v>
      </c>
      <c r="AK79" s="4">
        <v>-2.181</v>
      </c>
      <c r="AL79" s="4">
        <v>-6.06</v>
      </c>
      <c r="AM79" s="4">
        <v>-0.95499999999999996</v>
      </c>
      <c r="AN79" s="4">
        <f t="shared" si="176"/>
        <v>144.82235948116119</v>
      </c>
      <c r="AO79" s="4">
        <v>10.6</v>
      </c>
      <c r="AP79" s="4">
        <f t="shared" si="177"/>
        <v>-0.98064171122994659</v>
      </c>
      <c r="AQ79" s="4">
        <f t="shared" si="178"/>
        <v>-1.8538663101604278</v>
      </c>
      <c r="AR79" s="4">
        <f t="shared" si="148"/>
        <v>-1.4842891820205471E-4</v>
      </c>
      <c r="AS79" s="4">
        <v>-0.73</v>
      </c>
      <c r="AT79" s="4">
        <v>10.196</v>
      </c>
      <c r="AU79" s="4">
        <v>19.946000000000002</v>
      </c>
      <c r="AV79" s="4">
        <v>9.18</v>
      </c>
      <c r="AW79" s="4">
        <v>6.9329999999999998</v>
      </c>
      <c r="AX79" s="4">
        <f t="shared" si="179"/>
        <v>9.711991994876719</v>
      </c>
      <c r="AY79" s="4">
        <v>12.29</v>
      </c>
      <c r="AZ79" s="4">
        <v>4.2089999999999996</v>
      </c>
      <c r="BA79" s="4">
        <v>12.526</v>
      </c>
      <c r="BB79" s="4">
        <f t="shared" si="150"/>
        <v>71.645632327777292</v>
      </c>
      <c r="BC79" s="4">
        <v>9.8190000000000008</v>
      </c>
      <c r="BG79" s="4">
        <f t="shared" si="172"/>
        <v>10.481482110298572</v>
      </c>
      <c r="BI79" s="4">
        <f>BI$13*'[2]Ordinary Experience'!$D$347/'[2]Ordinary Experience'!$D$413</f>
        <v>139407199.34258756</v>
      </c>
      <c r="BJ79" s="4">
        <f>'[2]Ordinary Experience'!$E$347</f>
        <v>25.743341459242874</v>
      </c>
      <c r="BL79" s="4">
        <f t="shared" si="151"/>
        <v>25.546877219279011</v>
      </c>
      <c r="BM79" s="4">
        <f t="shared" si="153"/>
        <v>2.0820233896409635E-2</v>
      </c>
      <c r="BO79" s="4" t="str">
        <f>IF(OR('Summary, hourly ad costs'!R79=-9999,'Summary, PPI''s'!R79="."),".",(('Summary, hourly ad costs'!B79/'Summary, hourly ad costs'!R79)*100/('Summary, hourly ad costs'!B$11/'Summary, hourly ad costs'!R$11))/('Summary, PPI''s'!R79))</f>
        <v>.</v>
      </c>
      <c r="BP79" s="4" t="str">
        <f>IF(OR('Summary, hourly ad costs'!S79=-9999,'Summary, PPI''s'!S79="."),".",(('Summary, hourly ad costs'!C79/'Summary, hourly ad costs'!S79)*100/('Summary, hourly ad costs'!C$11/'Summary, hourly ad costs'!S$11))/('Summary, PPI''s'!S79))</f>
        <v>.</v>
      </c>
      <c r="BQ79" s="4" t="str">
        <f>IF(OR('Summary, hourly ad costs'!T79=-9999,'Summary, PPI''s'!T79="."),".",(('Summary, hourly ad costs'!D79/'Summary, hourly ad costs'!T79)*100/('Summary, hourly ad costs'!D$11/'Summary, hourly ad costs'!T$11))/('Summary, PPI''s'!T79))</f>
        <v>.</v>
      </c>
      <c r="BR79" s="4" t="str">
        <f>IF(OR('Summary, hourly ad costs'!U79=-9999,'Summary, PPI''s'!U79="."),".",(('Summary, hourly ad costs'!E79/'Summary, hourly ad costs'!U79)*100/('Summary, hourly ad costs'!E$11/'Summary, hourly ad costs'!U$11))/('Summary, PPI''s'!U79))</f>
        <v>.</v>
      </c>
      <c r="BS79" s="4" t="str">
        <f>IF(OR('Summary, hourly ad costs'!V79=-9999,'Summary, PPI''s'!V79="."),".",(('Summary, hourly ad costs'!F79/'Summary, hourly ad costs'!V79)*100/('Summary, hourly ad costs'!F$11/'Summary, hourly ad costs'!V$11))/('Summary, PPI''s'!V79))</f>
        <v>.</v>
      </c>
      <c r="BT79" s="4" t="str">
        <f>IF(OR('Summary, hourly ad costs'!W79=-9999,'Summary, PPI''s'!W79="."),".",(('Summary, hourly ad costs'!G79/'Summary, hourly ad costs'!W79)*100/('Summary, hourly ad costs'!G$11/'Summary, hourly ad costs'!W$11))/('Summary, PPI''s'!W79))</f>
        <v>.</v>
      </c>
      <c r="BU79" s="4" t="str">
        <f>IF(OR('Summary, hourly ad costs'!X79=-9999,'Summary, PPI''s'!X79="."),".",(('Summary, hourly ad costs'!H79/'Summary, hourly ad costs'!X79)*100/('Summary, hourly ad costs'!H$11/'Summary, hourly ad costs'!X$11))/('Summary, PPI''s'!X79))</f>
        <v>.</v>
      </c>
      <c r="BV79" s="4" t="str">
        <f>IF(OR('Summary, hourly ad costs'!Y79=-9999,'Summary, PPI''s'!Y79="."),".",(('Summary, hourly ad costs'!I79/'Summary, hourly ad costs'!Y79)*100/('Summary, hourly ad costs'!I$11/'Summary, hourly ad costs'!Y$11))/('Summary, PPI''s'!Y79))</f>
        <v>.</v>
      </c>
      <c r="BW79" s="4" t="str">
        <f>IF(OR('Summary, hourly ad costs'!Z79=-9999,'Summary, PPI''s'!Z79="."),".",(('Summary, hourly ad costs'!J79/'Summary, hourly ad costs'!Z79)*100/('Summary, hourly ad costs'!J$11/'Summary, hourly ad costs'!Z$11))/('Summary, PPI''s'!Z79))</f>
        <v>.</v>
      </c>
      <c r="BX79" s="4" t="str">
        <f>IF(OR('Summary, hourly ad costs'!AA79=-9999,'Summary, PPI''s'!AA79="."),".",(('Summary, hourly ad costs'!K79/'Summary, hourly ad costs'!AA79)*100/('Summary, hourly ad costs'!K$11/'Summary, hourly ad costs'!AA$11))/('Summary, PPI''s'!AA79))</f>
        <v>.</v>
      </c>
      <c r="BY79" s="4" t="str">
        <f>IF(OR('Summary, hourly ad costs'!AB79=-9999,'Summary, PPI''s'!AB79="."),".",(('Summary, hourly ad costs'!L79/'Summary, hourly ad costs'!AB79)*100/('Summary, hourly ad costs'!L$11/'Summary, hourly ad costs'!AB$11))/('Summary, PPI''s'!AB79))</f>
        <v>.</v>
      </c>
      <c r="BZ79" s="4" t="str">
        <f>IF(OR('Summary, hourly ad costs'!AC79=-9999,'Summary, PPI''s'!AC79="."),".",(('Summary, hourly ad costs'!M79/'Summary, hourly ad costs'!AC79)*100/('Summary, hourly ad costs'!M$11/'Summary, hourly ad costs'!AC$11))/('Summary, PPI''s'!AC79))</f>
        <v>.</v>
      </c>
      <c r="CA79" s="4" t="str">
        <f>IF(OR('Summary, hourly ad costs'!AD79=-9999,'Summary, PPI''s'!AD79="."),".",(('Summary, hourly ad costs'!N79/'Summary, hourly ad costs'!AD79)*100/('Summary, hourly ad costs'!N$11/'Summary, hourly ad costs'!AD$11))/('Summary, PPI''s'!AD79))</f>
        <v>.</v>
      </c>
      <c r="CB79" s="4" t="str">
        <f>IF(OR('Summary, hourly ad costs'!AE79=-9999,'Summary, PPI''s'!AE79="."),".",(('Summary, hourly ad costs'!O79/'Summary, hourly ad costs'!AE79)*100/('Summary, hourly ad costs'!O$11/'Summary, hourly ad costs'!AE$11))/('Summary, PPI''s'!AE79))</f>
        <v>.</v>
      </c>
      <c r="CC79" s="4" t="str">
        <f>IF(OR('Summary, hourly ad costs'!AF79=-9999,'Summary, PPI''s'!AF79="."),".",(('Summary, hourly ad costs'!P79/'Summary, hourly ad costs'!AF79)*100/('Summary, hourly ad costs'!P$11/'Summary, hourly ad costs'!AF$11))/('Summary, PPI''s'!AF79))</f>
        <v>.</v>
      </c>
      <c r="CE79" s="4">
        <f t="shared" si="134"/>
        <v>-1.2218929150493288E-2</v>
      </c>
      <c r="CF79" s="4" t="str">
        <f t="shared" si="135"/>
        <v>.</v>
      </c>
      <c r="CG79" s="4" t="str">
        <f t="shared" si="136"/>
        <v>.</v>
      </c>
      <c r="CH79" s="4">
        <f t="shared" si="145"/>
        <v>5.6844654844545386E-3</v>
      </c>
      <c r="CI79" s="4">
        <f t="shared" si="145"/>
        <v>8.1600917885757789E-3</v>
      </c>
      <c r="CJ79" s="4" t="str">
        <f t="shared" si="147"/>
        <v>.</v>
      </c>
      <c r="CK79" s="4">
        <f t="shared" si="149"/>
        <v>3.3592849638944787E-3</v>
      </c>
      <c r="CL79" s="4">
        <f t="shared" si="130"/>
        <v>5.4244999446724576E-3</v>
      </c>
      <c r="CM79" s="4">
        <f t="shared" si="130"/>
        <v>1.85365137791604E-2</v>
      </c>
      <c r="CN79" s="4">
        <f t="shared" si="89"/>
        <v>-8.9226253769413011E-3</v>
      </c>
      <c r="CO79" s="4">
        <f t="shared" si="180"/>
        <v>0.13094048004176337</v>
      </c>
      <c r="CP79" s="4">
        <f t="shared" si="180"/>
        <v>0.13575887250513566</v>
      </c>
      <c r="CQ79" s="4" t="str">
        <f t="shared" si="173"/>
        <v>.</v>
      </c>
      <c r="CR79" s="4" t="str">
        <f t="shared" si="174"/>
        <v>.</v>
      </c>
      <c r="CS79" s="4" t="str">
        <f t="shared" si="175"/>
        <v>.</v>
      </c>
      <c r="CU79" s="5">
        <f>IF(CU78=".", ".", IF('Summary, PPI''s'!R79=".",IF(OR('Summary, hourly ad costs'!R79=-9999,'Summary, hourly ad costs'!R79=0), ".", 'Predicted PPIs'!CU78*('Summary, hourly ad costs'!B79/'Summary, hourly ad costs'!R79)/('Summary, hourly ad costs'!B78/'Summary, hourly ad costs'!R78)/(1-CE78)), 'Summary, PPI''s'!R79))</f>
        <v>26.352786609871117</v>
      </c>
      <c r="CV79" s="5" t="str">
        <f>IF(CV78=".", ".", IF('Summary, PPI''s'!S79=".",IF(OR('Summary, hourly ad costs'!S79=-9999,'Summary, hourly ad costs'!S79=0), ".", 'Predicted PPIs'!CV78*('Summary, hourly ad costs'!C79/'Summary, hourly ad costs'!S79)/('Summary, hourly ad costs'!C78/'Summary, hourly ad costs'!S78)/(1-CF78)), 'Summary, PPI''s'!S79))</f>
        <v>.</v>
      </c>
      <c r="CW79" s="5" t="str">
        <f>IF(CW78=".", ".", IF('Summary, PPI''s'!T79=".",IF(OR('Summary, hourly ad costs'!T79=-9999,'Summary, hourly ad costs'!T79=0), ".", 'Predicted PPIs'!CW78*('Summary, hourly ad costs'!D79/'Summary, hourly ad costs'!T79)/('Summary, hourly ad costs'!D78/'Summary, hourly ad costs'!T78)/(1-CG78)), 'Summary, PPI''s'!T79))</f>
        <v>.</v>
      </c>
      <c r="CX79" s="5">
        <f>IF(CX78=".", ".", IF('Summary, PPI''s'!U79=".",IF(OR('Summary, hourly ad costs'!U79=-9999,'Summary, hourly ad costs'!U79=0), ".", 'Predicted PPIs'!CX78*('Summary, hourly ad costs'!E79/'Summary, hourly ad costs'!U79)/('Summary, hourly ad costs'!E78/'Summary, hourly ad costs'!U78)/(1-CH78)), 'Summary, PPI''s'!U79))</f>
        <v>2.2202658175675642</v>
      </c>
      <c r="CY79" s="5">
        <f>IF(CY78=".", ".", IF('Summary, PPI''s'!V79=".",IF(OR('Summary, hourly ad costs'!V79=-9999,'Summary, hourly ad costs'!V79=0), ".", 'Predicted PPIs'!CY78*('Summary, hourly ad costs'!F79/'Summary, hourly ad costs'!V79)/('Summary, hourly ad costs'!F78/'Summary, hourly ad costs'!V78)/(1-CI78)), 'Summary, PPI''s'!V79))</f>
        <v>6.851855430761705</v>
      </c>
      <c r="CZ79" s="5" t="str">
        <f>IF(CZ78=".", ".", IF('Summary, PPI''s'!W79=".",IF(OR('Summary, hourly ad costs'!W79=-9999,'Summary, hourly ad costs'!W79=0), ".", 'Predicted PPIs'!CZ78*('Summary, hourly ad costs'!G79/'Summary, hourly ad costs'!W79)/('Summary, hourly ad costs'!G78/'Summary, hourly ad costs'!W78)/(1-CJ78)), 'Summary, PPI''s'!W79))</f>
        <v>.</v>
      </c>
      <c r="DA79" s="5">
        <f>IF(DA78=".", ".", IF('Summary, PPI''s'!X79=".",IF(OR('Summary, hourly ad costs'!X79=-9999,'Summary, hourly ad costs'!X79=0), ".", 'Predicted PPIs'!DA78*('Summary, hourly ad costs'!H79/'Summary, hourly ad costs'!X79)/('Summary, hourly ad costs'!H78/'Summary, hourly ad costs'!X78)/(1-CK78)), 'Summary, PPI''s'!X79))</f>
        <v>2.3328496057347818</v>
      </c>
      <c r="DB79" s="5">
        <f>IF(DB78=".", ".", IF('Summary, PPI''s'!Y79=".",IF(OR('Summary, hourly ad costs'!Y79=-9999,'Summary, hourly ad costs'!Y79=0), ".", 'Predicted PPIs'!DB78*('Summary, hourly ad costs'!I79/'Summary, hourly ad costs'!Y79)/('Summary, hourly ad costs'!I78/'Summary, hourly ad costs'!Y78)/(1-CL78)), 'Summary, PPI''s'!Y79))</f>
        <v>11.262820074307811</v>
      </c>
      <c r="DC79" s="5" t="str">
        <f>IF(DC78=".", ".", IF('Summary, PPI''s'!Z79=".",IF(OR('Summary, hourly ad costs'!Z79=-9999,'Summary, hourly ad costs'!Z79=0), ".", 'Predicted PPIs'!DC78*('Summary, hourly ad costs'!J79/'Summary, hourly ad costs'!Z79)/('Summary, hourly ad costs'!J78/'Summary, hourly ad costs'!Z78)/(1-CM78)), 'Summary, PPI''s'!Z79))</f>
        <v>.</v>
      </c>
      <c r="DD79" s="5" t="str">
        <f>IF(DD78=".", ".", IF('Summary, PPI''s'!AA79=".",IF(OR('Summary, hourly ad costs'!AA79=-9999,'Summary, hourly ad costs'!AA79=0), ".", 'Predicted PPIs'!DD78*('Summary, hourly ad costs'!K79/'Summary, hourly ad costs'!AA79)/('Summary, hourly ad costs'!K78/'Summary, hourly ad costs'!AA78)/(1-CN78)), 'Summary, PPI''s'!AA79))</f>
        <v>.</v>
      </c>
      <c r="DE79" s="5" t="str">
        <f>IF(DE78=".", ".", IF('Summary, PPI''s'!AB79=".",IF(OR('Summary, hourly ad costs'!AB79=-9999,'Summary, hourly ad costs'!AB79=0), ".", 'Predicted PPIs'!DE78*('Summary, hourly ad costs'!L79/'Summary, hourly ad costs'!AB79)/('Summary, hourly ad costs'!L78/'Summary, hourly ad costs'!AB78)/(1-CO78)), 'Summary, PPI''s'!AB79))</f>
        <v>.</v>
      </c>
      <c r="DF79" s="5" t="str">
        <f>IF(DF78=".", ".", IF('Summary, PPI''s'!AC79=".",IF(OR('Summary, hourly ad costs'!AC79=-9999,'Summary, hourly ad costs'!AC79=0), ".", 'Predicted PPIs'!DF78*('Summary, hourly ad costs'!M79/'Summary, hourly ad costs'!AC79)/('Summary, hourly ad costs'!M78/'Summary, hourly ad costs'!AC78)/(1-CP78)), 'Summary, PPI''s'!AC79))</f>
        <v>.</v>
      </c>
      <c r="DG79" s="5" t="str">
        <f>IF(DG78=".", ".", IF('Summary, PPI''s'!AD79=".",IF(OR('Summary, hourly ad costs'!AD79=-9999,'Summary, hourly ad costs'!AD79=0), ".", 'Predicted PPIs'!DG78*('Summary, hourly ad costs'!N79/'Summary, hourly ad costs'!AD79)/('Summary, hourly ad costs'!N78/'Summary, hourly ad costs'!AD78)/(1-CQ78)), 'Summary, PPI''s'!AD79))</f>
        <v>.</v>
      </c>
      <c r="DH79" s="5" t="str">
        <f>IF(DH78=".", ".", IF('Summary, PPI''s'!AE79=".",IF(OR('Summary, hourly ad costs'!AE79=-9999,'Summary, hourly ad costs'!AE79=0), ".", 'Predicted PPIs'!DH78*('Summary, hourly ad costs'!O79/'Summary, hourly ad costs'!AE79)/('Summary, hourly ad costs'!O78/'Summary, hourly ad costs'!AE78)/(1-CR78)), 'Summary, PPI''s'!AE79))</f>
        <v>.</v>
      </c>
      <c r="DI79" s="5" t="str">
        <f>IF(DI78=".", ".", IF('Summary, PPI''s'!AF79=".",IF(OR('Summary, hourly ad costs'!AF79=-9999,'Summary, hourly ad costs'!AF79=0), ".", 'Predicted PPIs'!DI78*('Summary, hourly ad costs'!P79/'Summary, hourly ad costs'!AF79)/('Summary, hourly ad costs'!P78/'Summary, hourly ad costs'!AF78)/(1-CS78)), 'Summary, PPI''s'!AF79))</f>
        <v>.</v>
      </c>
      <c r="DK79" s="4">
        <v>3.0270000000000001</v>
      </c>
      <c r="DM79" s="5">
        <f t="shared" si="138"/>
        <v>-1.6580438123032115E-2</v>
      </c>
      <c r="DN79" s="4">
        <f t="shared" si="139"/>
        <v>-2.3679349954228043E-2</v>
      </c>
      <c r="DO79" s="4">
        <f t="shared" si="181"/>
        <v>-2.2700776854766746E-2</v>
      </c>
      <c r="DP79" s="5">
        <f t="shared" si="140"/>
        <v>-0.14276420310270843</v>
      </c>
      <c r="DQ79" s="5">
        <f t="shared" si="141"/>
        <v>1.6232064593875606E-2</v>
      </c>
      <c r="DR79" s="4">
        <f t="shared" si="146"/>
        <v>-8.4066648872861988E-3</v>
      </c>
      <c r="DS79" s="5">
        <f t="shared" si="169"/>
        <v>-6.5201867966951932E-3</v>
      </c>
      <c r="DT79" s="5">
        <f t="shared" si="170"/>
        <v>7.2444301541138012E-2</v>
      </c>
      <c r="DU79" s="4">
        <f t="shared" si="171"/>
        <v>-2.2826130664257413E-2</v>
      </c>
      <c r="DV79" s="4">
        <f t="shared" si="131"/>
        <v>7.5223188439373719E-5</v>
      </c>
      <c r="DW79" s="4">
        <f t="shared" si="133"/>
        <v>-7.8417428331655464E-2</v>
      </c>
      <c r="DX79" s="4">
        <f t="shared" si="133"/>
        <v>-3.0394576705639401E-2</v>
      </c>
      <c r="DY79" s="4">
        <f t="shared" si="108"/>
        <v>-1.7499026387419146E-2</v>
      </c>
      <c r="DZ79" s="4">
        <f t="shared" si="132"/>
        <v>-1.0881184247194116E-2</v>
      </c>
      <c r="EA79" s="4">
        <f t="shared" si="109"/>
        <v>-1.0319826860667817E-2</v>
      </c>
      <c r="EC79" s="1">
        <f t="shared" si="154"/>
        <v>26.352786609871117</v>
      </c>
      <c r="ED79" s="1">
        <f t="shared" si="155"/>
        <v>6.034368450072817</v>
      </c>
      <c r="EE79" s="1">
        <f t="shared" si="156"/>
        <v>3.5115729452159696</v>
      </c>
      <c r="EF79" s="1">
        <f t="shared" si="157"/>
        <v>2.2202658175675642</v>
      </c>
      <c r="EG79" s="1">
        <f t="shared" si="158"/>
        <v>6.851855430761705</v>
      </c>
      <c r="EH79" s="1">
        <f t="shared" si="159"/>
        <v>3.4828310402636999</v>
      </c>
      <c r="EI79" s="1">
        <f t="shared" si="160"/>
        <v>2.3328496057347818</v>
      </c>
      <c r="EJ79" s="1">
        <f t="shared" si="161"/>
        <v>11.262820074307811</v>
      </c>
      <c r="EK79" s="1">
        <f t="shared" si="162"/>
        <v>13.741149151400126</v>
      </c>
      <c r="EL79" s="1">
        <f t="shared" si="163"/>
        <v>2.4603685556044188</v>
      </c>
      <c r="EM79" s="1">
        <f t="shared" si="164"/>
        <v>0.26585844489701871</v>
      </c>
      <c r="EN79" s="1">
        <f t="shared" si="165"/>
        <v>6.2851660333690402</v>
      </c>
      <c r="EO79" s="1">
        <f t="shared" si="166"/>
        <v>2.3519082554971589</v>
      </c>
      <c r="EP79" s="1">
        <f t="shared" si="167"/>
        <v>3.5213034888814825</v>
      </c>
      <c r="EQ79" s="1">
        <f t="shared" si="168"/>
        <v>2.7052076180971292</v>
      </c>
      <c r="ES79" s="1">
        <f>IF(EF$26=".", 0, 'Summary, PPI''s'!E79)+IF(EG$26=".", 0, 'Summary, PPI''s'!F79)+IF(EH$26=".", 0, 'Summary, PPI''s'!G79)+IF(EI$26=".", 0, 'Summary, PPI''s'!H79)+IF(EJ$26=".", 0, 'Summary, PPI''s'!I79)+IF(EK$26=".", 0, 'Summary, PPI''s'!J79)+IF(EL$26=".", 0, 'Summary, PPI''s'!K79)+IF(EM$26=".", 0, 'Summary, PPI''s'!L79)+IF(EN$26=".", 0, 'Summary, PPI''s'!M79)+IF(EC$26=".", 0, 'Summary, PPI''s'!B79)+IF(ED$26=".", 0, 'Summary, PPI''s'!C79)+IF(EE$26=".", 0, 'Summary, PPI''s'!D79)+IF(EO$26=".", 0, 'Summary, PPI''s'!N79)+IF(EP$26=".", 0, 'Summary, PPI''s'!O79)+IF(EQ$26=".", 0, 'Summary, PPI''s'!P79)</f>
        <v>2896021.6397540229</v>
      </c>
      <c r="ET79" s="1">
        <f>'Summary, hourly ad costs'!E79+'Summary, hourly ad costs'!F79+'Summary, hourly ad costs'!H79+'Summary, hourly ad costs'!I79+'Summary, hourly ad costs'!J79+'Summary, hourly ad costs'!K79+'Summary, hourly ad costs'!L79+'Summary, hourly ad costs'!M79+'Summary, hourly ad costs'!B79</f>
        <v>1826768.7452075882</v>
      </c>
      <c r="EV79" s="13">
        <f>EV78*IF(EF$26=".", 1, (EF79/EF78)^(('Summary, PPI''s'!$E79+'Summary, PPI''s'!$E78)/('Predicted PPIs'!ES79+'Predicted PPIs'!ES78)))*IF(EG$26=".", 1, (EG79/EG78)^(('Summary, PPI''s'!$F79+'Summary, PPI''s'!$F78)/('Predicted PPIs'!ES79+'Predicted PPIs'!ES78)))*IF(EH$26=".", 1, (EH79/EH78)^(('Summary, PPI''s'!$G79+'Summary, PPI''s'!$G78)/('Predicted PPIs'!ES79+'Predicted PPIs'!ES78)))*IF(EI$26=".", 1, (EI79/EI78)^(('Summary, PPI''s'!$H79+'Summary, PPI''s'!$H78)/('Predicted PPIs'!ES79+'Predicted PPIs'!ES78)))*IF(EJ$26=".", 1, (EJ79/EJ78)^(('Summary, PPI''s'!$I79+'Summary, PPI''s'!$I78)/('Predicted PPIs'!ES79+'Predicted PPIs'!ES78)))*IF(EK$26=".", 1, (EK79/EK78)^(('Summary, PPI''s'!$J79+'Summary, PPI''s'!$J78)/('Predicted PPIs'!ES79+'Predicted PPIs'!ES78)))*IF(EL$26=".", 1, (EL79/EL78)^(('Summary, PPI''s'!$K79+'Summary, PPI''s'!$K78)/('Predicted PPIs'!ES79+'Predicted PPIs'!ES78)))*IF(EM$26=".", 1, (EM79/EM78)^(('Summary, PPI''s'!$L79+'Summary, PPI''s'!$L78)/('Predicted PPIs'!ES79+'Predicted PPIs'!ES78)))*IF(EN$26=".", 1, (EN79/EN78)^(('Summary, PPI''s'!$M79+'Summary, PPI''s'!$M78)/('Predicted PPIs'!ES79+'Predicted PPIs'!ES78)))*IF(EC$26=".", 1, (EC79/EC78)^(('Summary, PPI''s'!$B79+'Summary, PPI''s'!$B78)/('Predicted PPIs'!ES79+'Predicted PPIs'!ES78)))*IF(ED$26=".", 1, (ED79/ED78)^(('Summary, PPI''s'!$C79+'Summary, PPI''s'!$C78)/('Predicted PPIs'!ES79+'Predicted PPIs'!ES78)))*IF(EE$26=".", 1, (EE79/EE78)^(('Summary, PPI''s'!$D79+'Summary, PPI''s'!$D78)/('Predicted PPIs'!ES79+'Predicted PPIs'!ES78)))*IF(EO$26=".", 1, (EO79/EO78)^(('Summary, PPI''s'!$N79+'Summary, PPI''s'!$N78)/('Predicted PPIs'!ES79+'Predicted PPIs'!ES78)))*IF(EP$26=".", 1, (EP79/EP78)^(('Summary, PPI''s'!$O79+'Summary, PPI''s'!$O78)/('Predicted PPIs'!ES79+'Predicted PPIs'!ES78)))*IF(EQ$26=".", 1, (EQ79/EQ78)^(('Summary, PPI''s'!$P79+'Summary, PPI''s'!$P78)/('Predicted PPIs'!ES79+'Predicted PPIs'!ES78)))</f>
        <v>5.1771131163292203</v>
      </c>
      <c r="EW79" s="13">
        <f>EW78*IF(EF$26=".", 1, (EF79/EF78)^(('Summary, PPI''s'!$E79+'Summary, PPI''s'!$E78)/('Predicted PPIs'!ET79+'Predicted PPIs'!ET78)))*IF(EG$26=".", 1, (EG79/EG78)^(('Summary, PPI''s'!$F79+'Summary, PPI''s'!$F78)/('Predicted PPIs'!ET79+'Predicted PPIs'!ET78)))*IF(EH$26=".", 1, (EH79/EH78)^(('Summary, PPI''s'!$G79+'Summary, PPI''s'!$G78)/('Predicted PPIs'!ET79+'Predicted PPIs'!ET78)))*IF(EK$26=".", 1, (EK79/EK78)^(('Summary, PPI''s'!$J79+'Summary, PPI''s'!$J78)/('Predicted PPIs'!ET79+'Predicted PPIs'!ET78)))*IF(EL$26=".", 1, (EL79/EL78)^(('Summary, PPI''s'!$K79+'Summary, PPI''s'!$K78)/('Predicted PPIs'!ET79+'Predicted PPIs'!ET78)))*IF(EM$26=".", 1, (EM79/EM78)^(('Summary, PPI''s'!$L79+'Summary, PPI''s'!$L78)/('Predicted PPIs'!ET79+'Predicted PPIs'!ET78)))*IF(EN$26=".", 1, (EN79/EN78)^(('Summary, PPI''s'!$M79+'Summary, PPI''s'!$M78)/('Predicted PPIs'!ET79+'Predicted PPIs'!ET78)))*IF(EC$26=".", 1, (EC79/EC78)^(('Summary, PPI''s'!$B79+'Summary, PPI''s'!$B78)/('Predicted PPIs'!ET79+'Predicted PPIs'!ET78)))</f>
        <v>7.5733496388277954</v>
      </c>
      <c r="EY79" s="2"/>
    </row>
    <row r="80" spans="1:155" x14ac:dyDescent="0.3">
      <c r="A80" s="4">
        <v>1943</v>
      </c>
      <c r="B80" s="10">
        <f>IF(B79=".", ".", IF('Summary, PPI''s'!R80=".",IF(OR('Summary, hourly ad costs'!R80=-9999,'Summary, hourly ad costs'!R80=0), ".", 'Predicted PPIs'!B79*('Summary, hourly ad costs'!B80/'Summary, hourly ad costs'!R80)/('Summary, hourly ad costs'!B79/'Summary, hourly ad costs'!R79)), 'Summary, PPI''s'!R80))</f>
        <v>26.693640707938911</v>
      </c>
      <c r="C80" s="10" t="str">
        <f>IF(C79=".", ".", IF('Summary, PPI''s'!S80=".",IF(OR('Summary, hourly ad costs'!S80=-9999,'Summary, hourly ad costs'!S80=0), ".", 'Predicted PPIs'!C79*('Summary, hourly ad costs'!C80/'Summary, hourly ad costs'!S80)/('Summary, hourly ad costs'!C79/'Summary, hourly ad costs'!S79)), 'Summary, PPI''s'!S80))</f>
        <v>.</v>
      </c>
      <c r="D80" s="10" t="str">
        <f>IF(D79=".", ".", IF('Summary, PPI''s'!T80=".",IF(OR('Summary, hourly ad costs'!T80=-9999,'Summary, hourly ad costs'!T80=0), ".", 'Predicted PPIs'!D79*('Summary, hourly ad costs'!D80/'Summary, hourly ad costs'!T80)/('Summary, hourly ad costs'!D79/'Summary, hourly ad costs'!T79)), 'Summary, PPI''s'!T80))</f>
        <v>.</v>
      </c>
      <c r="E80" s="10">
        <f>IF(E79=".", ".", IF('Summary, PPI''s'!U80=".",IF(OR('Summary, hourly ad costs'!U80=-9999,'Summary, hourly ad costs'!U80=0), ".", 'Predicted PPIs'!E79*('Summary, hourly ad costs'!E80/'Summary, hourly ad costs'!U80)/('Summary, hourly ad costs'!E79/'Summary, hourly ad costs'!U79)), 'Summary, PPI''s'!U80))</f>
        <v>1.6876514280486599</v>
      </c>
      <c r="F80" s="10">
        <f>IF(F79=".", ".", IF('Summary, PPI''s'!V80=".",IF(OR('Summary, hourly ad costs'!V80=-9999,'Summary, hourly ad costs'!V80=0), ".", 'Predicted PPIs'!F79*('Summary, hourly ad costs'!F80/'Summary, hourly ad costs'!V80)/('Summary, hourly ad costs'!F79/'Summary, hourly ad costs'!V79)), 'Summary, PPI''s'!V80))</f>
        <v>4.0341830845404685</v>
      </c>
      <c r="G80" s="10" t="str">
        <f>IF(G79=".", ".", IF('Summary, PPI''s'!W80=".",IF(OR('Summary, hourly ad costs'!W80=-9999,'Summary, hourly ad costs'!W80=0), ".", 'Predicted PPIs'!G79*('Summary, hourly ad costs'!G80/'Summary, hourly ad costs'!W80)/('Summary, hourly ad costs'!G79/'Summary, hourly ad costs'!W79)), 'Summary, PPI''s'!W80))</f>
        <v>.</v>
      </c>
      <c r="H80" s="10">
        <f>IF(H79=".", ".", IF('Summary, PPI''s'!X80=".",IF(OR('Summary, hourly ad costs'!X80=-9999,'Summary, hourly ad costs'!X80=0), ".", 'Predicted PPIs'!H79*('Summary, hourly ad costs'!H80/'Summary, hourly ad costs'!X80)/('Summary, hourly ad costs'!H79/'Summary, hourly ad costs'!X79)), 'Summary, PPI''s'!X80))</f>
        <v>2.0347287623103525</v>
      </c>
      <c r="I80" s="10">
        <f>IF(I79=".", ".", IF('Summary, PPI''s'!Y80=".",IF(OR('Summary, hourly ad costs'!Y80=-9999,'Summary, hourly ad costs'!Y80=0), ".", 'Predicted PPIs'!I79*('Summary, hourly ad costs'!I80/'Summary, hourly ad costs'!Y80)/('Summary, hourly ad costs'!I79/'Summary, hourly ad costs'!Y79)), 'Summary, PPI''s'!Y80))</f>
        <v>6.4135306593724346</v>
      </c>
      <c r="J80" s="10" t="str">
        <f>IF(J79=".", ".", IF('Summary, PPI''s'!Z80=".",IF(OR('Summary, hourly ad costs'!Z80=-9999,'Summary, hourly ad costs'!Z80=0), ".", 'Predicted PPIs'!J79*('Summary, hourly ad costs'!J80/'Summary, hourly ad costs'!Z80)/('Summary, hourly ad costs'!J79/'Summary, hourly ad costs'!Z79)), 'Summary, PPI''s'!Z80))</f>
        <v>.</v>
      </c>
      <c r="K80" s="10" t="str">
        <f>IF(K79=".", ".", IF('Summary, PPI''s'!AA80=".",IF(OR('Summary, hourly ad costs'!AA80=-9999,'Summary, hourly ad costs'!AA80=0), ".", 'Predicted PPIs'!K79*('Summary, hourly ad costs'!K80/'Summary, hourly ad costs'!AA80)/('Summary, hourly ad costs'!K79/'Summary, hourly ad costs'!AA79)), 'Summary, PPI''s'!AA80))</f>
        <v>.</v>
      </c>
      <c r="L80" s="10" t="str">
        <f>IF(L79=".", ".", IF('Summary, PPI''s'!AB80=".",IF(OR('Summary, hourly ad costs'!AB80=-9999,'Summary, hourly ad costs'!AB80=0), ".", 'Predicted PPIs'!L79*('Summary, hourly ad costs'!L80/'Summary, hourly ad costs'!AB80)/('Summary, hourly ad costs'!L79/'Summary, hourly ad costs'!AB79)), 'Summary, PPI''s'!AB80))</f>
        <v>.</v>
      </c>
      <c r="M80" s="10" t="str">
        <f>IF(M79=".", ".", IF('Summary, PPI''s'!AC80=".",IF(OR('Summary, hourly ad costs'!AC80=-9999,'Summary, hourly ad costs'!AC80=0), ".", 'Predicted PPIs'!M79*('Summary, hourly ad costs'!M80/'Summary, hourly ad costs'!AC80)/('Summary, hourly ad costs'!M79/'Summary, hourly ad costs'!AC79)), 'Summary, PPI''s'!AC80))</f>
        <v>.</v>
      </c>
      <c r="N80" s="10" t="str">
        <f>IF(N79=".", ".", IF('Summary, PPI''s'!AD80=".",IF(OR('Summary, hourly ad costs'!AD80=-9999,'Summary, hourly ad costs'!AD80=0), ".", 'Predicted PPIs'!N79*('Summary, hourly ad costs'!N80/'Summary, hourly ad costs'!AD80)/('Summary, hourly ad costs'!N79/'Summary, hourly ad costs'!AD79)), 'Summary, PPI''s'!AD80))</f>
        <v>.</v>
      </c>
      <c r="O80" s="10" t="str">
        <f>IF(O79=".", ".", IF('Summary, PPI''s'!AE80=".",IF(OR('Summary, hourly ad costs'!AE80=-9999,'Summary, hourly ad costs'!AE80=0), ".", 'Predicted PPIs'!O79*('Summary, hourly ad costs'!O80/'Summary, hourly ad costs'!AE80)/('Summary, hourly ad costs'!O79/'Summary, hourly ad costs'!AE79)), 'Summary, PPI''s'!AE80))</f>
        <v>.</v>
      </c>
      <c r="P80" s="10" t="str">
        <f>IF(P79=".", ".", IF('Summary, PPI''s'!AF80=".",IF(OR('Summary, hourly ad costs'!AF80=-9999,'Summary, hourly ad costs'!AF80=0), ".", 'Predicted PPIs'!P79*('Summary, hourly ad costs'!P80/'Summary, hourly ad costs'!AF80)/('Summary, hourly ad costs'!P79/'Summary, hourly ad costs'!AF79)), 'Summary, PPI''s'!AF80))</f>
        <v>.</v>
      </c>
      <c r="R80" s="1">
        <f>IF(E$26=".", 0, 'Summary, PPI''s'!E80)+IF(F$26=".", 0, 'Summary, PPI''s'!F80)+IF(G$26=".", 0, 'Summary, PPI''s'!G80)+IF(H$26=".", 0, 'Summary, PPI''s'!H80)+IF(I$26=".", 0, 'Summary, PPI''s'!I80)+IF(J$26=".", 0, 'Summary, PPI''s'!J80)+IF(K$26=".", 0, 'Summary, PPI''s'!K80)+IF(L$26=".", 0, 'Summary, PPI''s'!L80)+IF(M$26=".", 0, 'Summary, PPI''s'!M80)+IF(B$26=".", 0, 'Summary, PPI''s'!B80)+IF(C$26=".", 0, 'Summary, PPI''s'!C80)+IF(D$26=".", 0, 'Summary, PPI''s'!D80)+IF(N$26=".", 0, 'Summary, PPI''s'!N80)+IF(O$26=".", 0, 'Summary, PPI''s'!O80)+IF(P$26=".", 0, 'Summary, PPI''s'!P80)</f>
        <v>2618638.4764319346</v>
      </c>
      <c r="S80" s="1">
        <f>IF(E$36=".", 0, 'Summary, PPI''s'!E80)+IF(F$36=".", 0, 'Summary, PPI''s'!F80)+IF(G$36=".", 0, 'Summary, PPI''s'!G80)+IF(H$36=".", 0, 'Summary, PPI''s'!H80)+IF(I$36=".", 0, 'Summary, PPI''s'!I80)+IF(J$36=".", 0, 'Summary, PPI''s'!J80)+IF(K$36=".", 0, 'Summary, PPI''s'!K80)+IF(L$36=".", 0, 'Summary, PPI''s'!L80)+IF(M$36=".", 0, 'Summary, PPI''s'!M80)+IF(B$36=".", 0, 'Summary, PPI''s'!B80)+IF(C$36=".", 0, 'Summary, PPI''s'!C80)+IF(D$36=".", 0, 'Summary, PPI''s'!D80)+IF(N$36=".", 0, 'Summary, PPI''s'!N80)+IF(O$36=".", 0, 'Summary, PPI''s'!O80)+IF(P$36=".", 0, 'Summary, PPI''s'!P80)</f>
        <v>2618638.4764319346</v>
      </c>
      <c r="T80" s="1">
        <f>IF(E$46=".", 0, 'Summary, PPI''s'!E80)+IF(F$46=".", 0, 'Summary, PPI''s'!F80)+IF(G$46=".", 0, 'Summary, PPI''s'!G80)+IF(H$46=".", 0, 'Summary, PPI''s'!H80)+IF(I$46=".", 0, 'Summary, PPI''s'!I80)+IF(J$46=".", 0, 'Summary, PPI''s'!J80)+IF(K$46=".", 0, 'Summary, PPI''s'!K80)+IF(L$46=".", 0, 'Summary, PPI''s'!L80)+IF(M$46=".", 0, 'Summary, PPI''s'!M80)+IF(B$46=".", 0, 'Summary, PPI''s'!B80)+IF(C$46=".", 0, 'Summary, PPI''s'!C80)+IF(D$46=".", 0, 'Summary, PPI''s'!D80)+IF(N$46=".", 0, 'Summary, PPI''s'!N80)+IF(O$46=".", 0, 'Summary, PPI''s'!O80)+IF(P$46=".", 0, 'Summary, PPI''s'!P80)</f>
        <v>2087806.8929648208</v>
      </c>
      <c r="U80" s="1">
        <f>IF(E$60=".", 0, 'Summary, PPI''s'!E80)+IF(F$60=".", 0, 'Summary, PPI''s'!F80)+IF(G$60=".", 0, 'Summary, PPI''s'!G80)+IF(H$60=".", 0, 'Summary, PPI''s'!H80)+IF(I$60=".", 0, 'Summary, PPI''s'!I80)+IF(J$60=".", 0, 'Summary, PPI''s'!J80)+IF(K$60=".", 0, 'Summary, PPI''s'!K80)+IF(L$60=".", 0, 'Summary, PPI''s'!L80)+IF(M$60=".", 0, 'Summary, PPI''s'!M80)+IF(B$60=".", 0, 'Summary, PPI''s'!B80)+IF(C$60=".", 0, 'Summary, PPI''s'!C80)+IF(D$60=".", 0, 'Summary, PPI''s'!D80)+IF(N$60=".", 0, 'Summary, PPI''s'!N80)+IF(O$60=".", 0, 'Summary, PPI''s'!O80)+IF(P$60=".", 0, 'Summary, PPI''s'!P80)</f>
        <v>1900895.8413729453</v>
      </c>
      <c r="V80" s="1">
        <f>IF(E$73=".", 0, 'Summary, PPI''s'!E80)+IF(F$73=".", 0, 'Summary, PPI''s'!F80)+IF(G$73=".", 0, 'Summary, PPI''s'!G80)+IF(H$73=".", 0, 'Summary, PPI''s'!H80)+IF(I$73=".", 0, 'Summary, PPI''s'!I80)+IF(J$73=".", 0, 'Summary, PPI''s'!J80)+IF(K$73=".", 0, 'Summary, PPI''s'!K80)+IF(L$73=".", 0, 'Summary, PPI''s'!L80)+IF(M$73=".", 0, 'Summary, PPI''s'!M80)+IF(B$73=".", 0, 'Summary, PPI''s'!B80)+IF(C$73=".", 0, 'Summary, PPI''s'!C80)+IF(D$73=".", 0, 'Summary, PPI''s'!D80)+IF(N$73=".", 0, 'Summary, PPI''s'!N80)+IF(O$73=".", 0, 'Summary, PPI''s'!O80)+IF(P$73=".", 0, 'Summary, PPI''s'!P80)</f>
        <v>1662533.9162705571</v>
      </c>
      <c r="W80" s="1">
        <f>IF(E$94=".",0,'Summary, PPI''s'!E80)+IF(F$94=".",0,'Summary, PPI''s'!F80)+IF(G$94=".",0,'Summary, PPI''s'!G80)+IF(H$94=".",0,'Summary, PPI''s'!H80)+IF(I$94=".",0,'Summary, PPI''s'!I80)+IF(J$94=".",0,'Summary, PPI''s'!J80)+IF(K$94=".",0,'Summary, PPI''s'!K80)+IF(L$94=".",0,'Summary, PPI''s'!L80)+IF(M$94=".",0,'Summary, PPI''s'!M80)+IF(B$94=".",0,'Summary, PPI''s'!B80)+IF(C$94=".",0,'Summary, PPI''s'!C80)+IF(D$94=".",0,'Summary, PPI''s'!D80)+IF(N$94=".",0,'Summary, PPI''s'!N80)+IF(O$94=".",0,'Summary, PPI''s'!O80)+IF(P$94=".",0,'Summary, PPI''s'!P80)</f>
        <v>1662533.9162705571</v>
      </c>
      <c r="X80" s="1">
        <f>IF(E$123=".", 0, 'Summary, PPI''s'!E80)+IF(F$123=".", 0, 'Summary, PPI''s'!F80)+IF(G$123=".", 0, 'Summary, PPI''s'!G80)+IF(H$123=".", 0, 'Summary, PPI''s'!H80)+IF(I$123=".", 0, 'Summary, PPI''s'!I80)+IF(J$123=".", 0, 'Summary, PPI''s'!J80)+IF(K$123=".", 0, 'Summary, PPI''s'!K80)+IF(L$123=".", 0, 'Summary, PPI''s'!L80)+IF(M$123=".", 0, 'Summary, PPI''s'!M80)+IF(B$123=".", 0, 'Summary, PPI''s'!B80)+IF(C$123=".", 0, 'Summary, PPI''s'!C80)+IF(D$123=".", 0, 'Summary, PPI''s'!D80)+IF(N$123=".", 0, 'Summary, PPI''s'!N80)+IF(O$123=".", 0, 'Summary, PPI''s'!O80)+IF(P$123=".", 0, 'Summary, PPI''s'!P80)</f>
        <v>1414303.5435337631</v>
      </c>
      <c r="Z80" s="4" t="e">
        <f>Z79*IF(E$26=".", 1, (E80/E79)^(('Summary, PPI''s'!$E80+'Summary, PPI''s'!$E79)/('Predicted PPIs'!R80+'Predicted PPIs'!R79)))*IF(F$26=".", 1, (F80/F79)^(('Summary, PPI''s'!$F80+'Summary, PPI''s'!$F79)/('Predicted PPIs'!R80+'Predicted PPIs'!R79)))*IF(G$26=".", 1, (G80/G79)^(('Summary, PPI''s'!$G80+'Summary, PPI''s'!$G79)/('Predicted PPIs'!R80+'Predicted PPIs'!R79)))*IF(H$26=".", 1, (H80/H79)^(('Summary, PPI''s'!$H80+'Summary, PPI''s'!$H79)/('Predicted PPIs'!R80+'Predicted PPIs'!R79)))*IF(I$26=".", 1, (I80/I79)^(('Summary, PPI''s'!$I80+'Summary, PPI''s'!$I79)/('Predicted PPIs'!R80+'Predicted PPIs'!R79)))*IF(J$26=".", 1, (J80/J79)^(('Summary, PPI''s'!$J80+'Summary, PPI''s'!$J79)/('Predicted PPIs'!R80+'Predicted PPIs'!R79)))*IF(K$26=".", 1, (K80/K79)^(('Summary, PPI''s'!$K80+'Summary, PPI''s'!$K79)/('Predicted PPIs'!R80+'Predicted PPIs'!R79)))*IF(L$26=".", 1, (L80/L79)^(('Summary, PPI''s'!$L80+'Summary, PPI''s'!$L79)/('Predicted PPIs'!R80+'Predicted PPIs'!R79)))*IF(M$26=".", 1, (M80/M79)^(('Summary, PPI''s'!$M80+'Summary, PPI''s'!$M79)/('Predicted PPIs'!R80+'Predicted PPIs'!R79)))*IF(B$26=".", 1, (B80/B79)^(('Summary, PPI''s'!$B80+'Summary, PPI''s'!$B79)/('Predicted PPIs'!R80+'Predicted PPIs'!R79)))*IF(C$26=".", 1, (C80/C79)^(('Summary, PPI''s'!$C80+'Summary, PPI''s'!$C79)/('Predicted PPIs'!R80+'Predicted PPIs'!R79)))*IF(D$26=".", 1, (D80/D79)^(('Summary, PPI''s'!$D80+'Summary, PPI''s'!$D79)/('Predicted PPIs'!R80+'Predicted PPIs'!R79)))*IF(N$26=".", 1, (N80/N79)^(('Summary, PPI''s'!$N80+'Summary, PPI''s'!$N79)/('Predicted PPIs'!R80+'Predicted PPIs'!R79)))*IF(O$26=".", 1, (O80/O79)^(('Summary, PPI''s'!$O80+'Summary, PPI''s'!$O79)/('Predicted PPIs'!R80+'Predicted PPIs'!R79)))*IF(P$26=".", 1, (P80/P79)^(('Summary, PPI''s'!$P80+'Summary, PPI''s'!$P79)/('Predicted PPIs'!R80+'Predicted PPIs'!R79)))</f>
        <v>#VALUE!</v>
      </c>
      <c r="AA80" s="4" t="e">
        <f>AA79*IF(E$36=".", 1, (E80/E79)^(('Summary, PPI''s'!$E80+'Summary, PPI''s'!$E79)/('Predicted PPIs'!S80+'Predicted PPIs'!S79)))*IF(F$36=".", 1, (F80/F79)^(('Summary, PPI''s'!$F80+'Summary, PPI''s'!$F79)/('Predicted PPIs'!S80+'Predicted PPIs'!S79)))*IF(G$36=".", 1, (G80/G79)^(('Summary, PPI''s'!$G80+'Summary, PPI''s'!$G79)/('Predicted PPIs'!S80+'Predicted PPIs'!S79)))*IF(H$36=".", 1, (H80/H79)^(('Summary, PPI''s'!$H80+'Summary, PPI''s'!$H79)/('Predicted PPIs'!S80+'Predicted PPIs'!S79)))*IF(I$36=".", 1, (I80/I79)^(('Summary, PPI''s'!$I80+'Summary, PPI''s'!$I79)/('Predicted PPIs'!S80+'Predicted PPIs'!S79)))*IF(J$36=".", 1, (J80/J79)^(('Summary, PPI''s'!$J80+'Summary, PPI''s'!$J79)/('Predicted PPIs'!S80+'Predicted PPIs'!S79)))*IF(K$36=".", 1, (K80/K79)^(('Summary, PPI''s'!$K80+'Summary, PPI''s'!$K79)/('Predicted PPIs'!S80+'Predicted PPIs'!S79)))*IF(L$36=".", 1, (L80/L79)^(('Summary, PPI''s'!$L80+'Summary, PPI''s'!$L79)/('Predicted PPIs'!S80+'Predicted PPIs'!S79)))*IF(M$36=".", 1, (M80/M79)^(('Summary, PPI''s'!$M80+'Summary, PPI''s'!$M79)/('Predicted PPIs'!S80+'Predicted PPIs'!S79)))*IF(B$36=".", 1, (B80/B79)^(('Summary, PPI''s'!$B80+'Summary, PPI''s'!$B79)/('Predicted PPIs'!S80+'Predicted PPIs'!S79)))*IF(C$36=".", 1, (C80/C79)^(('Summary, PPI''s'!$C80+'Summary, PPI''s'!$C79)/('Predicted PPIs'!S80+'Predicted PPIs'!S79)))*IF(D$36=".", 1, (D80/D79)^(('Summary, PPI''s'!$D80+'Summary, PPI''s'!$D79)/('Predicted PPIs'!S80+'Predicted PPIs'!S79)))*IF(N$36=".", 1, (N80/N79)^(('Summary, PPI''s'!$N80+'Summary, PPI''s'!$N79)/('Predicted PPIs'!S80+'Predicted PPIs'!S79)))*IF(O$36=".", 1, (O80/O79)^(('Summary, PPI''s'!$O80+'Summary, PPI''s'!$O79)/('Predicted PPIs'!S80+'Predicted PPIs'!S79)))*IF(P$36=".", 1, (P80/P79)^(('Summary, PPI''s'!$P80+'Summary, PPI''s'!$P79)/('Predicted PPIs'!S80+'Predicted PPIs'!S79)))</f>
        <v>#VALUE!</v>
      </c>
      <c r="AB80" s="4" t="e">
        <f>AB79*IF(E$46=".", 1, (E80/E79)^(('Summary, PPI''s'!$E80+'Summary, PPI''s'!$E79)/('Predicted PPIs'!T80+'Predicted PPIs'!T79)))*IF(F$46=".", 1, (F80/F79)^(('Summary, PPI''s'!$F80+'Summary, PPI''s'!$F79)/('Predicted PPIs'!T80+'Predicted PPIs'!T79)))*IF(G$46=".", 1, (G80/G79)^(('Summary, PPI''s'!$G80+'Summary, PPI''s'!$G79)/('Predicted PPIs'!T80+'Predicted PPIs'!T79)))*IF(H$46=".", 1, (H80/H79)^(('Summary, PPI''s'!$H80+'Summary, PPI''s'!$H79)/('Predicted PPIs'!T80+'Predicted PPIs'!T79)))*IF(I$46=".", 1, (I80/I79)^(('Summary, PPI''s'!$I80+'Summary, PPI''s'!$I79)/('Predicted PPIs'!T80+'Predicted PPIs'!T79)))*IF(J$46=".", 1, (J80/J79)^(('Summary, PPI''s'!$J80+'Summary, PPI''s'!$J79)/('Predicted PPIs'!T80+'Predicted PPIs'!T79)))*IF(K$46=".", 1, (K80/K79)^(('Summary, PPI''s'!$K80+'Summary, PPI''s'!$K79)/('Predicted PPIs'!T80+'Predicted PPIs'!T79)))*IF(L$46=".", 1, (L80/L79)^(('Summary, PPI''s'!$L80+'Summary, PPI''s'!$L79)/('Predicted PPIs'!T80+'Predicted PPIs'!T79)))*IF(M$46=".", 1, (M80/M79)^(('Summary, PPI''s'!$M80+'Summary, PPI''s'!$M79)/('Predicted PPIs'!T80+'Predicted PPIs'!T79)))*IF(B$46=".", 1, (B80/B79)^(('Summary, PPI''s'!$B80+'Summary, PPI''s'!$B79)/('Predicted PPIs'!T80+'Predicted PPIs'!T79)))*IF(C$46=".", 1, (C80/C79)^(('Summary, PPI''s'!$C80+'Summary, PPI''s'!$C79)/('Predicted PPIs'!T80+'Predicted PPIs'!T79)))*IF(D$46=".", 1, (D80/D79)^(('Summary, PPI''s'!$D80+'Summary, PPI''s'!$D79)/('Predicted PPIs'!T80+'Predicted PPIs'!T79)))*IF(N$46=".", 1, (N80/N79)^(('Summary, PPI''s'!$N80+'Summary, PPI''s'!$N79)/('Predicted PPIs'!T80+'Predicted PPIs'!T79)))*IF(O$46=".", 1, (O80/O79)^(('Summary, PPI''s'!$O80+'Summary, PPI''s'!$O79)/('Predicted PPIs'!T80+'Predicted PPIs'!T79)))*IF(P$46=".", 1, (P80/P79)^(('Summary, PPI''s'!$P80+'Summary, PPI''s'!$P79)/('Predicted PPIs'!T80+'Predicted PPIs'!T79)))</f>
        <v>#VALUE!</v>
      </c>
      <c r="AC80" s="4" t="e">
        <f>AC79*IF(E$60=".",1,(E80/E79)^(('Summary, PPI''s'!$E80+'Summary, PPI''s'!$E79)/('Predicted PPIs'!U80+'Predicted PPIs'!U79)))*IF(F$60=".",1,(F80/F79)^(('Summary, PPI''s'!$F80+'Summary, PPI''s'!$F79)/('Predicted PPIs'!U80+'Predicted PPIs'!U79)))*IF(G$60=".",1,(G80/G79)^(('Summary, PPI''s'!$G80+'Summary, PPI''s'!$G79)/('Predicted PPIs'!U80+'Predicted PPIs'!U79)))*IF(H$60=".",1,(H80/H79)^(('Summary, PPI''s'!$H80+'Summary, PPI''s'!$H79)/('Predicted PPIs'!U80+'Predicted PPIs'!U79)))*IF(I$60=".",1,(I80/I79)^(('Summary, PPI''s'!$I80+'Summary, PPI''s'!$I79)/('Predicted PPIs'!U80+'Predicted PPIs'!U79)))*IF(J$60=".",1,(J80/J79)^(('Summary, PPI''s'!$J80+'Summary, PPI''s'!$J79)/('Predicted PPIs'!U80+'Predicted PPIs'!U79)))*IF(K$60=".",1,(K80/K79)^(('Summary, PPI''s'!$K80+'Summary, PPI''s'!$K79)/('Predicted PPIs'!U80+'Predicted PPIs'!U79)))*IF(L$60=".",1,(L80/L79)^(('Summary, PPI''s'!$L80+'Summary, PPI''s'!$L79)/('Predicted PPIs'!U80+'Predicted PPIs'!U79)))*IF(M$60=".",1,(M80/M79)^(('Summary, PPI''s'!$M80+'Summary, PPI''s'!$M79)/('Predicted PPIs'!U80+'Predicted PPIs'!U79)))*IF(B$60=".",1,(B80/B79)^(('Summary, PPI''s'!$B80+'Summary, PPI''s'!$B79)/('Predicted PPIs'!U80+'Predicted PPIs'!U79)))*IF(C$60=".",1,(C80/C79)^(('Summary, PPI''s'!$C80+'Summary, PPI''s'!$C79)/('Predicted PPIs'!U80+'Predicted PPIs'!U79)))*IF(D$60=".",1,(D80/D79)^(('Summary, PPI''s'!$D80+'Summary, PPI''s'!$D79)/('Predicted PPIs'!U80+'Predicted PPIs'!U79)))*IF(N$60=".",1,(N80/N79)^(('Summary, PPI''s'!$N80+'Summary, PPI''s'!$N79)/('Predicted PPIs'!U80+'Predicted PPIs'!U79)))*IF(O$60=".",1,(O80/O79)^(('Summary, PPI''s'!$O80+'Summary, PPI''s'!$O79)/('Predicted PPIs'!U80+'Predicted PPIs'!U79)))*IF(P$60=".",1,(P80/P79)^(('Summary, PPI''s'!$P80+'Summary, PPI''s'!$P79)/('Predicted PPIs'!U80+'Predicted PPIs'!U79)))</f>
        <v>#VALUE!</v>
      </c>
      <c r="AD80" s="4" t="e">
        <f>AD79*IF(E$73=".", 1, (E80/E79)^(('Summary, PPI''s'!$E80+'Summary, PPI''s'!$E79)/('Predicted PPIs'!V80+'Predicted PPIs'!V79)))*IF(F$73=".", 1, (F80/F79)^(('Summary, PPI''s'!$F80+'Summary, PPI''s'!$F79)/('Predicted PPIs'!V80+'Predicted PPIs'!V79)))*IF(G$73=".", 1, (G80/G79)^(('Summary, PPI''s'!$G80+'Summary, PPI''s'!$G79)/('Predicted PPIs'!V80+'Predicted PPIs'!V79)))*IF(H$73=".", 1, (H80/H79)^(('Summary, PPI''s'!$H80+'Summary, PPI''s'!$H79)/('Predicted PPIs'!V80+'Predicted PPIs'!V79)))*IF(I$73=".", 1, (I80/I79)^(('Summary, PPI''s'!$I80+'Summary, PPI''s'!$I79)/('Predicted PPIs'!V80+'Predicted PPIs'!V79)))*IF(J$73=".", 1, (J80/J79)^(('Summary, PPI''s'!$J80+'Summary, PPI''s'!$J79)/('Predicted PPIs'!V80+'Predicted PPIs'!V79)))*IF(K$73=".", 1, (K80/K79)^(('Summary, PPI''s'!$K80+'Summary, PPI''s'!$K79)/('Predicted PPIs'!V80+'Predicted PPIs'!V79)))*IF(L$73=".", 1, (L80/L79)^(('Summary, PPI''s'!$L80+'Summary, PPI''s'!$L79)/('Predicted PPIs'!V80+'Predicted PPIs'!V79)))*IF(M$73=".", 1, (M80/M79)^(('Summary, PPI''s'!$M80+'Summary, PPI''s'!$M79)/('Predicted PPIs'!V80+'Predicted PPIs'!V79)))*IF(B$73=".", 1, (B80/B79)^(('Summary, PPI''s'!$B80+'Summary, PPI''s'!$B79)/('Predicted PPIs'!V80+'Predicted PPIs'!V79)))*IF(C$73=".", 1, (C80/C79)^(('Summary, PPI''s'!$C80+'Summary, PPI''s'!$C79)/('Predicted PPIs'!V80+'Predicted PPIs'!V79)))*IF(D$73=".", 1, (D80/D79)^(('Summary, PPI''s'!$D80+'Summary, PPI''s'!$D79)/('Predicted PPIs'!V80+'Predicted PPIs'!V79)))*IF(N$73=".", 1, (N80/N79)^(('Summary, PPI''s'!$N80+'Summary, PPI''s'!$N79)/('Predicted PPIs'!V80+'Predicted PPIs'!V79)))*IF(O$73=".", 1, (O80/O79)^(('Summary, PPI''s'!$O80+'Summary, PPI''s'!$O79)/('Predicted PPIs'!V80+'Predicted PPIs'!V79)))*IF(P$73=".", 1, (P80/P79)^(('Summary, PPI''s'!$P80+'Summary, PPI''s'!$P79)/('Predicted PPIs'!V80+'Predicted PPIs'!V79)))</f>
        <v>#VALUE!</v>
      </c>
      <c r="AE80" s="4">
        <f>AE79*IF(E$94=".", 1, (E80/E79)^(('Summary, PPI''s'!$E80+'Summary, PPI''s'!$E79)/('Predicted PPIs'!W80+'Predicted PPIs'!W79)))*IF(F$94=".", 1, (F80/F79)^(('Summary, PPI''s'!$F80+'Summary, PPI''s'!$F79)/('Predicted PPIs'!W80+'Predicted PPIs'!W79)))*IF(G$94=".", 1, (G80/G79)^(('Summary, PPI''s'!$G80+'Summary, PPI''s'!$G79)/('Predicted PPIs'!W80+'Predicted PPIs'!W79)))*IF(H$94=".", 1, (H80/H79)^(('Summary, PPI''s'!$H80+'Summary, PPI''s'!$H79)/('Predicted PPIs'!W80+'Predicted PPIs'!W79)))*IF(I$94=".", 1, (I80/I79)^(('Summary, PPI''s'!$I80+'Summary, PPI''s'!$I79)/('Predicted PPIs'!W80+'Predicted PPIs'!W79)))*IF(J$94=".", 1, (J80/J79)^(('Summary, PPI''s'!$J80+'Summary, PPI''s'!$J79)/('Predicted PPIs'!W80+'Predicted PPIs'!W79)))*IF(K$94=".", 1, (K80/K79)^(('Summary, PPI''s'!$K80+'Summary, PPI''s'!$K79)/('Predicted PPIs'!W80+'Predicted PPIs'!W79)))*IF(L$94=".", 1, (L80/L79)^(('Summary, PPI''s'!$L80+'Summary, PPI''s'!$L79)/('Predicted PPIs'!W80+'Predicted PPIs'!W79)))*IF(M$94=".", 1, (M80/M79)^(('Summary, PPI''s'!$M80+'Summary, PPI''s'!$M79)/('Predicted PPIs'!W80+'Predicted PPIs'!W79)))*IF(B$94=".", 1, (B80/B79)^(('Summary, PPI''s'!$B80+'Summary, PPI''s'!$B79)/('Predicted PPIs'!W80+'Predicted PPIs'!W79)))*IF(C$94=".", 1, (C80/C79)^(('Summary, PPI''s'!$C80+'Summary, PPI''s'!$C79)/('Predicted PPIs'!W80+'Predicted PPIs'!W79)))*IF(D$94=".", 1, (D80/D79)^(('Summary, PPI''s'!$D80+'Summary, PPI''s'!$D79)/('Predicted PPIs'!W80+'Predicted PPIs'!W79)))*IF(N$94=".", 1, (N80/N79)^(('Summary, PPI''s'!$N80+'Summary, PPI''s'!$N79)/('Predicted PPIs'!W80+'Predicted PPIs'!W79)))*IF(O$94=".", 1, (O80/O79)^(('Summary, PPI''s'!$O80+'Summary, PPI''s'!$O79)/('Predicted PPIs'!W80+'Predicted PPIs'!W79)))*IF(P$94=".", 1, (P80/P79)^(('Summary, PPI''s'!$P80+'Summary, PPI''s'!$P79)/('Predicted PPIs'!W80+'Predicted PPIs'!W79)))</f>
        <v>3.5614939243854469</v>
      </c>
      <c r="AF80" s="4">
        <f>AF79*IF(E$123=".", 1, (E80/E79)^(('Summary, PPI''s'!$E80+'Summary, PPI''s'!$E79)/('Predicted PPIs'!X80+'Predicted PPIs'!X79)))*IF(F$123=".", 1, (F80/F79)^(('Summary, PPI''s'!$F80+'Summary, PPI''s'!$F79)/('Predicted PPIs'!X80+'Predicted PPIs'!X79)))*IF(G$123=".", 1, (G80/G79)^(('Summary, PPI''s'!$G80+'Summary, PPI''s'!$G79)/('Predicted PPIs'!X80+'Predicted PPIs'!X79)))*IF(H$123=".", 1, (H80/H79)^(('Summary, PPI''s'!$H80+'Summary, PPI''s'!$H79)/('Predicted PPIs'!X80+'Predicted PPIs'!X79)))*IF(I$123=".", 1, (I80/I79)^(('Summary, PPI''s'!$I80+'Summary, PPI''s'!$I79)/('Predicted PPIs'!X80+'Predicted PPIs'!X79)))*IF(J$123=".", 1, (J80/J79)^(('Summary, PPI''s'!$J80+'Summary, PPI''s'!$J79)/('Predicted PPIs'!X80+'Predicted PPIs'!X79)))*IF(K$123=".", 1, (K80/K79)^(('Summary, PPI''s'!$K80+'Summary, PPI''s'!$K79)/('Predicted PPIs'!X80+'Predicted PPIs'!X79)))*IF(L$123=".", 1, (L80/L79)^(('Summary, PPI''s'!$L80+'Summary, PPI''s'!$L79)/('Predicted PPIs'!X80+'Predicted PPIs'!X79)))*IF(M$123=".", 1, (M80/M79)^(('Summary, PPI''s'!$M80+'Summary, PPI''s'!$M79)/('Predicted PPIs'!X80+'Predicted PPIs'!X79)))*IF(B$123=".", 1, (B80/B79)^(('Summary, PPI''s'!$B80+'Summary, PPI''s'!$B79)/('Predicted PPIs'!X80+'Predicted PPIs'!X79)))*IF(C$123=".", 1, (C80/C79)^(('Summary, PPI''s'!$C80+'Summary, PPI''s'!$C79)/('Predicted PPIs'!X80+'Predicted PPIs'!X79)))*IF(D$123=".", 1, (D80/D79)^(('Summary, PPI''s'!$D80+'Summary, PPI''s'!$D79)/('Predicted PPIs'!X80+'Predicted PPIs'!X79)))*IF(N$123=".", 1, (N80/N79)^(('Summary, PPI''s'!$N80+'Summary, PPI''s'!$N79)/('Predicted PPIs'!X80+'Predicted PPIs'!X79)))*IF(O$123=".", 1, (O80/O79)^(('Summary, PPI''s'!$O80+'Summary, PPI''s'!$O79)/('Predicted PPIs'!X80+'Predicted PPIs'!X79)))*IF(P$123=".", 1, (P80/P79)^(('Summary, PPI''s'!$P80+'Summary, PPI''s'!$P79)/('Predicted PPIs'!X80+'Predicted PPIs'!X79)))</f>
        <v>3.1082783252405601</v>
      </c>
      <c r="AH80" s="13">
        <f t="shared" si="152"/>
        <v>4.8704556029836938</v>
      </c>
      <c r="AJ80" s="4">
        <v>99.9</v>
      </c>
      <c r="AK80" s="4">
        <v>-2.2530000000000001</v>
      </c>
      <c r="AL80" s="4">
        <v>-5.5880000000000001</v>
      </c>
      <c r="AM80" s="4">
        <v>-0.879</v>
      </c>
      <c r="AN80" s="4">
        <f t="shared" si="176"/>
        <v>133.22056825200741</v>
      </c>
      <c r="AO80" s="4">
        <v>8.6999999999999993</v>
      </c>
      <c r="AP80" s="4">
        <f t="shared" si="177"/>
        <v>-0.80486631016042776</v>
      </c>
      <c r="AQ80" s="4">
        <f t="shared" si="178"/>
        <v>-1.5215695187165772</v>
      </c>
      <c r="AR80" s="4">
        <f t="shared" si="148"/>
        <v>-9.0302908276774528E-5</v>
      </c>
      <c r="AS80" s="4">
        <v>-0.66200000000000003</v>
      </c>
      <c r="AT80" s="4">
        <v>9.6419999999999995</v>
      </c>
      <c r="AU80" s="4">
        <v>19.614999999999998</v>
      </c>
      <c r="AV80" s="4">
        <v>9.1609999999999996</v>
      </c>
      <c r="AW80" s="4">
        <v>6.3760000000000003</v>
      </c>
      <c r="AX80" s="4">
        <f t="shared" si="179"/>
        <v>9.1842905859750203</v>
      </c>
      <c r="AY80" s="4">
        <v>11.802</v>
      </c>
      <c r="AZ80" s="4">
        <v>4.1180000000000003</v>
      </c>
      <c r="BA80" s="4">
        <v>11.692</v>
      </c>
      <c r="BB80" s="4">
        <f t="shared" si="150"/>
        <v>66.87535790965768</v>
      </c>
      <c r="BC80" s="4">
        <v>8.952</v>
      </c>
      <c r="BG80" s="4">
        <f t="shared" si="172"/>
        <v>10.159487956968142</v>
      </c>
      <c r="BI80" s="4">
        <f>BI$13*'[2]Ordinary Experience'!$D$346/'[2]Ordinary Experience'!$D$413</f>
        <v>137589769.18875101</v>
      </c>
      <c r="BJ80" s="4">
        <f>'[2]Ordinary Experience'!$E$346</f>
        <v>25.55545925737183</v>
      </c>
      <c r="BL80" s="4">
        <f t="shared" si="151"/>
        <v>25.025833512104391</v>
      </c>
      <c r="BM80" s="4">
        <f t="shared" si="153"/>
        <v>8.0793114549986278E-3</v>
      </c>
      <c r="BO80" s="4" t="str">
        <f>IF(OR('Summary, hourly ad costs'!R80=-9999,'Summary, PPI''s'!R80="."),".",(('Summary, hourly ad costs'!B80/'Summary, hourly ad costs'!R80)*100/('Summary, hourly ad costs'!B$11/'Summary, hourly ad costs'!R$11))/('Summary, PPI''s'!R80))</f>
        <v>.</v>
      </c>
      <c r="BP80" s="4" t="str">
        <f>IF(OR('Summary, hourly ad costs'!S80=-9999,'Summary, PPI''s'!S80="."),".",(('Summary, hourly ad costs'!C80/'Summary, hourly ad costs'!S80)*100/('Summary, hourly ad costs'!C$11/'Summary, hourly ad costs'!S$11))/('Summary, PPI''s'!S80))</f>
        <v>.</v>
      </c>
      <c r="BQ80" s="4" t="str">
        <f>IF(OR('Summary, hourly ad costs'!T80=-9999,'Summary, PPI''s'!T80="."),".",(('Summary, hourly ad costs'!D80/'Summary, hourly ad costs'!T80)*100/('Summary, hourly ad costs'!D$11/'Summary, hourly ad costs'!T$11))/('Summary, PPI''s'!T80))</f>
        <v>.</v>
      </c>
      <c r="BR80" s="4" t="str">
        <f>IF(OR('Summary, hourly ad costs'!U80=-9999,'Summary, PPI''s'!U80="."),".",(('Summary, hourly ad costs'!E80/'Summary, hourly ad costs'!U80)*100/('Summary, hourly ad costs'!E$11/'Summary, hourly ad costs'!U$11))/('Summary, PPI''s'!U80))</f>
        <v>.</v>
      </c>
      <c r="BS80" s="4" t="str">
        <f>IF(OR('Summary, hourly ad costs'!V80=-9999,'Summary, PPI''s'!V80="."),".",(('Summary, hourly ad costs'!F80/'Summary, hourly ad costs'!V80)*100/('Summary, hourly ad costs'!F$11/'Summary, hourly ad costs'!V$11))/('Summary, PPI''s'!V80))</f>
        <v>.</v>
      </c>
      <c r="BT80" s="4" t="str">
        <f>IF(OR('Summary, hourly ad costs'!W80=-9999,'Summary, PPI''s'!W80="."),".",(('Summary, hourly ad costs'!G80/'Summary, hourly ad costs'!W80)*100/('Summary, hourly ad costs'!G$11/'Summary, hourly ad costs'!W$11))/('Summary, PPI''s'!W80))</f>
        <v>.</v>
      </c>
      <c r="BU80" s="4" t="str">
        <f>IF(OR('Summary, hourly ad costs'!X80=-9999,'Summary, PPI''s'!X80="."),".",(('Summary, hourly ad costs'!H80/'Summary, hourly ad costs'!X80)*100/('Summary, hourly ad costs'!H$11/'Summary, hourly ad costs'!X$11))/('Summary, PPI''s'!X80))</f>
        <v>.</v>
      </c>
      <c r="BV80" s="4" t="str">
        <f>IF(OR('Summary, hourly ad costs'!Y80=-9999,'Summary, PPI''s'!Y80="."),".",(('Summary, hourly ad costs'!I80/'Summary, hourly ad costs'!Y80)*100/('Summary, hourly ad costs'!I$11/'Summary, hourly ad costs'!Y$11))/('Summary, PPI''s'!Y80))</f>
        <v>.</v>
      </c>
      <c r="BW80" s="4" t="str">
        <f>IF(OR('Summary, hourly ad costs'!Z80=-9999,'Summary, PPI''s'!Z80="."),".",(('Summary, hourly ad costs'!J80/'Summary, hourly ad costs'!Z80)*100/('Summary, hourly ad costs'!J$11/'Summary, hourly ad costs'!Z$11))/('Summary, PPI''s'!Z80))</f>
        <v>.</v>
      </c>
      <c r="BX80" s="4" t="str">
        <f>IF(OR('Summary, hourly ad costs'!AA80=-9999,'Summary, PPI''s'!AA80="."),".",(('Summary, hourly ad costs'!K80/'Summary, hourly ad costs'!AA80)*100/('Summary, hourly ad costs'!K$11/'Summary, hourly ad costs'!AA$11))/('Summary, PPI''s'!AA80))</f>
        <v>.</v>
      </c>
      <c r="BY80" s="4" t="str">
        <f>IF(OR('Summary, hourly ad costs'!AB80=-9999,'Summary, PPI''s'!AB80="."),".",(('Summary, hourly ad costs'!L80/'Summary, hourly ad costs'!AB80)*100/('Summary, hourly ad costs'!L$11/'Summary, hourly ad costs'!AB$11))/('Summary, PPI''s'!AB80))</f>
        <v>.</v>
      </c>
      <c r="BZ80" s="4" t="str">
        <f>IF(OR('Summary, hourly ad costs'!AC80=-9999,'Summary, PPI''s'!AC80="."),".",(('Summary, hourly ad costs'!M80/'Summary, hourly ad costs'!AC80)*100/('Summary, hourly ad costs'!M$11/'Summary, hourly ad costs'!AC$11))/('Summary, PPI''s'!AC80))</f>
        <v>.</v>
      </c>
      <c r="CA80" s="4" t="str">
        <f>IF(OR('Summary, hourly ad costs'!AD80=-9999,'Summary, PPI''s'!AD80="."),".",(('Summary, hourly ad costs'!N80/'Summary, hourly ad costs'!AD80)*100/('Summary, hourly ad costs'!N$11/'Summary, hourly ad costs'!AD$11))/('Summary, PPI''s'!AD80))</f>
        <v>.</v>
      </c>
      <c r="CB80" s="4" t="str">
        <f>IF(OR('Summary, hourly ad costs'!AE80=-9999,'Summary, PPI''s'!AE80="."),".",(('Summary, hourly ad costs'!O80/'Summary, hourly ad costs'!AE80)*100/('Summary, hourly ad costs'!O$11/'Summary, hourly ad costs'!AE$11))/('Summary, PPI''s'!AE80))</f>
        <v>.</v>
      </c>
      <c r="CC80" s="4" t="str">
        <f>IF(OR('Summary, hourly ad costs'!AF80=-9999,'Summary, PPI''s'!AF80="."),".",(('Summary, hourly ad costs'!P80/'Summary, hourly ad costs'!AF80)*100/('Summary, hourly ad costs'!P$11/'Summary, hourly ad costs'!AF$11))/('Summary, PPI''s'!AF80))</f>
        <v>.</v>
      </c>
      <c r="CE80" s="4">
        <f t="shared" si="134"/>
        <v>-2.4267726835845646E-2</v>
      </c>
      <c r="CF80" s="4" t="str">
        <f t="shared" si="135"/>
        <v>.</v>
      </c>
      <c r="CG80" s="4" t="str">
        <f t="shared" si="136"/>
        <v>.</v>
      </c>
      <c r="CH80" s="4">
        <f t="shared" si="145"/>
        <v>-1.0779563414781566E-2</v>
      </c>
      <c r="CI80" s="4">
        <f t="shared" si="145"/>
        <v>-1.0538535761431942E-2</v>
      </c>
      <c r="CJ80" s="4" t="str">
        <f t="shared" si="147"/>
        <v>.</v>
      </c>
      <c r="CK80" s="4">
        <f t="shared" si="149"/>
        <v>4.0806115921792731E-3</v>
      </c>
      <c r="CL80" s="4">
        <f t="shared" si="130"/>
        <v>-7.6464409396171037E-3</v>
      </c>
      <c r="CM80" s="4">
        <f t="shared" si="130"/>
        <v>1.3288258034033574E-2</v>
      </c>
      <c r="CN80" s="4">
        <f t="shared" si="89"/>
        <v>-2.2107860739469604E-2</v>
      </c>
      <c r="CO80" s="4">
        <f t="shared" si="180"/>
        <v>4.7230582422017366E-2</v>
      </c>
      <c r="CP80" s="4">
        <f t="shared" si="180"/>
        <v>0.1694966303853721</v>
      </c>
      <c r="CQ80" s="4" t="str">
        <f t="shared" si="173"/>
        <v>.</v>
      </c>
      <c r="CR80" s="4" t="str">
        <f t="shared" si="174"/>
        <v>.</v>
      </c>
      <c r="CS80" s="4" t="str">
        <f t="shared" si="175"/>
        <v>.</v>
      </c>
      <c r="CU80" s="5">
        <f>IF(CU79=".", ".", IF('Summary, PPI''s'!R80=".",IF(OR('Summary, hourly ad costs'!R80=-9999,'Summary, hourly ad costs'!R80=0), ".", 'Predicted PPIs'!CU79*('Summary, hourly ad costs'!B80/'Summary, hourly ad costs'!R80)/('Summary, hourly ad costs'!B79/'Summary, hourly ad costs'!R79)/(1-CE79)), 'Summary, PPI''s'!R80))</f>
        <v>24.282930067019244</v>
      </c>
      <c r="CV80" s="5" t="str">
        <f>IF(CV79=".", ".", IF('Summary, PPI''s'!S80=".",IF(OR('Summary, hourly ad costs'!S80=-9999,'Summary, hourly ad costs'!S80=0), ".", 'Predicted PPIs'!CV79*('Summary, hourly ad costs'!C80/'Summary, hourly ad costs'!S80)/('Summary, hourly ad costs'!C79/'Summary, hourly ad costs'!S79)/(1-CF79)), 'Summary, PPI''s'!S80))</f>
        <v>.</v>
      </c>
      <c r="CW80" s="5" t="str">
        <f>IF(CW79=".", ".", IF('Summary, PPI''s'!T80=".",IF(OR('Summary, hourly ad costs'!T80=-9999,'Summary, hourly ad costs'!T80=0), ".", 'Predicted PPIs'!CW79*('Summary, hourly ad costs'!D80/'Summary, hourly ad costs'!T80)/('Summary, hourly ad costs'!D79/'Summary, hourly ad costs'!T79)/(1-CG79)), 'Summary, PPI''s'!T80))</f>
        <v>.</v>
      </c>
      <c r="CX80" s="5">
        <f>IF(CX79=".", ".", IF('Summary, PPI''s'!U80=".",IF(OR('Summary, hourly ad costs'!U80=-9999,'Summary, hourly ad costs'!U80=0), ".", 'Predicted PPIs'!CX79*('Summary, hourly ad costs'!E80/'Summary, hourly ad costs'!U80)/('Summary, hourly ad costs'!E79/'Summary, hourly ad costs'!U79)/(1-CH79)), 'Summary, PPI''s'!U80))</f>
        <v>2.3470268671970769</v>
      </c>
      <c r="CY80" s="5">
        <f>IF(CY79=".", ".", IF('Summary, PPI''s'!V80=".",IF(OR('Summary, hourly ad costs'!V80=-9999,'Summary, hourly ad costs'!V80=0), ".", 'Predicted PPIs'!CY79*('Summary, hourly ad costs'!F80/'Summary, hourly ad costs'!V80)/('Summary, hourly ad costs'!F79/'Summary, hourly ad costs'!V79)/(1-CI79)), 'Summary, PPI''s'!V80))</f>
        <v>6.1098237719678474</v>
      </c>
      <c r="CZ80" s="5" t="str">
        <f>IF(CZ79=".", ".", IF('Summary, PPI''s'!W80=".",IF(OR('Summary, hourly ad costs'!W80=-9999,'Summary, hourly ad costs'!W80=0), ".", 'Predicted PPIs'!CZ79*('Summary, hourly ad costs'!G80/'Summary, hourly ad costs'!W80)/('Summary, hourly ad costs'!G79/'Summary, hourly ad costs'!W79)/(1-CJ79)), 'Summary, PPI''s'!W80))</f>
        <v>.</v>
      </c>
      <c r="DA80" s="5">
        <f>IF(DA79=".", ".", IF('Summary, PPI''s'!X80=".",IF(OR('Summary, hourly ad costs'!X80=-9999,'Summary, hourly ad costs'!X80=0), ".", 'Predicted PPIs'!DA79*('Summary, hourly ad costs'!H80/'Summary, hourly ad costs'!X80)/('Summary, hourly ad costs'!H79/'Summary, hourly ad costs'!X79)/(1-CK79)), 'Summary, PPI''s'!X80))</f>
        <v>2.1278503506185675</v>
      </c>
      <c r="DB80" s="5">
        <f>IF(DB79=".", ".", IF('Summary, PPI''s'!Y80=".",IF(OR('Summary, hourly ad costs'!Y80=-9999,'Summary, hourly ad costs'!Y80=0), ".", 'Predicted PPIs'!DB79*('Summary, hourly ad costs'!I80/'Summary, hourly ad costs'!Y80)/('Summary, hourly ad costs'!I79/'Summary, hourly ad costs'!Y79)/(1-CL79)), 'Summary, PPI''s'!Y80))</f>
        <v>9.5166870257745142</v>
      </c>
      <c r="DC80" s="5" t="str">
        <f>IF(DC79=".", ".", IF('Summary, PPI''s'!Z80=".",IF(OR('Summary, hourly ad costs'!Z80=-9999,'Summary, hourly ad costs'!Z80=0), ".", 'Predicted PPIs'!DC79*('Summary, hourly ad costs'!J80/'Summary, hourly ad costs'!Z80)/('Summary, hourly ad costs'!J79/'Summary, hourly ad costs'!Z79)/(1-CM79)), 'Summary, PPI''s'!Z80))</f>
        <v>.</v>
      </c>
      <c r="DD80" s="5" t="str">
        <f>IF(DD79=".", ".", IF('Summary, PPI''s'!AA80=".",IF(OR('Summary, hourly ad costs'!AA80=-9999,'Summary, hourly ad costs'!AA80=0), ".", 'Predicted PPIs'!DD79*('Summary, hourly ad costs'!K80/'Summary, hourly ad costs'!AA80)/('Summary, hourly ad costs'!K79/'Summary, hourly ad costs'!AA79)/(1-CN79)), 'Summary, PPI''s'!AA80))</f>
        <v>.</v>
      </c>
      <c r="DE80" s="5" t="str">
        <f>IF(DE79=".", ".", IF('Summary, PPI''s'!AB80=".",IF(OR('Summary, hourly ad costs'!AB80=-9999,'Summary, hourly ad costs'!AB80=0), ".", 'Predicted PPIs'!DE79*('Summary, hourly ad costs'!L80/'Summary, hourly ad costs'!AB80)/('Summary, hourly ad costs'!L79/'Summary, hourly ad costs'!AB79)/(1-CO79)), 'Summary, PPI''s'!AB80))</f>
        <v>.</v>
      </c>
      <c r="DF80" s="5" t="str">
        <f>IF(DF79=".", ".", IF('Summary, PPI''s'!AC80=".",IF(OR('Summary, hourly ad costs'!AC80=-9999,'Summary, hourly ad costs'!AC80=0), ".", 'Predicted PPIs'!DF79*('Summary, hourly ad costs'!M80/'Summary, hourly ad costs'!AC80)/('Summary, hourly ad costs'!M79/'Summary, hourly ad costs'!AC79)/(1-CP79)), 'Summary, PPI''s'!AC80))</f>
        <v>.</v>
      </c>
      <c r="DG80" s="5" t="str">
        <f>IF(DG79=".", ".", IF('Summary, PPI''s'!AD80=".",IF(OR('Summary, hourly ad costs'!AD80=-9999,'Summary, hourly ad costs'!AD80=0), ".", 'Predicted PPIs'!DG79*('Summary, hourly ad costs'!N80/'Summary, hourly ad costs'!AD80)/('Summary, hourly ad costs'!N79/'Summary, hourly ad costs'!AD79)/(1-CQ79)), 'Summary, PPI''s'!AD80))</f>
        <v>.</v>
      </c>
      <c r="DH80" s="5" t="str">
        <f>IF(DH79=".", ".", IF('Summary, PPI''s'!AE80=".",IF(OR('Summary, hourly ad costs'!AE80=-9999,'Summary, hourly ad costs'!AE80=0), ".", 'Predicted PPIs'!DH79*('Summary, hourly ad costs'!O80/'Summary, hourly ad costs'!AE80)/('Summary, hourly ad costs'!O79/'Summary, hourly ad costs'!AE79)/(1-CR79)), 'Summary, PPI''s'!AE80))</f>
        <v>.</v>
      </c>
      <c r="DI80" s="5" t="str">
        <f>IF(DI79=".", ".", IF('Summary, PPI''s'!AF80=".",IF(OR('Summary, hourly ad costs'!AF80=-9999,'Summary, hourly ad costs'!AF80=0), ".", 'Predicted PPIs'!DI79*('Summary, hourly ad costs'!P80/'Summary, hourly ad costs'!AF80)/('Summary, hourly ad costs'!P79/'Summary, hourly ad costs'!AF79)/(1-CS79)), 'Summary, PPI''s'!AF80))</f>
        <v>.</v>
      </c>
      <c r="DK80" s="4">
        <v>2.7429999999999999</v>
      </c>
      <c r="DM80" s="5">
        <f t="shared" si="138"/>
        <v>4.6806219214909683E-2</v>
      </c>
      <c r="DN80" s="4">
        <f t="shared" si="139"/>
        <v>-2.1210631922050482E-2</v>
      </c>
      <c r="DO80" s="4">
        <f t="shared" si="181"/>
        <v>-2.2788631937716072E-2</v>
      </c>
      <c r="DP80" s="5">
        <f t="shared" si="140"/>
        <v>4.0053474710425307E-2</v>
      </c>
      <c r="DQ80" s="5">
        <f t="shared" si="141"/>
        <v>0.29979924259485857</v>
      </c>
      <c r="DR80" s="4">
        <f t="shared" si="146"/>
        <v>-1.017013385452013E-2</v>
      </c>
      <c r="DS80" s="5">
        <f t="shared" si="169"/>
        <v>-5.0085902364719215E-2</v>
      </c>
      <c r="DT80" s="5">
        <f t="shared" si="170"/>
        <v>0.13730455076462666</v>
      </c>
      <c r="DU80" s="4">
        <f t="shared" si="171"/>
        <v>-2.7952216942835957E-2</v>
      </c>
      <c r="DV80" s="4">
        <f t="shared" si="131"/>
        <v>5.5058346624136138E-4</v>
      </c>
      <c r="DW80" s="4">
        <f t="shared" si="133"/>
        <v>-4.1455441333775461E-2</v>
      </c>
      <c r="DX80" s="4">
        <f t="shared" si="133"/>
        <v>-9.8969323443928156E-2</v>
      </c>
      <c r="DY80" s="4">
        <f t="shared" si="108"/>
        <v>-1.9137501148742547E-2</v>
      </c>
      <c r="DZ80" s="4">
        <f t="shared" si="132"/>
        <v>-1.266791260480921E-2</v>
      </c>
      <c r="EA80" s="4">
        <f t="shared" si="109"/>
        <v>-1.1343517408155687E-2</v>
      </c>
      <c r="EC80" s="1">
        <f t="shared" si="154"/>
        <v>24.282930067019244</v>
      </c>
      <c r="ED80" s="1">
        <f t="shared" si="155"/>
        <v>5.3417218260990449</v>
      </c>
      <c r="EE80" s="1">
        <f t="shared" si="156"/>
        <v>3.1114762844992492</v>
      </c>
      <c r="EF80" s="1">
        <f t="shared" si="157"/>
        <v>2.3470268671970769</v>
      </c>
      <c r="EG80" s="1">
        <f t="shared" si="158"/>
        <v>6.1098237719678474</v>
      </c>
      <c r="EH80" s="1">
        <f t="shared" si="159"/>
        <v>3.1297531530918703</v>
      </c>
      <c r="EI80" s="1">
        <f t="shared" si="160"/>
        <v>2.1278503506185675</v>
      </c>
      <c r="EJ80" s="1">
        <f t="shared" si="161"/>
        <v>9.5166870257745142</v>
      </c>
      <c r="EK80" s="1">
        <f t="shared" si="162"/>
        <v>12.174037232282831</v>
      </c>
      <c r="EL80" s="1">
        <f t="shared" si="163"/>
        <v>2.2296989269201308</v>
      </c>
      <c r="EM80" s="1">
        <f t="shared" si="164"/>
        <v>0.22339680049719055</v>
      </c>
      <c r="EN80" s="1">
        <f t="shared" si="165"/>
        <v>5.5274723304960922</v>
      </c>
      <c r="EO80" s="1">
        <f t="shared" si="166"/>
        <v>2.0945935451885691</v>
      </c>
      <c r="EP80" s="1">
        <f t="shared" si="167"/>
        <v>3.1565794922828929</v>
      </c>
      <c r="EQ80" s="1">
        <f t="shared" si="168"/>
        <v>2.4263593007502395</v>
      </c>
      <c r="ES80" s="1">
        <f>IF(EF$26=".", 0, 'Summary, PPI''s'!E80)+IF(EG$26=".", 0, 'Summary, PPI''s'!F80)+IF(EH$26=".", 0, 'Summary, PPI''s'!G80)+IF(EI$26=".", 0, 'Summary, PPI''s'!H80)+IF(EJ$26=".", 0, 'Summary, PPI''s'!I80)+IF(EK$26=".", 0, 'Summary, PPI''s'!J80)+IF(EL$26=".", 0, 'Summary, PPI''s'!K80)+IF(EM$26=".", 0, 'Summary, PPI''s'!L80)+IF(EN$26=".", 0, 'Summary, PPI''s'!M80)+IF(EC$26=".", 0, 'Summary, PPI''s'!B80)+IF(ED$26=".", 0, 'Summary, PPI''s'!C80)+IF(EE$26=".", 0, 'Summary, PPI''s'!D80)+IF(EO$26=".", 0, 'Summary, PPI''s'!N80)+IF(EP$26=".", 0, 'Summary, PPI''s'!O80)+IF(EQ$26=".", 0, 'Summary, PPI''s'!P80)</f>
        <v>2618638.4764319346</v>
      </c>
      <c r="ET80" s="1">
        <f>'Summary, hourly ad costs'!E80+'Summary, hourly ad costs'!F80+'Summary, hourly ad costs'!H80+'Summary, hourly ad costs'!I80+'Summary, hourly ad costs'!J80+'Summary, hourly ad costs'!K80+'Summary, hourly ad costs'!L80+'Summary, hourly ad costs'!M80+'Summary, hourly ad costs'!B80</f>
        <v>1662533.9162705571</v>
      </c>
      <c r="EV80" s="13">
        <f>EV79*IF(EF$26=".", 1, (EF80/EF79)^(('Summary, PPI''s'!$E80+'Summary, PPI''s'!$E79)/('Predicted PPIs'!ES80+'Predicted PPIs'!ES79)))*IF(EG$26=".", 1, (EG80/EG79)^(('Summary, PPI''s'!$F80+'Summary, PPI''s'!$F79)/('Predicted PPIs'!ES80+'Predicted PPIs'!ES79)))*IF(EH$26=".", 1, (EH80/EH79)^(('Summary, PPI''s'!$G80+'Summary, PPI''s'!$G79)/('Predicted PPIs'!ES80+'Predicted PPIs'!ES79)))*IF(EI$26=".", 1, (EI80/EI79)^(('Summary, PPI''s'!$H80+'Summary, PPI''s'!$H79)/('Predicted PPIs'!ES80+'Predicted PPIs'!ES79)))*IF(EJ$26=".", 1, (EJ80/EJ79)^(('Summary, PPI''s'!$I80+'Summary, PPI''s'!$I79)/('Predicted PPIs'!ES80+'Predicted PPIs'!ES79)))*IF(EK$26=".", 1, (EK80/EK79)^(('Summary, PPI''s'!$J80+'Summary, PPI''s'!$J79)/('Predicted PPIs'!ES80+'Predicted PPIs'!ES79)))*IF(EL$26=".", 1, (EL80/EL79)^(('Summary, PPI''s'!$K80+'Summary, PPI''s'!$K79)/('Predicted PPIs'!ES80+'Predicted PPIs'!ES79)))*IF(EM$26=".", 1, (EM80/EM79)^(('Summary, PPI''s'!$L80+'Summary, PPI''s'!$L79)/('Predicted PPIs'!ES80+'Predicted PPIs'!ES79)))*IF(EN$26=".", 1, (EN80/EN79)^(('Summary, PPI''s'!$M80+'Summary, PPI''s'!$M79)/('Predicted PPIs'!ES80+'Predicted PPIs'!ES79)))*IF(EC$26=".", 1, (EC80/EC79)^(('Summary, PPI''s'!$B80+'Summary, PPI''s'!$B79)/('Predicted PPIs'!ES80+'Predicted PPIs'!ES79)))*IF(ED$26=".", 1, (ED80/ED79)^(('Summary, PPI''s'!$C80+'Summary, PPI''s'!$C79)/('Predicted PPIs'!ES80+'Predicted PPIs'!ES79)))*IF(EE$26=".", 1, (EE80/EE79)^(('Summary, PPI''s'!$D80+'Summary, PPI''s'!$D79)/('Predicted PPIs'!ES80+'Predicted PPIs'!ES79)))*IF(EO$26=".", 1, (EO80/EO79)^(('Summary, PPI''s'!$N80+'Summary, PPI''s'!$N79)/('Predicted PPIs'!ES80+'Predicted PPIs'!ES79)))*IF(EP$26=".", 1, (EP80/EP79)^(('Summary, PPI''s'!$O80+'Summary, PPI''s'!$O79)/('Predicted PPIs'!ES80+'Predicted PPIs'!ES79)))*IF(EQ$26=".", 1, (EQ80/EQ79)^(('Summary, PPI''s'!$P80+'Summary, PPI''s'!$P79)/('Predicted PPIs'!ES80+'Predicted PPIs'!ES79)))</f>
        <v>4.7945472454835238</v>
      </c>
      <c r="EW80" s="13">
        <f>EW79*IF(EF$26=".", 1, (EF80/EF79)^(('Summary, PPI''s'!$E80+'Summary, PPI''s'!$E79)/('Predicted PPIs'!ET80+'Predicted PPIs'!ET79)))*IF(EG$26=".", 1, (EG80/EG79)^(('Summary, PPI''s'!$F80+'Summary, PPI''s'!$F79)/('Predicted PPIs'!ET80+'Predicted PPIs'!ET79)))*IF(EH$26=".", 1, (EH80/EH79)^(('Summary, PPI''s'!$G80+'Summary, PPI''s'!$G79)/('Predicted PPIs'!ET80+'Predicted PPIs'!ET79)))*IF(EK$26=".", 1, (EK80/EK79)^(('Summary, PPI''s'!$J80+'Summary, PPI''s'!$J79)/('Predicted PPIs'!ET80+'Predicted PPIs'!ET79)))*IF(EL$26=".", 1, (EL80/EL79)^(('Summary, PPI''s'!$K80+'Summary, PPI''s'!$K79)/('Predicted PPIs'!ET80+'Predicted PPIs'!ET79)))*IF(EM$26=".", 1, (EM80/EM79)^(('Summary, PPI''s'!$L80+'Summary, PPI''s'!$L79)/('Predicted PPIs'!ET80+'Predicted PPIs'!ET79)))*IF(EN$26=".", 1, (EN80/EN79)^(('Summary, PPI''s'!$M80+'Summary, PPI''s'!$M79)/('Predicted PPIs'!ET80+'Predicted PPIs'!ET79)))*IF(EC$26=".", 1, (EC80/EC79)^(('Summary, PPI''s'!$B80+'Summary, PPI''s'!$B79)/('Predicted PPIs'!ET80+'Predicted PPIs'!ET79)))</f>
        <v>7.3600195961451016</v>
      </c>
      <c r="EY80" s="2"/>
    </row>
    <row r="81" spans="1:155" x14ac:dyDescent="0.3">
      <c r="A81" s="4">
        <v>1942</v>
      </c>
      <c r="B81" s="10">
        <f>IF(B80=".", ".", IF('Summary, PPI''s'!R81=".",IF(OR('Summary, hourly ad costs'!R81=-9999,'Summary, hourly ad costs'!R81=0), ".", 'Predicted PPIs'!B80*('Summary, hourly ad costs'!B81/'Summary, hourly ad costs'!R81)/('Summary, hourly ad costs'!B80/'Summary, hourly ad costs'!R80)), 'Summary, PPI''s'!R81))</f>
        <v>24.681082005061075</v>
      </c>
      <c r="C81" s="10" t="str">
        <f>IF(C80=".", ".", IF('Summary, PPI''s'!S81=".",IF(OR('Summary, hourly ad costs'!S81=-9999,'Summary, hourly ad costs'!S81=0), ".", 'Predicted PPIs'!C80*('Summary, hourly ad costs'!C81/'Summary, hourly ad costs'!S81)/('Summary, hourly ad costs'!C80/'Summary, hourly ad costs'!S80)), 'Summary, PPI''s'!S81))</f>
        <v>.</v>
      </c>
      <c r="D81" s="10" t="str">
        <f>IF(D80=".", ".", IF('Summary, PPI''s'!T81=".",IF(OR('Summary, hourly ad costs'!T81=-9999,'Summary, hourly ad costs'!T81=0), ".", 'Predicted PPIs'!D80*('Summary, hourly ad costs'!D81/'Summary, hourly ad costs'!T81)/('Summary, hourly ad costs'!D80/'Summary, hourly ad costs'!T80)), 'Summary, PPI''s'!T81))</f>
        <v>.</v>
      </c>
      <c r="E81" s="10">
        <f>IF(E80=".", ".", IF('Summary, PPI''s'!U81=".",IF(OR('Summary, hourly ad costs'!U81=-9999,'Summary, hourly ad costs'!U81=0), ".", 'Predicted PPIs'!E80*('Summary, hourly ad costs'!E81/'Summary, hourly ad costs'!U81)/('Summary, hourly ad costs'!E80/'Summary, hourly ad costs'!U80)), 'Summary, PPI''s'!U81))</f>
        <v>1.5498609073175451</v>
      </c>
      <c r="F81" s="10">
        <f>IF(F80=".", ".", IF('Summary, PPI''s'!V81=".",IF(OR('Summary, hourly ad costs'!V81=-9999,'Summary, hourly ad costs'!V81=0), ".", 'Predicted PPIs'!F80*('Summary, hourly ad costs'!F81/'Summary, hourly ad costs'!V81)/('Summary, hourly ad costs'!F80/'Summary, hourly ad costs'!V80)), 'Summary, PPI''s'!V81))</f>
        <v>2.9637488165884633</v>
      </c>
      <c r="G81" s="10" t="str">
        <f>IF(G80=".", ".", IF('Summary, PPI''s'!W81=".",IF(OR('Summary, hourly ad costs'!W81=-9999,'Summary, hourly ad costs'!W81=0), ".", 'Predicted PPIs'!G80*('Summary, hourly ad costs'!G81/'Summary, hourly ad costs'!W81)/('Summary, hourly ad costs'!G80/'Summary, hourly ad costs'!W80)), 'Summary, PPI''s'!W81))</f>
        <v>.</v>
      </c>
      <c r="H81" s="10">
        <f>IF(H80=".", ".", IF('Summary, PPI''s'!X81=".",IF(OR('Summary, hourly ad costs'!X81=-9999,'Summary, hourly ad costs'!X81=0), ".", 'Predicted PPIs'!H80*('Summary, hourly ad costs'!H81/'Summary, hourly ad costs'!X81)/('Summary, hourly ad costs'!H80/'Summary, hourly ad costs'!X80)), 'Summary, PPI''s'!X81))</f>
        <v>2.0158377225916704</v>
      </c>
      <c r="I81" s="10">
        <f>IF(I80=".", ".", IF('Summary, PPI''s'!Y81=".",IF(OR('Summary, hourly ad costs'!Y81=-9999,'Summary, hourly ad costs'!Y81=0), ".", 'Predicted PPIs'!I80*('Summary, hourly ad costs'!I81/'Summary, hourly ad costs'!Y81)/('Summary, hourly ad costs'!I80/'Summary, hourly ad costs'!Y80)), 'Summary, PPI''s'!Y81))</f>
        <v>5.3695484219226994</v>
      </c>
      <c r="J81" s="10" t="str">
        <f>IF(J80=".", ".", IF('Summary, PPI''s'!Z81=".",IF(OR('Summary, hourly ad costs'!Z81=-9999,'Summary, hourly ad costs'!Z81=0), ".", 'Predicted PPIs'!J80*('Summary, hourly ad costs'!J81/'Summary, hourly ad costs'!Z81)/('Summary, hourly ad costs'!J80/'Summary, hourly ad costs'!Z80)), 'Summary, PPI''s'!Z81))</f>
        <v>.</v>
      </c>
      <c r="K81" s="10" t="str">
        <f>IF(K80=".", ".", IF('Summary, PPI''s'!AA81=".",IF(OR('Summary, hourly ad costs'!AA81=-9999,'Summary, hourly ad costs'!AA81=0), ".", 'Predicted PPIs'!K80*('Summary, hourly ad costs'!K81/'Summary, hourly ad costs'!AA81)/('Summary, hourly ad costs'!K80/'Summary, hourly ad costs'!AA80)), 'Summary, PPI''s'!AA81))</f>
        <v>.</v>
      </c>
      <c r="L81" s="10" t="str">
        <f>IF(L80=".", ".", IF('Summary, PPI''s'!AB81=".",IF(OR('Summary, hourly ad costs'!AB81=-9999,'Summary, hourly ad costs'!AB81=0), ".", 'Predicted PPIs'!L80*('Summary, hourly ad costs'!L81/'Summary, hourly ad costs'!AB81)/('Summary, hourly ad costs'!L80/'Summary, hourly ad costs'!AB80)), 'Summary, PPI''s'!AB81))</f>
        <v>.</v>
      </c>
      <c r="M81" s="10" t="str">
        <f>IF(M80=".", ".", IF('Summary, PPI''s'!AC81=".",IF(OR('Summary, hourly ad costs'!AC81=-9999,'Summary, hourly ad costs'!AC81=0), ".", 'Predicted PPIs'!M80*('Summary, hourly ad costs'!M81/'Summary, hourly ad costs'!AC81)/('Summary, hourly ad costs'!M80/'Summary, hourly ad costs'!AC80)), 'Summary, PPI''s'!AC81))</f>
        <v>.</v>
      </c>
      <c r="N81" s="10" t="str">
        <f>IF(N80=".", ".", IF('Summary, PPI''s'!AD81=".",IF(OR('Summary, hourly ad costs'!AD81=-9999,'Summary, hourly ad costs'!AD81=0), ".", 'Predicted PPIs'!N80*('Summary, hourly ad costs'!N81/'Summary, hourly ad costs'!AD81)/('Summary, hourly ad costs'!N80/'Summary, hourly ad costs'!AD80)), 'Summary, PPI''s'!AD81))</f>
        <v>.</v>
      </c>
      <c r="O81" s="10" t="str">
        <f>IF(O80=".", ".", IF('Summary, PPI''s'!AE81=".",IF(OR('Summary, hourly ad costs'!AE81=-9999,'Summary, hourly ad costs'!AE81=0), ".", 'Predicted PPIs'!O80*('Summary, hourly ad costs'!O81/'Summary, hourly ad costs'!AE81)/('Summary, hourly ad costs'!O80/'Summary, hourly ad costs'!AE80)), 'Summary, PPI''s'!AE81))</f>
        <v>.</v>
      </c>
      <c r="P81" s="10" t="str">
        <f>IF(P80=".", ".", IF('Summary, PPI''s'!AF81=".",IF(OR('Summary, hourly ad costs'!AF81=-9999,'Summary, hourly ad costs'!AF81=0), ".", 'Predicted PPIs'!P80*('Summary, hourly ad costs'!P81/'Summary, hourly ad costs'!AF81)/('Summary, hourly ad costs'!P80/'Summary, hourly ad costs'!AF80)), 'Summary, PPI''s'!AF81))</f>
        <v>.</v>
      </c>
      <c r="R81" s="1">
        <f>IF(E$26=".", 0, 'Summary, PPI''s'!E81)+IF(F$26=".", 0, 'Summary, PPI''s'!F81)+IF(G$26=".", 0, 'Summary, PPI''s'!G81)+IF(H$26=".", 0, 'Summary, PPI''s'!H81)+IF(I$26=".", 0, 'Summary, PPI''s'!I81)+IF(J$26=".", 0, 'Summary, PPI''s'!J81)+IF(K$26=".", 0, 'Summary, PPI''s'!K81)+IF(L$26=".", 0, 'Summary, PPI''s'!L81)+IF(M$26=".", 0, 'Summary, PPI''s'!M81)+IF(B$26=".", 0, 'Summary, PPI''s'!B81)+IF(C$26=".", 0, 'Summary, PPI''s'!C81)+IF(D$26=".", 0, 'Summary, PPI''s'!D81)+IF(N$26=".", 0, 'Summary, PPI''s'!N81)+IF(O$26=".", 0, 'Summary, PPI''s'!O81)+IF(P$26=".", 0, 'Summary, PPI''s'!P81)</f>
        <v>2190106.8812772939</v>
      </c>
      <c r="S81" s="1">
        <f>IF(E$36=".", 0, 'Summary, PPI''s'!E81)+IF(F$36=".", 0, 'Summary, PPI''s'!F81)+IF(G$36=".", 0, 'Summary, PPI''s'!G81)+IF(H$36=".", 0, 'Summary, PPI''s'!H81)+IF(I$36=".", 0, 'Summary, PPI''s'!I81)+IF(J$36=".", 0, 'Summary, PPI''s'!J81)+IF(K$36=".", 0, 'Summary, PPI''s'!K81)+IF(L$36=".", 0, 'Summary, PPI''s'!L81)+IF(M$36=".", 0, 'Summary, PPI''s'!M81)+IF(B$36=".", 0, 'Summary, PPI''s'!B81)+IF(C$36=".", 0, 'Summary, PPI''s'!C81)+IF(D$36=".", 0, 'Summary, PPI''s'!D81)+IF(N$36=".", 0, 'Summary, PPI''s'!N81)+IF(O$36=".", 0, 'Summary, PPI''s'!O81)+IF(P$36=".", 0, 'Summary, PPI''s'!P81)</f>
        <v>2190106.8812772939</v>
      </c>
      <c r="T81" s="1">
        <f>IF(E$46=".", 0, 'Summary, PPI''s'!E81)+IF(F$46=".", 0, 'Summary, PPI''s'!F81)+IF(G$46=".", 0, 'Summary, PPI''s'!G81)+IF(H$46=".", 0, 'Summary, PPI''s'!H81)+IF(I$46=".", 0, 'Summary, PPI''s'!I81)+IF(J$46=".", 0, 'Summary, PPI''s'!J81)+IF(K$46=".", 0, 'Summary, PPI''s'!K81)+IF(L$46=".", 0, 'Summary, PPI''s'!L81)+IF(M$46=".", 0, 'Summary, PPI''s'!M81)+IF(B$46=".", 0, 'Summary, PPI''s'!B81)+IF(C$46=".", 0, 'Summary, PPI''s'!C81)+IF(D$46=".", 0, 'Summary, PPI''s'!D81)+IF(N$46=".", 0, 'Summary, PPI''s'!N81)+IF(O$46=".", 0, 'Summary, PPI''s'!O81)+IF(P$46=".", 0, 'Summary, PPI''s'!P81)</f>
        <v>1781305.08287251</v>
      </c>
      <c r="U81" s="1">
        <f>IF(E$60=".", 0, 'Summary, PPI''s'!E81)+IF(F$60=".", 0, 'Summary, PPI''s'!F81)+IF(G$60=".", 0, 'Summary, PPI''s'!G81)+IF(H$60=".", 0, 'Summary, PPI''s'!H81)+IF(I$60=".", 0, 'Summary, PPI''s'!I81)+IF(J$60=".", 0, 'Summary, PPI''s'!J81)+IF(K$60=".", 0, 'Summary, PPI''s'!K81)+IF(L$60=".", 0, 'Summary, PPI''s'!L81)+IF(M$60=".", 0, 'Summary, PPI''s'!M81)+IF(B$60=".", 0, 'Summary, PPI''s'!B81)+IF(C$60=".", 0, 'Summary, PPI''s'!C81)+IF(D$60=".", 0, 'Summary, PPI''s'!D81)+IF(N$60=".", 0, 'Summary, PPI''s'!N81)+IF(O$60=".", 0, 'Summary, PPI''s'!O81)+IF(P$60=".", 0, 'Summary, PPI''s'!P81)</f>
        <v>1629852.361656717</v>
      </c>
      <c r="V81" s="1">
        <f>IF(E$73=".", 0, 'Summary, PPI''s'!E81)+IF(F$73=".", 0, 'Summary, PPI''s'!F81)+IF(G$73=".", 0, 'Summary, PPI''s'!G81)+IF(H$73=".", 0, 'Summary, PPI''s'!H81)+IF(I$73=".", 0, 'Summary, PPI''s'!I81)+IF(J$73=".", 0, 'Summary, PPI''s'!J81)+IF(K$73=".", 0, 'Summary, PPI''s'!K81)+IF(L$73=".", 0, 'Summary, PPI''s'!L81)+IF(M$73=".", 0, 'Summary, PPI''s'!M81)+IF(B$73=".", 0, 'Summary, PPI''s'!B81)+IF(C$73=".", 0, 'Summary, PPI''s'!C81)+IF(D$73=".", 0, 'Summary, PPI''s'!D81)+IF(N$73=".", 0, 'Summary, PPI''s'!N81)+IF(O$73=".", 0, 'Summary, PPI''s'!O81)+IF(P$73=".", 0, 'Summary, PPI''s'!P81)</f>
        <v>1387919.2572100661</v>
      </c>
      <c r="W81" s="1">
        <f>IF(E$94=".",0,'Summary, PPI''s'!E81)+IF(F$94=".",0,'Summary, PPI''s'!F81)+IF(G$94=".",0,'Summary, PPI''s'!G81)+IF(H$94=".",0,'Summary, PPI''s'!H81)+IF(I$94=".",0,'Summary, PPI''s'!I81)+IF(J$94=".",0,'Summary, PPI''s'!J81)+IF(K$94=".",0,'Summary, PPI''s'!K81)+IF(L$94=".",0,'Summary, PPI''s'!L81)+IF(M$94=".",0,'Summary, PPI''s'!M81)+IF(B$94=".",0,'Summary, PPI''s'!B81)+IF(C$94=".",0,'Summary, PPI''s'!C81)+IF(D$94=".",0,'Summary, PPI''s'!D81)+IF(N$94=".",0,'Summary, PPI''s'!N81)+IF(O$94=".",0,'Summary, PPI''s'!O81)+IF(P$94=".",0,'Summary, PPI''s'!P81)</f>
        <v>1387919.2572100661</v>
      </c>
      <c r="X81" s="1">
        <f>IF(E$123=".", 0, 'Summary, PPI''s'!E81)+IF(F$123=".", 0, 'Summary, PPI''s'!F81)+IF(G$123=".", 0, 'Summary, PPI''s'!G81)+IF(H$123=".", 0, 'Summary, PPI''s'!H81)+IF(I$123=".", 0, 'Summary, PPI''s'!I81)+IF(J$123=".", 0, 'Summary, PPI''s'!J81)+IF(K$123=".", 0, 'Summary, PPI''s'!K81)+IF(L$123=".", 0, 'Summary, PPI''s'!L81)+IF(M$123=".", 0, 'Summary, PPI''s'!M81)+IF(B$123=".", 0, 'Summary, PPI''s'!B81)+IF(C$123=".", 0, 'Summary, PPI''s'!C81)+IF(D$123=".", 0, 'Summary, PPI''s'!D81)+IF(N$123=".", 0, 'Summary, PPI''s'!N81)+IF(O$123=".", 0, 'Summary, PPI''s'!O81)+IF(P$123=".", 0, 'Summary, PPI''s'!P81)</f>
        <v>1179728.9570848006</v>
      </c>
      <c r="Z81" s="4" t="e">
        <f>Z80*IF(E$26=".", 1, (E81/E80)^(('Summary, PPI''s'!$E81+'Summary, PPI''s'!$E80)/('Predicted PPIs'!R81+'Predicted PPIs'!R80)))*IF(F$26=".", 1, (F81/F80)^(('Summary, PPI''s'!$F81+'Summary, PPI''s'!$F80)/('Predicted PPIs'!R81+'Predicted PPIs'!R80)))*IF(G$26=".", 1, (G81/G80)^(('Summary, PPI''s'!$G81+'Summary, PPI''s'!$G80)/('Predicted PPIs'!R81+'Predicted PPIs'!R80)))*IF(H$26=".", 1, (H81/H80)^(('Summary, PPI''s'!$H81+'Summary, PPI''s'!$H80)/('Predicted PPIs'!R81+'Predicted PPIs'!R80)))*IF(I$26=".", 1, (I81/I80)^(('Summary, PPI''s'!$I81+'Summary, PPI''s'!$I80)/('Predicted PPIs'!R81+'Predicted PPIs'!R80)))*IF(J$26=".", 1, (J81/J80)^(('Summary, PPI''s'!$J81+'Summary, PPI''s'!$J80)/('Predicted PPIs'!R81+'Predicted PPIs'!R80)))*IF(K$26=".", 1, (K81/K80)^(('Summary, PPI''s'!$K81+'Summary, PPI''s'!$K80)/('Predicted PPIs'!R81+'Predicted PPIs'!R80)))*IF(L$26=".", 1, (L81/L80)^(('Summary, PPI''s'!$L81+'Summary, PPI''s'!$L80)/('Predicted PPIs'!R81+'Predicted PPIs'!R80)))*IF(M$26=".", 1, (M81/M80)^(('Summary, PPI''s'!$M81+'Summary, PPI''s'!$M80)/('Predicted PPIs'!R81+'Predicted PPIs'!R80)))*IF(B$26=".", 1, (B81/B80)^(('Summary, PPI''s'!$B81+'Summary, PPI''s'!$B80)/('Predicted PPIs'!R81+'Predicted PPIs'!R80)))*IF(C$26=".", 1, (C81/C80)^(('Summary, PPI''s'!$C81+'Summary, PPI''s'!$C80)/('Predicted PPIs'!R81+'Predicted PPIs'!R80)))*IF(D$26=".", 1, (D81/D80)^(('Summary, PPI''s'!$D81+'Summary, PPI''s'!$D80)/('Predicted PPIs'!R81+'Predicted PPIs'!R80)))*IF(N$26=".", 1, (N81/N80)^(('Summary, PPI''s'!$N81+'Summary, PPI''s'!$N80)/('Predicted PPIs'!R81+'Predicted PPIs'!R80)))*IF(O$26=".", 1, (O81/O80)^(('Summary, PPI''s'!$O81+'Summary, PPI''s'!$O80)/('Predicted PPIs'!R81+'Predicted PPIs'!R80)))*IF(P$26=".", 1, (P81/P80)^(('Summary, PPI''s'!$P81+'Summary, PPI''s'!$P80)/('Predicted PPIs'!R81+'Predicted PPIs'!R80)))</f>
        <v>#VALUE!</v>
      </c>
      <c r="AA81" s="4" t="e">
        <f>AA80*IF(E$36=".", 1, (E81/E80)^(('Summary, PPI''s'!$E81+'Summary, PPI''s'!$E80)/('Predicted PPIs'!S81+'Predicted PPIs'!S80)))*IF(F$36=".", 1, (F81/F80)^(('Summary, PPI''s'!$F81+'Summary, PPI''s'!$F80)/('Predicted PPIs'!S81+'Predicted PPIs'!S80)))*IF(G$36=".", 1, (G81/G80)^(('Summary, PPI''s'!$G81+'Summary, PPI''s'!$G80)/('Predicted PPIs'!S81+'Predicted PPIs'!S80)))*IF(H$36=".", 1, (H81/H80)^(('Summary, PPI''s'!$H81+'Summary, PPI''s'!$H80)/('Predicted PPIs'!S81+'Predicted PPIs'!S80)))*IF(I$36=".", 1, (I81/I80)^(('Summary, PPI''s'!$I81+'Summary, PPI''s'!$I80)/('Predicted PPIs'!S81+'Predicted PPIs'!S80)))*IF(J$36=".", 1, (J81/J80)^(('Summary, PPI''s'!$J81+'Summary, PPI''s'!$J80)/('Predicted PPIs'!S81+'Predicted PPIs'!S80)))*IF(K$36=".", 1, (K81/K80)^(('Summary, PPI''s'!$K81+'Summary, PPI''s'!$K80)/('Predicted PPIs'!S81+'Predicted PPIs'!S80)))*IF(L$36=".", 1, (L81/L80)^(('Summary, PPI''s'!$L81+'Summary, PPI''s'!$L80)/('Predicted PPIs'!S81+'Predicted PPIs'!S80)))*IF(M$36=".", 1, (M81/M80)^(('Summary, PPI''s'!$M81+'Summary, PPI''s'!$M80)/('Predicted PPIs'!S81+'Predicted PPIs'!S80)))*IF(B$36=".", 1, (B81/B80)^(('Summary, PPI''s'!$B81+'Summary, PPI''s'!$B80)/('Predicted PPIs'!S81+'Predicted PPIs'!S80)))*IF(C$36=".", 1, (C81/C80)^(('Summary, PPI''s'!$C81+'Summary, PPI''s'!$C80)/('Predicted PPIs'!S81+'Predicted PPIs'!S80)))*IF(D$36=".", 1, (D81/D80)^(('Summary, PPI''s'!$D81+'Summary, PPI''s'!$D80)/('Predicted PPIs'!S81+'Predicted PPIs'!S80)))*IF(N$36=".", 1, (N81/N80)^(('Summary, PPI''s'!$N81+'Summary, PPI''s'!$N80)/('Predicted PPIs'!S81+'Predicted PPIs'!S80)))*IF(O$36=".", 1, (O81/O80)^(('Summary, PPI''s'!$O81+'Summary, PPI''s'!$O80)/('Predicted PPIs'!S81+'Predicted PPIs'!S80)))*IF(P$36=".", 1, (P81/P80)^(('Summary, PPI''s'!$P81+'Summary, PPI''s'!$P80)/('Predicted PPIs'!S81+'Predicted PPIs'!S80)))</f>
        <v>#VALUE!</v>
      </c>
      <c r="AB81" s="4" t="e">
        <f>AB80*IF(E$46=".", 1, (E81/E80)^(('Summary, PPI''s'!$E81+'Summary, PPI''s'!$E80)/('Predicted PPIs'!T81+'Predicted PPIs'!T80)))*IF(F$46=".", 1, (F81/F80)^(('Summary, PPI''s'!$F81+'Summary, PPI''s'!$F80)/('Predicted PPIs'!T81+'Predicted PPIs'!T80)))*IF(G$46=".", 1, (G81/G80)^(('Summary, PPI''s'!$G81+'Summary, PPI''s'!$G80)/('Predicted PPIs'!T81+'Predicted PPIs'!T80)))*IF(H$46=".", 1, (H81/H80)^(('Summary, PPI''s'!$H81+'Summary, PPI''s'!$H80)/('Predicted PPIs'!T81+'Predicted PPIs'!T80)))*IF(I$46=".", 1, (I81/I80)^(('Summary, PPI''s'!$I81+'Summary, PPI''s'!$I80)/('Predicted PPIs'!T81+'Predicted PPIs'!T80)))*IF(J$46=".", 1, (J81/J80)^(('Summary, PPI''s'!$J81+'Summary, PPI''s'!$J80)/('Predicted PPIs'!T81+'Predicted PPIs'!T80)))*IF(K$46=".", 1, (K81/K80)^(('Summary, PPI''s'!$K81+'Summary, PPI''s'!$K80)/('Predicted PPIs'!T81+'Predicted PPIs'!T80)))*IF(L$46=".", 1, (L81/L80)^(('Summary, PPI''s'!$L81+'Summary, PPI''s'!$L80)/('Predicted PPIs'!T81+'Predicted PPIs'!T80)))*IF(M$46=".", 1, (M81/M80)^(('Summary, PPI''s'!$M81+'Summary, PPI''s'!$M80)/('Predicted PPIs'!T81+'Predicted PPIs'!T80)))*IF(B$46=".", 1, (B81/B80)^(('Summary, PPI''s'!$B81+'Summary, PPI''s'!$B80)/('Predicted PPIs'!T81+'Predicted PPIs'!T80)))*IF(C$46=".", 1, (C81/C80)^(('Summary, PPI''s'!$C81+'Summary, PPI''s'!$C80)/('Predicted PPIs'!T81+'Predicted PPIs'!T80)))*IF(D$46=".", 1, (D81/D80)^(('Summary, PPI''s'!$D81+'Summary, PPI''s'!$D80)/('Predicted PPIs'!T81+'Predicted PPIs'!T80)))*IF(N$46=".", 1, (N81/N80)^(('Summary, PPI''s'!$N81+'Summary, PPI''s'!$N80)/('Predicted PPIs'!T81+'Predicted PPIs'!T80)))*IF(O$46=".", 1, (O81/O80)^(('Summary, PPI''s'!$O81+'Summary, PPI''s'!$O80)/('Predicted PPIs'!T81+'Predicted PPIs'!T80)))*IF(P$46=".", 1, (P81/P80)^(('Summary, PPI''s'!$P81+'Summary, PPI''s'!$P80)/('Predicted PPIs'!T81+'Predicted PPIs'!T80)))</f>
        <v>#VALUE!</v>
      </c>
      <c r="AC81" s="4" t="e">
        <f>AC80*IF(E$60=".",1,(E81/E80)^(('Summary, PPI''s'!$E81+'Summary, PPI''s'!$E80)/('Predicted PPIs'!U81+'Predicted PPIs'!U80)))*IF(F$60=".",1,(F81/F80)^(('Summary, PPI''s'!$F81+'Summary, PPI''s'!$F80)/('Predicted PPIs'!U81+'Predicted PPIs'!U80)))*IF(G$60=".",1,(G81/G80)^(('Summary, PPI''s'!$G81+'Summary, PPI''s'!$G80)/('Predicted PPIs'!U81+'Predicted PPIs'!U80)))*IF(H$60=".",1,(H81/H80)^(('Summary, PPI''s'!$H81+'Summary, PPI''s'!$H80)/('Predicted PPIs'!U81+'Predicted PPIs'!U80)))*IF(I$60=".",1,(I81/I80)^(('Summary, PPI''s'!$I81+'Summary, PPI''s'!$I80)/('Predicted PPIs'!U81+'Predicted PPIs'!U80)))*IF(J$60=".",1,(J81/J80)^(('Summary, PPI''s'!$J81+'Summary, PPI''s'!$J80)/('Predicted PPIs'!U81+'Predicted PPIs'!U80)))*IF(K$60=".",1,(K81/K80)^(('Summary, PPI''s'!$K81+'Summary, PPI''s'!$K80)/('Predicted PPIs'!U81+'Predicted PPIs'!U80)))*IF(L$60=".",1,(L81/L80)^(('Summary, PPI''s'!$L81+'Summary, PPI''s'!$L80)/('Predicted PPIs'!U81+'Predicted PPIs'!U80)))*IF(M$60=".",1,(M81/M80)^(('Summary, PPI''s'!$M81+'Summary, PPI''s'!$M80)/('Predicted PPIs'!U81+'Predicted PPIs'!U80)))*IF(B$60=".",1,(B81/B80)^(('Summary, PPI''s'!$B81+'Summary, PPI''s'!$B80)/('Predicted PPIs'!U81+'Predicted PPIs'!U80)))*IF(C$60=".",1,(C81/C80)^(('Summary, PPI''s'!$C81+'Summary, PPI''s'!$C80)/('Predicted PPIs'!U81+'Predicted PPIs'!U80)))*IF(D$60=".",1,(D81/D80)^(('Summary, PPI''s'!$D81+'Summary, PPI''s'!$D80)/('Predicted PPIs'!U81+'Predicted PPIs'!U80)))*IF(N$60=".",1,(N81/N80)^(('Summary, PPI''s'!$N81+'Summary, PPI''s'!$N80)/('Predicted PPIs'!U81+'Predicted PPIs'!U80)))*IF(O$60=".",1,(O81/O80)^(('Summary, PPI''s'!$O81+'Summary, PPI''s'!$O80)/('Predicted PPIs'!U81+'Predicted PPIs'!U80)))*IF(P$60=".",1,(P81/P80)^(('Summary, PPI''s'!$P81+'Summary, PPI''s'!$P80)/('Predicted PPIs'!U81+'Predicted PPIs'!U80)))</f>
        <v>#VALUE!</v>
      </c>
      <c r="AD81" s="4" t="e">
        <f>AD80*IF(E$73=".", 1, (E81/E80)^(('Summary, PPI''s'!$E81+'Summary, PPI''s'!$E80)/('Predicted PPIs'!V81+'Predicted PPIs'!V80)))*IF(F$73=".", 1, (F81/F80)^(('Summary, PPI''s'!$F81+'Summary, PPI''s'!$F80)/('Predicted PPIs'!V81+'Predicted PPIs'!V80)))*IF(G$73=".", 1, (G81/G80)^(('Summary, PPI''s'!$G81+'Summary, PPI''s'!$G80)/('Predicted PPIs'!V81+'Predicted PPIs'!V80)))*IF(H$73=".", 1, (H81/H80)^(('Summary, PPI''s'!$H81+'Summary, PPI''s'!$H80)/('Predicted PPIs'!V81+'Predicted PPIs'!V80)))*IF(I$73=".", 1, (I81/I80)^(('Summary, PPI''s'!$I81+'Summary, PPI''s'!$I80)/('Predicted PPIs'!V81+'Predicted PPIs'!V80)))*IF(J$73=".", 1, (J81/J80)^(('Summary, PPI''s'!$J81+'Summary, PPI''s'!$J80)/('Predicted PPIs'!V81+'Predicted PPIs'!V80)))*IF(K$73=".", 1, (K81/K80)^(('Summary, PPI''s'!$K81+'Summary, PPI''s'!$K80)/('Predicted PPIs'!V81+'Predicted PPIs'!V80)))*IF(L$73=".", 1, (L81/L80)^(('Summary, PPI''s'!$L81+'Summary, PPI''s'!$L80)/('Predicted PPIs'!V81+'Predicted PPIs'!V80)))*IF(M$73=".", 1, (M81/M80)^(('Summary, PPI''s'!$M81+'Summary, PPI''s'!$M80)/('Predicted PPIs'!V81+'Predicted PPIs'!V80)))*IF(B$73=".", 1, (B81/B80)^(('Summary, PPI''s'!$B81+'Summary, PPI''s'!$B80)/('Predicted PPIs'!V81+'Predicted PPIs'!V80)))*IF(C$73=".", 1, (C81/C80)^(('Summary, PPI''s'!$C81+'Summary, PPI''s'!$C80)/('Predicted PPIs'!V81+'Predicted PPIs'!V80)))*IF(D$73=".", 1, (D81/D80)^(('Summary, PPI''s'!$D81+'Summary, PPI''s'!$D80)/('Predicted PPIs'!V81+'Predicted PPIs'!V80)))*IF(N$73=".", 1, (N81/N80)^(('Summary, PPI''s'!$N81+'Summary, PPI''s'!$N80)/('Predicted PPIs'!V81+'Predicted PPIs'!V80)))*IF(O$73=".", 1, (O81/O80)^(('Summary, PPI''s'!$O81+'Summary, PPI''s'!$O80)/('Predicted PPIs'!V81+'Predicted PPIs'!V80)))*IF(P$73=".", 1, (P81/P80)^(('Summary, PPI''s'!$P81+'Summary, PPI''s'!$P80)/('Predicted PPIs'!V81+'Predicted PPIs'!V80)))</f>
        <v>#VALUE!</v>
      </c>
      <c r="AE81" s="4">
        <f>AE80*IF(E$94=".", 1, (E81/E80)^(('Summary, PPI''s'!$E81+'Summary, PPI''s'!$E80)/('Predicted PPIs'!W81+'Predicted PPIs'!W80)))*IF(F$94=".", 1, (F81/F80)^(('Summary, PPI''s'!$F81+'Summary, PPI''s'!$F80)/('Predicted PPIs'!W81+'Predicted PPIs'!W80)))*IF(G$94=".", 1, (G81/G80)^(('Summary, PPI''s'!$G81+'Summary, PPI''s'!$G80)/('Predicted PPIs'!W81+'Predicted PPIs'!W80)))*IF(H$94=".", 1, (H81/H80)^(('Summary, PPI''s'!$H81+'Summary, PPI''s'!$H80)/('Predicted PPIs'!W81+'Predicted PPIs'!W80)))*IF(I$94=".", 1, (I81/I80)^(('Summary, PPI''s'!$I81+'Summary, PPI''s'!$I80)/('Predicted PPIs'!W81+'Predicted PPIs'!W80)))*IF(J$94=".", 1, (J81/J80)^(('Summary, PPI''s'!$J81+'Summary, PPI''s'!$J80)/('Predicted PPIs'!W81+'Predicted PPIs'!W80)))*IF(K$94=".", 1, (K81/K80)^(('Summary, PPI''s'!$K81+'Summary, PPI''s'!$K80)/('Predicted PPIs'!W81+'Predicted PPIs'!W80)))*IF(L$94=".", 1, (L81/L80)^(('Summary, PPI''s'!$L81+'Summary, PPI''s'!$L80)/('Predicted PPIs'!W81+'Predicted PPIs'!W80)))*IF(M$94=".", 1, (M81/M80)^(('Summary, PPI''s'!$M81+'Summary, PPI''s'!$M80)/('Predicted PPIs'!W81+'Predicted PPIs'!W80)))*IF(B$94=".", 1, (B81/B80)^(('Summary, PPI''s'!$B81+'Summary, PPI''s'!$B80)/('Predicted PPIs'!W81+'Predicted PPIs'!W80)))*IF(C$94=".", 1, (C81/C80)^(('Summary, PPI''s'!$C81+'Summary, PPI''s'!$C80)/('Predicted PPIs'!W81+'Predicted PPIs'!W80)))*IF(D$94=".", 1, (D81/D80)^(('Summary, PPI''s'!$D81+'Summary, PPI''s'!$D80)/('Predicted PPIs'!W81+'Predicted PPIs'!W80)))*IF(N$94=".", 1, (N81/N80)^(('Summary, PPI''s'!$N81+'Summary, PPI''s'!$N80)/('Predicted PPIs'!W81+'Predicted PPIs'!W80)))*IF(O$94=".", 1, (O81/O80)^(('Summary, PPI''s'!$O81+'Summary, PPI''s'!$O80)/('Predicted PPIs'!W81+'Predicted PPIs'!W80)))*IF(P$94=".", 1, (P81/P80)^(('Summary, PPI''s'!$P81+'Summary, PPI''s'!$P80)/('Predicted PPIs'!W81+'Predicted PPIs'!W80)))</f>
        <v>3.0284716009710175</v>
      </c>
      <c r="AF81" s="4">
        <f>AF80*IF(E$123=".", 1, (E81/E80)^(('Summary, PPI''s'!$E81+'Summary, PPI''s'!$E80)/('Predicted PPIs'!X81+'Predicted PPIs'!X80)))*IF(F$123=".", 1, (F81/F80)^(('Summary, PPI''s'!$F81+'Summary, PPI''s'!$F80)/('Predicted PPIs'!X81+'Predicted PPIs'!X80)))*IF(G$123=".", 1, (G81/G80)^(('Summary, PPI''s'!$G81+'Summary, PPI''s'!$G80)/('Predicted PPIs'!X81+'Predicted PPIs'!X80)))*IF(H$123=".", 1, (H81/H80)^(('Summary, PPI''s'!$H81+'Summary, PPI''s'!$H80)/('Predicted PPIs'!X81+'Predicted PPIs'!X80)))*IF(I$123=".", 1, (I81/I80)^(('Summary, PPI''s'!$I81+'Summary, PPI''s'!$I80)/('Predicted PPIs'!X81+'Predicted PPIs'!X80)))*IF(J$123=".", 1, (J81/J80)^(('Summary, PPI''s'!$J81+'Summary, PPI''s'!$J80)/('Predicted PPIs'!X81+'Predicted PPIs'!X80)))*IF(K$123=".", 1, (K81/K80)^(('Summary, PPI''s'!$K81+'Summary, PPI''s'!$K80)/('Predicted PPIs'!X81+'Predicted PPIs'!X80)))*IF(L$123=".", 1, (L81/L80)^(('Summary, PPI''s'!$L81+'Summary, PPI''s'!$L80)/('Predicted PPIs'!X81+'Predicted PPIs'!X80)))*IF(M$123=".", 1, (M81/M80)^(('Summary, PPI''s'!$M81+'Summary, PPI''s'!$M80)/('Predicted PPIs'!X81+'Predicted PPIs'!X80)))*IF(B$123=".", 1, (B81/B80)^(('Summary, PPI''s'!$B81+'Summary, PPI''s'!$B80)/('Predicted PPIs'!X81+'Predicted PPIs'!X80)))*IF(C$123=".", 1, (C81/C80)^(('Summary, PPI''s'!$C81+'Summary, PPI''s'!$C80)/('Predicted PPIs'!X81+'Predicted PPIs'!X80)))*IF(D$123=".", 1, (D81/D80)^(('Summary, PPI''s'!$D81+'Summary, PPI''s'!$D80)/('Predicted PPIs'!X81+'Predicted PPIs'!X80)))*IF(N$123=".", 1, (N81/N80)^(('Summary, PPI''s'!$N81+'Summary, PPI''s'!$N80)/('Predicted PPIs'!X81+'Predicted PPIs'!X80)))*IF(O$123=".", 1, (O81/O80)^(('Summary, PPI''s'!$O81+'Summary, PPI''s'!$O80)/('Predicted PPIs'!X81+'Predicted PPIs'!X80)))*IF(P$123=".", 1, (P81/P80)^(('Summary, PPI''s'!$P81+'Summary, PPI''s'!$P80)/('Predicted PPIs'!X81+'Predicted PPIs'!X80)))</f>
        <v>2.6503241062713396</v>
      </c>
      <c r="AH81" s="13">
        <f t="shared" si="152"/>
        <v>4.1415307145221316</v>
      </c>
      <c r="AJ81" s="4">
        <v>89</v>
      </c>
      <c r="AK81" s="4">
        <v>-1.758</v>
      </c>
      <c r="AL81" s="4">
        <v>-5.1920000000000002</v>
      </c>
      <c r="AM81" s="4">
        <v>-0.82099999999999995</v>
      </c>
      <c r="AN81" s="4">
        <f t="shared" si="176"/>
        <v>118.68499073502161</v>
      </c>
      <c r="AO81" s="4">
        <v>10.4</v>
      </c>
      <c r="AP81" s="4">
        <f t="shared" si="177"/>
        <v>-0.9621390374331551</v>
      </c>
      <c r="AQ81" s="4">
        <f t="shared" si="178"/>
        <v>-1.8188877005347592</v>
      </c>
      <c r="AR81" s="4">
        <f t="shared" si="148"/>
        <v>-8.8599079818722185E-5</v>
      </c>
      <c r="AS81" s="4">
        <v>-0.55700000000000005</v>
      </c>
      <c r="AT81" s="4">
        <v>8.83</v>
      </c>
      <c r="AU81" s="4">
        <v>16.100999999999999</v>
      </c>
      <c r="AV81" s="4">
        <v>9.1620000000000008</v>
      </c>
      <c r="AW81" s="4">
        <v>5.9630000000000001</v>
      </c>
      <c r="AX81" s="4">
        <f t="shared" si="179"/>
        <v>8.4108365353826411</v>
      </c>
      <c r="AY81" s="4">
        <v>11.218999999999999</v>
      </c>
      <c r="AZ81" s="4">
        <v>3.7890000000000001</v>
      </c>
      <c r="BA81" s="4">
        <v>10.189</v>
      </c>
      <c r="BB81" s="4">
        <f t="shared" si="150"/>
        <v>58.278568400744284</v>
      </c>
      <c r="BC81" s="4">
        <v>8.3940000000000001</v>
      </c>
      <c r="BG81" s="4">
        <f t="shared" si="172"/>
        <v>9.9715980609262473</v>
      </c>
      <c r="BI81" s="4">
        <f>BI$13*'[2]Ordinary Experience'!$D$345/'[2]Ordinary Experience'!$D$413</f>
        <v>135796032.59148577</v>
      </c>
      <c r="BJ81" s="4">
        <f>'[2]Ordinary Experience'!$E$345</f>
        <v>25.368948273057594</v>
      </c>
      <c r="BL81" s="4">
        <f t="shared" si="151"/>
        <v>24.825262484539699</v>
      </c>
      <c r="BM81" s="4">
        <f t="shared" si="153"/>
        <v>-5.5464575601593236E-2</v>
      </c>
      <c r="BO81" s="4" t="str">
        <f>IF(OR('Summary, hourly ad costs'!R81=-9999,'Summary, PPI''s'!R81="."),".",(('Summary, hourly ad costs'!B81/'Summary, hourly ad costs'!R81)*100/('Summary, hourly ad costs'!B$11/'Summary, hourly ad costs'!R$11))/('Summary, PPI''s'!R81))</f>
        <v>.</v>
      </c>
      <c r="BP81" s="4" t="str">
        <f>IF(OR('Summary, hourly ad costs'!S81=-9999,'Summary, PPI''s'!S81="."),".",(('Summary, hourly ad costs'!C81/'Summary, hourly ad costs'!S81)*100/('Summary, hourly ad costs'!C$11/'Summary, hourly ad costs'!S$11))/('Summary, PPI''s'!S81))</f>
        <v>.</v>
      </c>
      <c r="BQ81" s="4" t="str">
        <f>IF(OR('Summary, hourly ad costs'!T81=-9999,'Summary, PPI''s'!T81="."),".",(('Summary, hourly ad costs'!D81/'Summary, hourly ad costs'!T81)*100/('Summary, hourly ad costs'!D$11/'Summary, hourly ad costs'!T$11))/('Summary, PPI''s'!T81))</f>
        <v>.</v>
      </c>
      <c r="BR81" s="4" t="str">
        <f>IF(OR('Summary, hourly ad costs'!U81=-9999,'Summary, PPI''s'!U81="."),".",(('Summary, hourly ad costs'!E81/'Summary, hourly ad costs'!U81)*100/('Summary, hourly ad costs'!E$11/'Summary, hourly ad costs'!U$11))/('Summary, PPI''s'!U81))</f>
        <v>.</v>
      </c>
      <c r="BS81" s="4" t="str">
        <f>IF(OR('Summary, hourly ad costs'!V81=-9999,'Summary, PPI''s'!V81="."),".",(('Summary, hourly ad costs'!F81/'Summary, hourly ad costs'!V81)*100/('Summary, hourly ad costs'!F$11/'Summary, hourly ad costs'!V$11))/('Summary, PPI''s'!V81))</f>
        <v>.</v>
      </c>
      <c r="BT81" s="4" t="str">
        <f>IF(OR('Summary, hourly ad costs'!W81=-9999,'Summary, PPI''s'!W81="."),".",(('Summary, hourly ad costs'!G81/'Summary, hourly ad costs'!W81)*100/('Summary, hourly ad costs'!G$11/'Summary, hourly ad costs'!W$11))/('Summary, PPI''s'!W81))</f>
        <v>.</v>
      </c>
      <c r="BU81" s="4" t="str">
        <f>IF(OR('Summary, hourly ad costs'!X81=-9999,'Summary, PPI''s'!X81="."),".",(('Summary, hourly ad costs'!H81/'Summary, hourly ad costs'!X81)*100/('Summary, hourly ad costs'!H$11/'Summary, hourly ad costs'!X$11))/('Summary, PPI''s'!X81))</f>
        <v>.</v>
      </c>
      <c r="BV81" s="4" t="str">
        <f>IF(OR('Summary, hourly ad costs'!Y81=-9999,'Summary, PPI''s'!Y81="."),".",(('Summary, hourly ad costs'!I81/'Summary, hourly ad costs'!Y81)*100/('Summary, hourly ad costs'!I$11/'Summary, hourly ad costs'!Y$11))/('Summary, PPI''s'!Y81))</f>
        <v>.</v>
      </c>
      <c r="BW81" s="4" t="str">
        <f>IF(OR('Summary, hourly ad costs'!Z81=-9999,'Summary, PPI''s'!Z81="."),".",(('Summary, hourly ad costs'!J81/'Summary, hourly ad costs'!Z81)*100/('Summary, hourly ad costs'!J$11/'Summary, hourly ad costs'!Z$11))/('Summary, PPI''s'!Z81))</f>
        <v>.</v>
      </c>
      <c r="BX81" s="4" t="str">
        <f>IF(OR('Summary, hourly ad costs'!AA81=-9999,'Summary, PPI''s'!AA81="."),".",(('Summary, hourly ad costs'!K81/'Summary, hourly ad costs'!AA81)*100/('Summary, hourly ad costs'!K$11/'Summary, hourly ad costs'!AA$11))/('Summary, PPI''s'!AA81))</f>
        <v>.</v>
      </c>
      <c r="BY81" s="4" t="str">
        <f>IF(OR('Summary, hourly ad costs'!AB81=-9999,'Summary, PPI''s'!AB81="."),".",(('Summary, hourly ad costs'!L81/'Summary, hourly ad costs'!AB81)*100/('Summary, hourly ad costs'!L$11/'Summary, hourly ad costs'!AB$11))/('Summary, PPI''s'!AB81))</f>
        <v>.</v>
      </c>
      <c r="BZ81" s="4" t="str">
        <f>IF(OR('Summary, hourly ad costs'!AC81=-9999,'Summary, PPI''s'!AC81="."),".",(('Summary, hourly ad costs'!M81/'Summary, hourly ad costs'!AC81)*100/('Summary, hourly ad costs'!M$11/'Summary, hourly ad costs'!AC$11))/('Summary, PPI''s'!AC81))</f>
        <v>.</v>
      </c>
      <c r="CA81" s="4" t="str">
        <f>IF(OR('Summary, hourly ad costs'!AD81=-9999,'Summary, PPI''s'!AD81="."),".",(('Summary, hourly ad costs'!N81/'Summary, hourly ad costs'!AD81)*100/('Summary, hourly ad costs'!N$11/'Summary, hourly ad costs'!AD$11))/('Summary, PPI''s'!AD81))</f>
        <v>.</v>
      </c>
      <c r="CB81" s="4" t="str">
        <f>IF(OR('Summary, hourly ad costs'!AE81=-9999,'Summary, PPI''s'!AE81="."),".",(('Summary, hourly ad costs'!O81/'Summary, hourly ad costs'!AE81)*100/('Summary, hourly ad costs'!O$11/'Summary, hourly ad costs'!AE$11))/('Summary, PPI''s'!AE81))</f>
        <v>.</v>
      </c>
      <c r="CC81" s="4" t="str">
        <f>IF(OR('Summary, hourly ad costs'!AF81=-9999,'Summary, PPI''s'!AF81="."),".",(('Summary, hourly ad costs'!P81/'Summary, hourly ad costs'!AF81)*100/('Summary, hourly ad costs'!P$11/'Summary, hourly ad costs'!AF$11))/('Summary, PPI''s'!AF81))</f>
        <v>.</v>
      </c>
      <c r="CE81" s="4">
        <f t="shared" si="134"/>
        <v>-8.4359721179778357E-2</v>
      </c>
      <c r="CF81" s="4" t="str">
        <f t="shared" si="135"/>
        <v>.</v>
      </c>
      <c r="CG81" s="4" t="str">
        <f t="shared" si="136"/>
        <v>.</v>
      </c>
      <c r="CH81" s="4">
        <f t="shared" si="145"/>
        <v>-9.2892016236028191E-2</v>
      </c>
      <c r="CI81" s="4">
        <f t="shared" si="145"/>
        <v>-0.10379579265274545</v>
      </c>
      <c r="CJ81" s="4" t="str">
        <f t="shared" si="147"/>
        <v>.</v>
      </c>
      <c r="CK81" s="4">
        <f t="shared" si="149"/>
        <v>7.6781452879863916E-3</v>
      </c>
      <c r="CL81" s="4">
        <f t="shared" si="130"/>
        <v>-7.2836257069029284E-2</v>
      </c>
      <c r="CM81" s="4">
        <f t="shared" si="130"/>
        <v>-1.2886814598738482E-2</v>
      </c>
      <c r="CN81" s="4">
        <f t="shared" si="89"/>
        <v>-8.7867707449461194E-2</v>
      </c>
      <c r="CO81" s="4">
        <f t="shared" si="180"/>
        <v>-0.37026291573940168</v>
      </c>
      <c r="CP81" s="4">
        <f t="shared" si="180"/>
        <v>0.33775982217095574</v>
      </c>
      <c r="CQ81" s="4" t="str">
        <f t="shared" si="173"/>
        <v>.</v>
      </c>
      <c r="CR81" s="4" t="str">
        <f t="shared" si="174"/>
        <v>.</v>
      </c>
      <c r="CS81" s="4" t="str">
        <f t="shared" si="175"/>
        <v>.</v>
      </c>
      <c r="CU81" s="5">
        <f>IF(CU80=".", ".", IF('Summary, PPI''s'!R81=".",IF(OR('Summary, hourly ad costs'!R81=-9999,'Summary, hourly ad costs'!R81=0), ".", 'Predicted PPIs'!CU80*('Summary, hourly ad costs'!B81/'Summary, hourly ad costs'!R81)/('Summary, hourly ad costs'!B80/'Summary, hourly ad costs'!R80)/(1-CE80)), 'Summary, PPI''s'!R81))</f>
        <v>21.920173360570733</v>
      </c>
      <c r="CV81" s="5" t="str">
        <f>IF(CV80=".", ".", IF('Summary, PPI''s'!S81=".",IF(OR('Summary, hourly ad costs'!S81=-9999,'Summary, hourly ad costs'!S81=0), ".", 'Predicted PPIs'!CV80*('Summary, hourly ad costs'!C81/'Summary, hourly ad costs'!S81)/('Summary, hourly ad costs'!C80/'Summary, hourly ad costs'!S80)/(1-CF80)), 'Summary, PPI''s'!S81))</f>
        <v>.</v>
      </c>
      <c r="CW81" s="5" t="str">
        <f>IF(CW80=".", ".", IF('Summary, PPI''s'!T81=".",IF(OR('Summary, hourly ad costs'!T81=-9999,'Summary, hourly ad costs'!T81=0), ".", 'Predicted PPIs'!CW80*('Summary, hourly ad costs'!D81/'Summary, hourly ad costs'!T81)/('Summary, hourly ad costs'!D80/'Summary, hourly ad costs'!T80)/(1-CG80)), 'Summary, PPI''s'!T81))</f>
        <v>.</v>
      </c>
      <c r="CX81" s="5">
        <f>IF(CX80=".", ".", IF('Summary, PPI''s'!U81=".",IF(OR('Summary, hourly ad costs'!U81=-9999,'Summary, hourly ad costs'!U81=0), ".", 'Predicted PPIs'!CX80*('Summary, hourly ad costs'!E81/'Summary, hourly ad costs'!U81)/('Summary, hourly ad costs'!E80/'Summary, hourly ad costs'!U80)/(1-CH80)), 'Summary, PPI''s'!U81))</f>
        <v>2.1324142764931837</v>
      </c>
      <c r="CY81" s="5">
        <f>IF(CY80=".", ".", IF('Summary, PPI''s'!V81=".",IF(OR('Summary, hourly ad costs'!V81=-9999,'Summary, hourly ad costs'!V81=0), ".", 'Predicted PPIs'!CY80*('Summary, hourly ad costs'!F81/'Summary, hourly ad costs'!V81)/('Summary, hourly ad costs'!F80/'Summary, hourly ad costs'!V80)/(1-CI80)), 'Summary, PPI''s'!V81))</f>
        <v>4.4418265321931587</v>
      </c>
      <c r="CZ81" s="5" t="str">
        <f>IF(CZ80=".", ".", IF('Summary, PPI''s'!W81=".",IF(OR('Summary, hourly ad costs'!W81=-9999,'Summary, hourly ad costs'!W81=0), ".", 'Predicted PPIs'!CZ80*('Summary, hourly ad costs'!G81/'Summary, hourly ad costs'!W81)/('Summary, hourly ad costs'!G80/'Summary, hourly ad costs'!W80)/(1-CJ80)), 'Summary, PPI''s'!W81))</f>
        <v>.</v>
      </c>
      <c r="DA81" s="5">
        <f>IF(DA80=".", ".", IF('Summary, PPI''s'!X81=".",IF(OR('Summary, hourly ad costs'!X81=-9999,'Summary, hourly ad costs'!X81=0), ".", 'Predicted PPIs'!DA80*('Summary, hourly ad costs'!H81/'Summary, hourly ad costs'!X81)/('Summary, hourly ad costs'!H80/'Summary, hourly ad costs'!X80)/(1-CK80)), 'Summary, PPI''s'!X81))</f>
        <v>2.1167323041735986</v>
      </c>
      <c r="DB81" s="5">
        <f>IF(DB80=".", ".", IF('Summary, PPI''s'!Y81=".",IF(OR('Summary, hourly ad costs'!Y81=-9999,'Summary, hourly ad costs'!Y81=0), ".", 'Predicted PPIs'!DB80*('Summary, hourly ad costs'!I81/'Summary, hourly ad costs'!Y81)/('Summary, hourly ad costs'!I80/'Summary, hourly ad costs'!Y80)/(1-CL80)), 'Summary, PPI''s'!Y81))</f>
        <v>7.9071176302476838</v>
      </c>
      <c r="DC81" s="5" t="str">
        <f>IF(DC80=".", ".", IF('Summary, PPI''s'!Z81=".",IF(OR('Summary, hourly ad costs'!Z81=-9999,'Summary, hourly ad costs'!Z81=0), ".", 'Predicted PPIs'!DC80*('Summary, hourly ad costs'!J81/'Summary, hourly ad costs'!Z81)/('Summary, hourly ad costs'!J80/'Summary, hourly ad costs'!Z80)/(1-CM80)), 'Summary, PPI''s'!Z81))</f>
        <v>.</v>
      </c>
      <c r="DD81" s="5" t="str">
        <f>IF(DD80=".", ".", IF('Summary, PPI''s'!AA81=".",IF(OR('Summary, hourly ad costs'!AA81=-9999,'Summary, hourly ad costs'!AA81=0), ".", 'Predicted PPIs'!DD80*('Summary, hourly ad costs'!K81/'Summary, hourly ad costs'!AA81)/('Summary, hourly ad costs'!K80/'Summary, hourly ad costs'!AA80)/(1-CN80)), 'Summary, PPI''s'!AA81))</f>
        <v>.</v>
      </c>
      <c r="DE81" s="5" t="str">
        <f>IF(DE80=".", ".", IF('Summary, PPI''s'!AB81=".",IF(OR('Summary, hourly ad costs'!AB81=-9999,'Summary, hourly ad costs'!AB81=0), ".", 'Predicted PPIs'!DE80*('Summary, hourly ad costs'!L81/'Summary, hourly ad costs'!AB81)/('Summary, hourly ad costs'!L80/'Summary, hourly ad costs'!AB80)/(1-CO80)), 'Summary, PPI''s'!AB81))</f>
        <v>.</v>
      </c>
      <c r="DF81" s="5" t="str">
        <f>IF(DF80=".", ".", IF('Summary, PPI''s'!AC81=".",IF(OR('Summary, hourly ad costs'!AC81=-9999,'Summary, hourly ad costs'!AC81=0), ".", 'Predicted PPIs'!DF80*('Summary, hourly ad costs'!M81/'Summary, hourly ad costs'!AC81)/('Summary, hourly ad costs'!M80/'Summary, hourly ad costs'!AC80)/(1-CP80)), 'Summary, PPI''s'!AC81))</f>
        <v>.</v>
      </c>
      <c r="DG81" s="5" t="str">
        <f>IF(DG80=".", ".", IF('Summary, PPI''s'!AD81=".",IF(OR('Summary, hourly ad costs'!AD81=-9999,'Summary, hourly ad costs'!AD81=0), ".", 'Predicted PPIs'!DG80*('Summary, hourly ad costs'!N81/'Summary, hourly ad costs'!AD81)/('Summary, hourly ad costs'!N80/'Summary, hourly ad costs'!AD80)/(1-CQ80)), 'Summary, PPI''s'!AD81))</f>
        <v>.</v>
      </c>
      <c r="DH81" s="5" t="str">
        <f>IF(DH80=".", ".", IF('Summary, PPI''s'!AE81=".",IF(OR('Summary, hourly ad costs'!AE81=-9999,'Summary, hourly ad costs'!AE81=0), ".", 'Predicted PPIs'!DH80*('Summary, hourly ad costs'!O81/'Summary, hourly ad costs'!AE81)/('Summary, hourly ad costs'!O80/'Summary, hourly ad costs'!AE80)/(1-CR80)), 'Summary, PPI''s'!AE81))</f>
        <v>.</v>
      </c>
      <c r="DI81" s="5" t="str">
        <f>IF(DI80=".", ".", IF('Summary, PPI''s'!AF81=".",IF(OR('Summary, hourly ad costs'!AF81=-9999,'Summary, hourly ad costs'!AF81=0), ".", 'Predicted PPIs'!DI80*('Summary, hourly ad costs'!P81/'Summary, hourly ad costs'!AF81)/('Summary, hourly ad costs'!P80/'Summary, hourly ad costs'!AF80)/(1-CS80)), 'Summary, PPI''s'!AF81))</f>
        <v>.</v>
      </c>
      <c r="DK81" s="4">
        <v>2.5920000000000001</v>
      </c>
      <c r="DM81" s="5">
        <f t="shared" si="138"/>
        <v>1.9409635712713591E-2</v>
      </c>
      <c r="DN81" s="4">
        <f t="shared" si="139"/>
        <v>-8.8981843318044433E-3</v>
      </c>
      <c r="DO81" s="4">
        <f t="shared" si="181"/>
        <v>-2.3226799071528494E-2</v>
      </c>
      <c r="DP81" s="5">
        <f t="shared" si="140"/>
        <v>-5.945244855855969E-2</v>
      </c>
      <c r="DQ81" s="5">
        <f t="shared" si="141"/>
        <v>-7.1070756945930125E-2</v>
      </c>
      <c r="DR81" s="4">
        <f t="shared" si="146"/>
        <v>-1.8965232749204843E-2</v>
      </c>
      <c r="DS81" s="5">
        <f t="shared" si="169"/>
        <v>-0.26077824829834229</v>
      </c>
      <c r="DT81" s="5">
        <f t="shared" si="170"/>
        <v>1.3200774887331512E-2</v>
      </c>
      <c r="DU81" s="4">
        <f t="shared" si="171"/>
        <v>-5.3517983395478058E-2</v>
      </c>
      <c r="DV81" s="4">
        <f t="shared" si="131"/>
        <v>2.921388244525092E-3</v>
      </c>
      <c r="DW81" s="4">
        <f t="shared" si="133"/>
        <v>0.14288822279109575</v>
      </c>
      <c r="DX81" s="4">
        <f t="shared" si="133"/>
        <v>-0.44097799524223441</v>
      </c>
      <c r="DY81" s="4">
        <f t="shared" si="108"/>
        <v>-2.7309205800221465E-2</v>
      </c>
      <c r="DZ81" s="4">
        <f t="shared" si="132"/>
        <v>-2.1579015037085668E-2</v>
      </c>
      <c r="EA81" s="4">
        <f t="shared" si="109"/>
        <v>-1.6449056416779149E-2</v>
      </c>
      <c r="EC81" s="1">
        <f t="shared" si="154"/>
        <v>21.920173360570733</v>
      </c>
      <c r="ED81" s="1">
        <f t="shared" si="155"/>
        <v>4.9428238099957689</v>
      </c>
      <c r="EE81" s="1">
        <f t="shared" si="156"/>
        <v>2.8746818864068491</v>
      </c>
      <c r="EF81" s="1">
        <f t="shared" si="157"/>
        <v>2.1324142764931837</v>
      </c>
      <c r="EG81" s="1">
        <f t="shared" si="158"/>
        <v>4.4418265321931587</v>
      </c>
      <c r="EH81" s="1">
        <f t="shared" si="159"/>
        <v>2.9276877191682686</v>
      </c>
      <c r="EI81" s="1">
        <f t="shared" si="160"/>
        <v>2.1167323041735986</v>
      </c>
      <c r="EJ81" s="1">
        <f t="shared" si="161"/>
        <v>7.9071176302476838</v>
      </c>
      <c r="EK81" s="1">
        <f t="shared" si="162"/>
        <v>11.191051330217823</v>
      </c>
      <c r="EL81" s="1">
        <f t="shared" si="163"/>
        <v>2.1081164427192203</v>
      </c>
      <c r="EM81" s="1">
        <f t="shared" si="164"/>
        <v>0.20269612443607007</v>
      </c>
      <c r="EN81" s="1">
        <f t="shared" si="165"/>
        <v>4.7528071983306344</v>
      </c>
      <c r="EO81" s="1">
        <f t="shared" si="166"/>
        <v>1.9421204793909665</v>
      </c>
      <c r="EP81" s="1">
        <f t="shared" si="167"/>
        <v>2.9454989422241904</v>
      </c>
      <c r="EQ81" s="1">
        <f t="shared" si="168"/>
        <v>2.267073534947488</v>
      </c>
      <c r="ES81" s="1">
        <f>IF(EF$26=".", 0, 'Summary, PPI''s'!E81)+IF(EG$26=".", 0, 'Summary, PPI''s'!F81)+IF(EH$26=".", 0, 'Summary, PPI''s'!G81)+IF(EI$26=".", 0, 'Summary, PPI''s'!H81)+IF(EJ$26=".", 0, 'Summary, PPI''s'!I81)+IF(EK$26=".", 0, 'Summary, PPI''s'!J81)+IF(EL$26=".", 0, 'Summary, PPI''s'!K81)+IF(EM$26=".", 0, 'Summary, PPI''s'!L81)+IF(EN$26=".", 0, 'Summary, PPI''s'!M81)+IF(EC$26=".", 0, 'Summary, PPI''s'!B81)+IF(ED$26=".", 0, 'Summary, PPI''s'!C81)+IF(EE$26=".", 0, 'Summary, PPI''s'!D81)+IF(EO$26=".", 0, 'Summary, PPI''s'!N81)+IF(EP$26=".", 0, 'Summary, PPI''s'!O81)+IF(EQ$26=".", 0, 'Summary, PPI''s'!P81)</f>
        <v>2190106.8812772939</v>
      </c>
      <c r="ET81" s="1">
        <f>'Summary, hourly ad costs'!E81+'Summary, hourly ad costs'!F81+'Summary, hourly ad costs'!H81+'Summary, hourly ad costs'!I81+'Summary, hourly ad costs'!J81+'Summary, hourly ad costs'!K81+'Summary, hourly ad costs'!L81+'Summary, hourly ad costs'!M81+'Summary, hourly ad costs'!B81</f>
        <v>1387919.2572100661</v>
      </c>
      <c r="EV81" s="13">
        <f>EV80*IF(EF$26=".", 1, (EF81/EF80)^(('Summary, PPI''s'!$E81+'Summary, PPI''s'!$E80)/('Predicted PPIs'!ES81+'Predicted PPIs'!ES80)))*IF(EG$26=".", 1, (EG81/EG80)^(('Summary, PPI''s'!$F81+'Summary, PPI''s'!$F80)/('Predicted PPIs'!ES81+'Predicted PPIs'!ES80)))*IF(EH$26=".", 1, (EH81/EH80)^(('Summary, PPI''s'!$G81+'Summary, PPI''s'!$G80)/('Predicted PPIs'!ES81+'Predicted PPIs'!ES80)))*IF(EI$26=".", 1, (EI81/EI80)^(('Summary, PPI''s'!$H81+'Summary, PPI''s'!$H80)/('Predicted PPIs'!ES81+'Predicted PPIs'!ES80)))*IF(EJ$26=".", 1, (EJ81/EJ80)^(('Summary, PPI''s'!$I81+'Summary, PPI''s'!$I80)/('Predicted PPIs'!ES81+'Predicted PPIs'!ES80)))*IF(EK$26=".", 1, (EK81/EK80)^(('Summary, PPI''s'!$J81+'Summary, PPI''s'!$J80)/('Predicted PPIs'!ES81+'Predicted PPIs'!ES80)))*IF(EL$26=".", 1, (EL81/EL80)^(('Summary, PPI''s'!$K81+'Summary, PPI''s'!$K80)/('Predicted PPIs'!ES81+'Predicted PPIs'!ES80)))*IF(EM$26=".", 1, (EM81/EM80)^(('Summary, PPI''s'!$L81+'Summary, PPI''s'!$L80)/('Predicted PPIs'!ES81+'Predicted PPIs'!ES80)))*IF(EN$26=".", 1, (EN81/EN80)^(('Summary, PPI''s'!$M81+'Summary, PPI''s'!$M80)/('Predicted PPIs'!ES81+'Predicted PPIs'!ES80)))*IF(EC$26=".", 1, (EC81/EC80)^(('Summary, PPI''s'!$B81+'Summary, PPI''s'!$B80)/('Predicted PPIs'!ES81+'Predicted PPIs'!ES80)))*IF(ED$26=".", 1, (ED81/ED80)^(('Summary, PPI''s'!$C81+'Summary, PPI''s'!$C80)/('Predicted PPIs'!ES81+'Predicted PPIs'!ES80)))*IF(EE$26=".", 1, (EE81/EE80)^(('Summary, PPI''s'!$D81+'Summary, PPI''s'!$D80)/('Predicted PPIs'!ES81+'Predicted PPIs'!ES80)))*IF(EO$26=".", 1, (EO81/EO80)^(('Summary, PPI''s'!$N81+'Summary, PPI''s'!$N80)/('Predicted PPIs'!ES81+'Predicted PPIs'!ES80)))*IF(EP$26=".", 1, (EP81/EP80)^(('Summary, PPI''s'!$O81+'Summary, PPI''s'!$O80)/('Predicted PPIs'!ES81+'Predicted PPIs'!ES80)))*IF(EQ$26=".", 1, (EQ81/EQ80)^(('Summary, PPI''s'!$P81+'Summary, PPI''s'!$P80)/('Predicted PPIs'!ES81+'Predicted PPIs'!ES80)))</f>
        <v>4.1764612787371407</v>
      </c>
      <c r="EW81" s="13">
        <f>EW80*IF(EF$26=".", 1, (EF81/EF80)^(('Summary, PPI''s'!$E81+'Summary, PPI''s'!$E80)/('Predicted PPIs'!ET81+'Predicted PPIs'!ET80)))*IF(EG$26=".", 1, (EG81/EG80)^(('Summary, PPI''s'!$F81+'Summary, PPI''s'!$F80)/('Predicted PPIs'!ET81+'Predicted PPIs'!ET80)))*IF(EH$26=".", 1, (EH81/EH80)^(('Summary, PPI''s'!$G81+'Summary, PPI''s'!$G80)/('Predicted PPIs'!ET81+'Predicted PPIs'!ET80)))*IF(EK$26=".", 1, (EK81/EK80)^(('Summary, PPI''s'!$J81+'Summary, PPI''s'!$J80)/('Predicted PPIs'!ET81+'Predicted PPIs'!ET80)))*IF(EL$26=".", 1, (EL81/EL80)^(('Summary, PPI''s'!$K81+'Summary, PPI''s'!$K80)/('Predicted PPIs'!ET81+'Predicted PPIs'!ET80)))*IF(EM$26=".", 1, (EM81/EM80)^(('Summary, PPI''s'!$L81+'Summary, PPI''s'!$L80)/('Predicted PPIs'!ET81+'Predicted PPIs'!ET80)))*IF(EN$26=".", 1, (EN81/EN80)^(('Summary, PPI''s'!$M81+'Summary, PPI''s'!$M80)/('Predicted PPIs'!ET81+'Predicted PPIs'!ET80)))*IF(EC$26=".", 1, (EC81/EC80)^(('Summary, PPI''s'!$B81+'Summary, PPI''s'!$B80)/('Predicted PPIs'!ET81+'Predicted PPIs'!ET80)))</f>
        <v>6.3473257730334955</v>
      </c>
      <c r="EY81" s="2"/>
    </row>
    <row r="82" spans="1:155" x14ac:dyDescent="0.3">
      <c r="A82" s="4">
        <v>1941</v>
      </c>
      <c r="B82" s="10">
        <f>IF(B81=".", ".", IF('Summary, PPI''s'!R82=".",IF(OR('Summary, hourly ad costs'!R82=-9999,'Summary, hourly ad costs'!R82=0), ".", 'Predicted PPIs'!B81*('Summary, hourly ad costs'!B82/'Summary, hourly ad costs'!R82)/('Summary, hourly ad costs'!B81/'Summary, hourly ad costs'!R81)), 'Summary, PPI''s'!R82))</f>
        <v>24.784936471297712</v>
      </c>
      <c r="C82" s="10" t="str">
        <f>IF(C81=".", ".", IF('Summary, PPI''s'!S82=".",IF(OR('Summary, hourly ad costs'!S82=-9999,'Summary, hourly ad costs'!S82=0), ".", 'Predicted PPIs'!C81*('Summary, hourly ad costs'!C82/'Summary, hourly ad costs'!S82)/('Summary, hourly ad costs'!C81/'Summary, hourly ad costs'!S81)), 'Summary, PPI''s'!S82))</f>
        <v>.</v>
      </c>
      <c r="D82" s="10" t="str">
        <f>IF(D81=".", ".", IF('Summary, PPI''s'!T82=".",IF(OR('Summary, hourly ad costs'!T82=-9999,'Summary, hourly ad costs'!T82=0), ".", 'Predicted PPIs'!D81*('Summary, hourly ad costs'!D82/'Summary, hourly ad costs'!T82)/('Summary, hourly ad costs'!D81/'Summary, hourly ad costs'!T81)), 'Summary, PPI''s'!T82))</f>
        <v>.</v>
      </c>
      <c r="E82" s="10">
        <f>IF(E81=".", ".", IF('Summary, PPI''s'!U82=".",IF(OR('Summary, hourly ad costs'!U82=-9999,'Summary, hourly ad costs'!U82=0), ".", 'Predicted PPIs'!E81*('Summary, hourly ad costs'!E82/'Summary, hourly ad costs'!U82)/('Summary, hourly ad costs'!E81/'Summary, hourly ad costs'!U81)), 'Summary, PPI''s'!U82))</f>
        <v>1.7001537293254716</v>
      </c>
      <c r="F82" s="10">
        <f>IF(F81=".", ".", IF('Summary, PPI''s'!V82=".",IF(OR('Summary, hourly ad costs'!V82=-9999,'Summary, hourly ad costs'!V82=0), ".", 'Predicted PPIs'!F81*('Summary, hourly ad costs'!F82/'Summary, hourly ad costs'!V82)/('Summary, hourly ad costs'!F81/'Summary, hourly ad costs'!V81)), 'Summary, PPI''s'!V82))</f>
        <v>3.3246540816411381</v>
      </c>
      <c r="G82" s="10" t="str">
        <f>IF(G81=".", ".", IF('Summary, PPI''s'!W82=".",IF(OR('Summary, hourly ad costs'!W82=-9999,'Summary, hourly ad costs'!W82=0), ".", 'Predicted PPIs'!G81*('Summary, hourly ad costs'!G82/'Summary, hourly ad costs'!W82)/('Summary, hourly ad costs'!G81/'Summary, hourly ad costs'!W81)), 'Summary, PPI''s'!W82))</f>
        <v>.</v>
      </c>
      <c r="H82" s="10">
        <f>IF(H81=".", ".", IF('Summary, PPI''s'!X82=".",IF(OR('Summary, hourly ad costs'!X82=-9999,'Summary, hourly ad costs'!X82=0), ".", 'Predicted PPIs'!H81*('Summary, hourly ad costs'!H82/'Summary, hourly ad costs'!X82)/('Summary, hourly ad costs'!H81/'Summary, hourly ad costs'!X81)), 'Summary, PPI''s'!X82))</f>
        <v>2.5546555929056027</v>
      </c>
      <c r="I82" s="10">
        <f>IF(I81=".", ".", IF('Summary, PPI''s'!Y82=".",IF(OR('Summary, hourly ad costs'!Y82=-9999,'Summary, hourly ad costs'!Y82=0), ".", 'Predicted PPIs'!I81*('Summary, hourly ad costs'!I82/'Summary, hourly ad costs'!Y82)/('Summary, hourly ad costs'!I81/'Summary, hourly ad costs'!Y81)), 'Summary, PPI''s'!Y82))</f>
        <v>5.3675322726260042</v>
      </c>
      <c r="J82" s="10" t="str">
        <f>IF(J81=".", ".", IF('Summary, PPI''s'!Z82=".",IF(OR('Summary, hourly ad costs'!Z82=-9999,'Summary, hourly ad costs'!Z82=0), ".", 'Predicted PPIs'!J81*('Summary, hourly ad costs'!J82/'Summary, hourly ad costs'!Z82)/('Summary, hourly ad costs'!J81/'Summary, hourly ad costs'!Z81)), 'Summary, PPI''s'!Z82))</f>
        <v>.</v>
      </c>
      <c r="K82" s="10" t="str">
        <f>IF(K81=".", ".", IF('Summary, PPI''s'!AA82=".",IF(OR('Summary, hourly ad costs'!AA82=-9999,'Summary, hourly ad costs'!AA82=0), ".", 'Predicted PPIs'!K81*('Summary, hourly ad costs'!K82/'Summary, hourly ad costs'!AA82)/('Summary, hourly ad costs'!K81/'Summary, hourly ad costs'!AA81)), 'Summary, PPI''s'!AA82))</f>
        <v>.</v>
      </c>
      <c r="L82" s="10" t="str">
        <f>IF(L81=".", ".", IF('Summary, PPI''s'!AB82=".",IF(OR('Summary, hourly ad costs'!AB82=-9999,'Summary, hourly ad costs'!AB82=0), ".", 'Predicted PPIs'!L81*('Summary, hourly ad costs'!L82/'Summary, hourly ad costs'!AB82)/('Summary, hourly ad costs'!L81/'Summary, hourly ad costs'!AB81)), 'Summary, PPI''s'!AB82))</f>
        <v>.</v>
      </c>
      <c r="M82" s="10" t="str">
        <f>IF(M81=".", ".", IF('Summary, PPI''s'!AC82=".",IF(OR('Summary, hourly ad costs'!AC82=-9999,'Summary, hourly ad costs'!AC82=0), ".", 'Predicted PPIs'!M81*('Summary, hourly ad costs'!M82/'Summary, hourly ad costs'!AC82)/('Summary, hourly ad costs'!M81/'Summary, hourly ad costs'!AC81)), 'Summary, PPI''s'!AC82))</f>
        <v>.</v>
      </c>
      <c r="N82" s="10" t="str">
        <f>IF(N81=".", ".", IF('Summary, PPI''s'!AD82=".",IF(OR('Summary, hourly ad costs'!AD82=-9999,'Summary, hourly ad costs'!AD82=0), ".", 'Predicted PPIs'!N81*('Summary, hourly ad costs'!N82/'Summary, hourly ad costs'!AD82)/('Summary, hourly ad costs'!N81/'Summary, hourly ad costs'!AD81)), 'Summary, PPI''s'!AD82))</f>
        <v>.</v>
      </c>
      <c r="O82" s="10" t="str">
        <f>IF(O81=".", ".", IF('Summary, PPI''s'!AE82=".",IF(OR('Summary, hourly ad costs'!AE82=-9999,'Summary, hourly ad costs'!AE82=0), ".", 'Predicted PPIs'!O81*('Summary, hourly ad costs'!O82/'Summary, hourly ad costs'!AE82)/('Summary, hourly ad costs'!O81/'Summary, hourly ad costs'!AE81)), 'Summary, PPI''s'!AE82))</f>
        <v>.</v>
      </c>
      <c r="P82" s="10" t="str">
        <f>IF(P81=".", ".", IF('Summary, PPI''s'!AF82=".",IF(OR('Summary, hourly ad costs'!AF82=-9999,'Summary, hourly ad costs'!AF82=0), ".", 'Predicted PPIs'!P81*('Summary, hourly ad costs'!P82/'Summary, hourly ad costs'!AF82)/('Summary, hourly ad costs'!P81/'Summary, hourly ad costs'!AF81)), 'Summary, PPI''s'!AF82))</f>
        <v>.</v>
      </c>
      <c r="R82" s="1">
        <f>IF(E$26=".", 0, 'Summary, PPI''s'!E82)+IF(F$26=".", 0, 'Summary, PPI''s'!F82)+IF(G$26=".", 0, 'Summary, PPI''s'!G82)+IF(H$26=".", 0, 'Summary, PPI''s'!H82)+IF(I$26=".", 0, 'Summary, PPI''s'!I82)+IF(J$26=".", 0, 'Summary, PPI''s'!J82)+IF(K$26=".", 0, 'Summary, PPI''s'!K82)+IF(L$26=".", 0, 'Summary, PPI''s'!L82)+IF(M$26=".", 0, 'Summary, PPI''s'!M82)+IF(B$26=".", 0, 'Summary, PPI''s'!B82)+IF(C$26=".", 0, 'Summary, PPI''s'!C82)+IF(D$26=".", 0, 'Summary, PPI''s'!D82)+IF(N$26=".", 0, 'Summary, PPI''s'!N82)+IF(O$26=".", 0, 'Summary, PPI''s'!O82)+IF(P$26=".", 0, 'Summary, PPI''s'!P82)</f>
        <v>2260463.7996949446</v>
      </c>
      <c r="S82" s="1">
        <f>IF(E$36=".", 0, 'Summary, PPI''s'!E82)+IF(F$36=".", 0, 'Summary, PPI''s'!F82)+IF(G$36=".", 0, 'Summary, PPI''s'!G82)+IF(H$36=".", 0, 'Summary, PPI''s'!H82)+IF(I$36=".", 0, 'Summary, PPI''s'!I82)+IF(J$36=".", 0, 'Summary, PPI''s'!J82)+IF(K$36=".", 0, 'Summary, PPI''s'!K82)+IF(L$36=".", 0, 'Summary, PPI''s'!L82)+IF(M$36=".", 0, 'Summary, PPI''s'!M82)+IF(B$36=".", 0, 'Summary, PPI''s'!B82)+IF(C$36=".", 0, 'Summary, PPI''s'!C82)+IF(D$36=".", 0, 'Summary, PPI''s'!D82)+IF(N$36=".", 0, 'Summary, PPI''s'!N82)+IF(O$36=".", 0, 'Summary, PPI''s'!O82)+IF(P$36=".", 0, 'Summary, PPI''s'!P82)</f>
        <v>2260463.7996949446</v>
      </c>
      <c r="T82" s="1">
        <f>IF(E$46=".", 0, 'Summary, PPI''s'!E82)+IF(F$46=".", 0, 'Summary, PPI''s'!F82)+IF(G$46=".", 0, 'Summary, PPI''s'!G82)+IF(H$46=".", 0, 'Summary, PPI''s'!H82)+IF(I$46=".", 0, 'Summary, PPI''s'!I82)+IF(J$46=".", 0, 'Summary, PPI''s'!J82)+IF(K$46=".", 0, 'Summary, PPI''s'!K82)+IF(L$46=".", 0, 'Summary, PPI''s'!L82)+IF(M$46=".", 0, 'Summary, PPI''s'!M82)+IF(B$46=".", 0, 'Summary, PPI''s'!B82)+IF(C$46=".", 0, 'Summary, PPI''s'!C82)+IF(D$46=".", 0, 'Summary, PPI''s'!D82)+IF(N$46=".", 0, 'Summary, PPI''s'!N82)+IF(O$46=".", 0, 'Summary, PPI''s'!O82)+IF(P$46=".", 0, 'Summary, PPI''s'!P82)</f>
        <v>1853658.4182799386</v>
      </c>
      <c r="U82" s="1">
        <f>IF(E$60=".", 0, 'Summary, PPI''s'!E82)+IF(F$60=".", 0, 'Summary, PPI''s'!F82)+IF(G$60=".", 0, 'Summary, PPI''s'!G82)+IF(H$60=".", 0, 'Summary, PPI''s'!H82)+IF(I$60=".", 0, 'Summary, PPI''s'!I82)+IF(J$60=".", 0, 'Summary, PPI''s'!J82)+IF(K$60=".", 0, 'Summary, PPI''s'!K82)+IF(L$60=".", 0, 'Summary, PPI''s'!L82)+IF(M$60=".", 0, 'Summary, PPI''s'!M82)+IF(B$60=".", 0, 'Summary, PPI''s'!B82)+IF(C$60=".", 0, 'Summary, PPI''s'!C82)+IF(D$60=".", 0, 'Summary, PPI''s'!D82)+IF(N$60=".", 0, 'Summary, PPI''s'!N82)+IF(O$60=".", 0, 'Summary, PPI''s'!O82)+IF(P$60=".", 0, 'Summary, PPI''s'!P82)</f>
        <v>1697366.5596512547</v>
      </c>
      <c r="V82" s="1">
        <f>IF(E$73=".", 0, 'Summary, PPI''s'!E82)+IF(F$73=".", 0, 'Summary, PPI''s'!F82)+IF(G$73=".", 0, 'Summary, PPI''s'!G82)+IF(H$73=".", 0, 'Summary, PPI''s'!H82)+IF(I$73=".", 0, 'Summary, PPI''s'!I82)+IF(J$73=".", 0, 'Summary, PPI''s'!J82)+IF(K$73=".", 0, 'Summary, PPI''s'!K82)+IF(L$73=".", 0, 'Summary, PPI''s'!L82)+IF(M$73=".", 0, 'Summary, PPI''s'!M82)+IF(B$73=".", 0, 'Summary, PPI''s'!B82)+IF(C$73=".", 0, 'Summary, PPI''s'!C82)+IF(D$73=".", 0, 'Summary, PPI''s'!D82)+IF(N$73=".", 0, 'Summary, PPI''s'!N82)+IF(O$73=".", 0, 'Summary, PPI''s'!O82)+IF(P$73=".", 0, 'Summary, PPI''s'!P82)</f>
        <v>1448133.6709679668</v>
      </c>
      <c r="W82" s="1">
        <f>IF(E$94=".",0,'Summary, PPI''s'!E82)+IF(F$94=".",0,'Summary, PPI''s'!F82)+IF(G$94=".",0,'Summary, PPI''s'!G82)+IF(H$94=".",0,'Summary, PPI''s'!H82)+IF(I$94=".",0,'Summary, PPI''s'!I82)+IF(J$94=".",0,'Summary, PPI''s'!J82)+IF(K$94=".",0,'Summary, PPI''s'!K82)+IF(L$94=".",0,'Summary, PPI''s'!L82)+IF(M$94=".",0,'Summary, PPI''s'!M82)+IF(B$94=".",0,'Summary, PPI''s'!B82)+IF(C$94=".",0,'Summary, PPI''s'!C82)+IF(D$94=".",0,'Summary, PPI''s'!D82)+IF(N$94=".",0,'Summary, PPI''s'!N82)+IF(O$94=".",0,'Summary, PPI''s'!O82)+IF(P$94=".",0,'Summary, PPI''s'!P82)</f>
        <v>1448133.6709679668</v>
      </c>
      <c r="X82" s="1">
        <f>IF(E$123=".", 0, 'Summary, PPI''s'!E82)+IF(F$123=".", 0, 'Summary, PPI''s'!F82)+IF(G$123=".", 0, 'Summary, PPI''s'!G82)+IF(H$123=".", 0, 'Summary, PPI''s'!H82)+IF(I$123=".", 0, 'Summary, PPI''s'!I82)+IF(J$123=".", 0, 'Summary, PPI''s'!J82)+IF(K$123=".", 0, 'Summary, PPI''s'!K82)+IF(L$123=".", 0, 'Summary, PPI''s'!L82)+IF(M$123=".", 0, 'Summary, PPI''s'!M82)+IF(B$123=".", 0, 'Summary, PPI''s'!B82)+IF(C$123=".", 0, 'Summary, PPI''s'!C82)+IF(D$123=".", 0, 'Summary, PPI''s'!D82)+IF(N$123=".", 0, 'Summary, PPI''s'!N82)+IF(O$123=".", 0, 'Summary, PPI''s'!O82)+IF(P$123=".", 0, 'Summary, PPI''s'!P82)</f>
        <v>1251475.9861668206</v>
      </c>
      <c r="Z82" s="4" t="e">
        <f>Z81*IF(E$26=".", 1, (E82/E81)^(('Summary, PPI''s'!$E82+'Summary, PPI''s'!$E81)/('Predicted PPIs'!R82+'Predicted PPIs'!R81)))*IF(F$26=".", 1, (F82/F81)^(('Summary, PPI''s'!$F82+'Summary, PPI''s'!$F81)/('Predicted PPIs'!R82+'Predicted PPIs'!R81)))*IF(G$26=".", 1, (G82/G81)^(('Summary, PPI''s'!$G82+'Summary, PPI''s'!$G81)/('Predicted PPIs'!R82+'Predicted PPIs'!R81)))*IF(H$26=".", 1, (H82/H81)^(('Summary, PPI''s'!$H82+'Summary, PPI''s'!$H81)/('Predicted PPIs'!R82+'Predicted PPIs'!R81)))*IF(I$26=".", 1, (I82/I81)^(('Summary, PPI''s'!$I82+'Summary, PPI''s'!$I81)/('Predicted PPIs'!R82+'Predicted PPIs'!R81)))*IF(J$26=".", 1, (J82/J81)^(('Summary, PPI''s'!$J82+'Summary, PPI''s'!$J81)/('Predicted PPIs'!R82+'Predicted PPIs'!R81)))*IF(K$26=".", 1, (K82/K81)^(('Summary, PPI''s'!$K82+'Summary, PPI''s'!$K81)/('Predicted PPIs'!R82+'Predicted PPIs'!R81)))*IF(L$26=".", 1, (L82/L81)^(('Summary, PPI''s'!$L82+'Summary, PPI''s'!$L81)/('Predicted PPIs'!R82+'Predicted PPIs'!R81)))*IF(M$26=".", 1, (M82/M81)^(('Summary, PPI''s'!$M82+'Summary, PPI''s'!$M81)/('Predicted PPIs'!R82+'Predicted PPIs'!R81)))*IF(B$26=".", 1, (B82/B81)^(('Summary, PPI''s'!$B82+'Summary, PPI''s'!$B81)/('Predicted PPIs'!R82+'Predicted PPIs'!R81)))*IF(C$26=".", 1, (C82/C81)^(('Summary, PPI''s'!$C82+'Summary, PPI''s'!$C81)/('Predicted PPIs'!R82+'Predicted PPIs'!R81)))*IF(D$26=".", 1, (D82/D81)^(('Summary, PPI''s'!$D82+'Summary, PPI''s'!$D81)/('Predicted PPIs'!R82+'Predicted PPIs'!R81)))*IF(N$26=".", 1, (N82/N81)^(('Summary, PPI''s'!$N82+'Summary, PPI''s'!$N81)/('Predicted PPIs'!R82+'Predicted PPIs'!R81)))*IF(O$26=".", 1, (O82/O81)^(('Summary, PPI''s'!$O82+'Summary, PPI''s'!$O81)/('Predicted PPIs'!R82+'Predicted PPIs'!R81)))*IF(P$26=".", 1, (P82/P81)^(('Summary, PPI''s'!$P82+'Summary, PPI''s'!$P81)/('Predicted PPIs'!R82+'Predicted PPIs'!R81)))</f>
        <v>#VALUE!</v>
      </c>
      <c r="AA82" s="4" t="e">
        <f>AA81*IF(E$36=".", 1, (E82/E81)^(('Summary, PPI''s'!$E82+'Summary, PPI''s'!$E81)/('Predicted PPIs'!S82+'Predicted PPIs'!S81)))*IF(F$36=".", 1, (F82/F81)^(('Summary, PPI''s'!$F82+'Summary, PPI''s'!$F81)/('Predicted PPIs'!S82+'Predicted PPIs'!S81)))*IF(G$36=".", 1, (G82/G81)^(('Summary, PPI''s'!$G82+'Summary, PPI''s'!$G81)/('Predicted PPIs'!S82+'Predicted PPIs'!S81)))*IF(H$36=".", 1, (H82/H81)^(('Summary, PPI''s'!$H82+'Summary, PPI''s'!$H81)/('Predicted PPIs'!S82+'Predicted PPIs'!S81)))*IF(I$36=".", 1, (I82/I81)^(('Summary, PPI''s'!$I82+'Summary, PPI''s'!$I81)/('Predicted PPIs'!S82+'Predicted PPIs'!S81)))*IF(J$36=".", 1, (J82/J81)^(('Summary, PPI''s'!$J82+'Summary, PPI''s'!$J81)/('Predicted PPIs'!S82+'Predicted PPIs'!S81)))*IF(K$36=".", 1, (K82/K81)^(('Summary, PPI''s'!$K82+'Summary, PPI''s'!$K81)/('Predicted PPIs'!S82+'Predicted PPIs'!S81)))*IF(L$36=".", 1, (L82/L81)^(('Summary, PPI''s'!$L82+'Summary, PPI''s'!$L81)/('Predicted PPIs'!S82+'Predicted PPIs'!S81)))*IF(M$36=".", 1, (M82/M81)^(('Summary, PPI''s'!$M82+'Summary, PPI''s'!$M81)/('Predicted PPIs'!S82+'Predicted PPIs'!S81)))*IF(B$36=".", 1, (B82/B81)^(('Summary, PPI''s'!$B82+'Summary, PPI''s'!$B81)/('Predicted PPIs'!S82+'Predicted PPIs'!S81)))*IF(C$36=".", 1, (C82/C81)^(('Summary, PPI''s'!$C82+'Summary, PPI''s'!$C81)/('Predicted PPIs'!S82+'Predicted PPIs'!S81)))*IF(D$36=".", 1, (D82/D81)^(('Summary, PPI''s'!$D82+'Summary, PPI''s'!$D81)/('Predicted PPIs'!S82+'Predicted PPIs'!S81)))*IF(N$36=".", 1, (N82/N81)^(('Summary, PPI''s'!$N82+'Summary, PPI''s'!$N81)/('Predicted PPIs'!S82+'Predicted PPIs'!S81)))*IF(O$36=".", 1, (O82/O81)^(('Summary, PPI''s'!$O82+'Summary, PPI''s'!$O81)/('Predicted PPIs'!S82+'Predicted PPIs'!S81)))*IF(P$36=".", 1, (P82/P81)^(('Summary, PPI''s'!$P82+'Summary, PPI''s'!$P81)/('Predicted PPIs'!S82+'Predicted PPIs'!S81)))</f>
        <v>#VALUE!</v>
      </c>
      <c r="AB82" s="4" t="e">
        <f>AB81*IF(E$46=".", 1, (E82/E81)^(('Summary, PPI''s'!$E82+'Summary, PPI''s'!$E81)/('Predicted PPIs'!T82+'Predicted PPIs'!T81)))*IF(F$46=".", 1, (F82/F81)^(('Summary, PPI''s'!$F82+'Summary, PPI''s'!$F81)/('Predicted PPIs'!T82+'Predicted PPIs'!T81)))*IF(G$46=".", 1, (G82/G81)^(('Summary, PPI''s'!$G82+'Summary, PPI''s'!$G81)/('Predicted PPIs'!T82+'Predicted PPIs'!T81)))*IF(H$46=".", 1, (H82/H81)^(('Summary, PPI''s'!$H82+'Summary, PPI''s'!$H81)/('Predicted PPIs'!T82+'Predicted PPIs'!T81)))*IF(I$46=".", 1, (I82/I81)^(('Summary, PPI''s'!$I82+'Summary, PPI''s'!$I81)/('Predicted PPIs'!T82+'Predicted PPIs'!T81)))*IF(J$46=".", 1, (J82/J81)^(('Summary, PPI''s'!$J82+'Summary, PPI''s'!$J81)/('Predicted PPIs'!T82+'Predicted PPIs'!T81)))*IF(K$46=".", 1, (K82/K81)^(('Summary, PPI''s'!$K82+'Summary, PPI''s'!$K81)/('Predicted PPIs'!T82+'Predicted PPIs'!T81)))*IF(L$46=".", 1, (L82/L81)^(('Summary, PPI''s'!$L82+'Summary, PPI''s'!$L81)/('Predicted PPIs'!T82+'Predicted PPIs'!T81)))*IF(M$46=".", 1, (M82/M81)^(('Summary, PPI''s'!$M82+'Summary, PPI''s'!$M81)/('Predicted PPIs'!T82+'Predicted PPIs'!T81)))*IF(B$46=".", 1, (B82/B81)^(('Summary, PPI''s'!$B82+'Summary, PPI''s'!$B81)/('Predicted PPIs'!T82+'Predicted PPIs'!T81)))*IF(C$46=".", 1, (C82/C81)^(('Summary, PPI''s'!$C82+'Summary, PPI''s'!$C81)/('Predicted PPIs'!T82+'Predicted PPIs'!T81)))*IF(D$46=".", 1, (D82/D81)^(('Summary, PPI''s'!$D82+'Summary, PPI''s'!$D81)/('Predicted PPIs'!T82+'Predicted PPIs'!T81)))*IF(N$46=".", 1, (N82/N81)^(('Summary, PPI''s'!$N82+'Summary, PPI''s'!$N81)/('Predicted PPIs'!T82+'Predicted PPIs'!T81)))*IF(O$46=".", 1, (O82/O81)^(('Summary, PPI''s'!$O82+'Summary, PPI''s'!$O81)/('Predicted PPIs'!T82+'Predicted PPIs'!T81)))*IF(P$46=".", 1, (P82/P81)^(('Summary, PPI''s'!$P82+'Summary, PPI''s'!$P81)/('Predicted PPIs'!T82+'Predicted PPIs'!T81)))</f>
        <v>#VALUE!</v>
      </c>
      <c r="AC82" s="4" t="e">
        <f>AC81*IF(E$60=".",1,(E82/E81)^(('Summary, PPI''s'!$E82+'Summary, PPI''s'!$E81)/('Predicted PPIs'!U82+'Predicted PPIs'!U81)))*IF(F$60=".",1,(F82/F81)^(('Summary, PPI''s'!$F82+'Summary, PPI''s'!$F81)/('Predicted PPIs'!U82+'Predicted PPIs'!U81)))*IF(G$60=".",1,(G82/G81)^(('Summary, PPI''s'!$G82+'Summary, PPI''s'!$G81)/('Predicted PPIs'!U82+'Predicted PPIs'!U81)))*IF(H$60=".",1,(H82/H81)^(('Summary, PPI''s'!$H82+'Summary, PPI''s'!$H81)/('Predicted PPIs'!U82+'Predicted PPIs'!U81)))*IF(I$60=".",1,(I82/I81)^(('Summary, PPI''s'!$I82+'Summary, PPI''s'!$I81)/('Predicted PPIs'!U82+'Predicted PPIs'!U81)))*IF(J$60=".",1,(J82/J81)^(('Summary, PPI''s'!$J82+'Summary, PPI''s'!$J81)/('Predicted PPIs'!U82+'Predicted PPIs'!U81)))*IF(K$60=".",1,(K82/K81)^(('Summary, PPI''s'!$K82+'Summary, PPI''s'!$K81)/('Predicted PPIs'!U82+'Predicted PPIs'!U81)))*IF(L$60=".",1,(L82/L81)^(('Summary, PPI''s'!$L82+'Summary, PPI''s'!$L81)/('Predicted PPIs'!U82+'Predicted PPIs'!U81)))*IF(M$60=".",1,(M82/M81)^(('Summary, PPI''s'!$M82+'Summary, PPI''s'!$M81)/('Predicted PPIs'!U82+'Predicted PPIs'!U81)))*IF(B$60=".",1,(B82/B81)^(('Summary, PPI''s'!$B82+'Summary, PPI''s'!$B81)/('Predicted PPIs'!U82+'Predicted PPIs'!U81)))*IF(C$60=".",1,(C82/C81)^(('Summary, PPI''s'!$C82+'Summary, PPI''s'!$C81)/('Predicted PPIs'!U82+'Predicted PPIs'!U81)))*IF(D$60=".",1,(D82/D81)^(('Summary, PPI''s'!$D82+'Summary, PPI''s'!$D81)/('Predicted PPIs'!U82+'Predicted PPIs'!U81)))*IF(N$60=".",1,(N82/N81)^(('Summary, PPI''s'!$N82+'Summary, PPI''s'!$N81)/('Predicted PPIs'!U82+'Predicted PPIs'!U81)))*IF(O$60=".",1,(O82/O81)^(('Summary, PPI''s'!$O82+'Summary, PPI''s'!$O81)/('Predicted PPIs'!U82+'Predicted PPIs'!U81)))*IF(P$60=".",1,(P82/P81)^(('Summary, PPI''s'!$P82+'Summary, PPI''s'!$P81)/('Predicted PPIs'!U82+'Predicted PPIs'!U81)))</f>
        <v>#VALUE!</v>
      </c>
      <c r="AD82" s="4" t="e">
        <f>AD81*IF(E$73=".", 1, (E82/E81)^(('Summary, PPI''s'!$E82+'Summary, PPI''s'!$E81)/('Predicted PPIs'!V82+'Predicted PPIs'!V81)))*IF(F$73=".", 1, (F82/F81)^(('Summary, PPI''s'!$F82+'Summary, PPI''s'!$F81)/('Predicted PPIs'!V82+'Predicted PPIs'!V81)))*IF(G$73=".", 1, (G82/G81)^(('Summary, PPI''s'!$G82+'Summary, PPI''s'!$G81)/('Predicted PPIs'!V82+'Predicted PPIs'!V81)))*IF(H$73=".", 1, (H82/H81)^(('Summary, PPI''s'!$H82+'Summary, PPI''s'!$H81)/('Predicted PPIs'!V82+'Predicted PPIs'!V81)))*IF(I$73=".", 1, (I82/I81)^(('Summary, PPI''s'!$I82+'Summary, PPI''s'!$I81)/('Predicted PPIs'!V82+'Predicted PPIs'!V81)))*IF(J$73=".", 1, (J82/J81)^(('Summary, PPI''s'!$J82+'Summary, PPI''s'!$J81)/('Predicted PPIs'!V82+'Predicted PPIs'!V81)))*IF(K$73=".", 1, (K82/K81)^(('Summary, PPI''s'!$K82+'Summary, PPI''s'!$K81)/('Predicted PPIs'!V82+'Predicted PPIs'!V81)))*IF(L$73=".", 1, (L82/L81)^(('Summary, PPI''s'!$L82+'Summary, PPI''s'!$L81)/('Predicted PPIs'!V82+'Predicted PPIs'!V81)))*IF(M$73=".", 1, (M82/M81)^(('Summary, PPI''s'!$M82+'Summary, PPI''s'!$M81)/('Predicted PPIs'!V82+'Predicted PPIs'!V81)))*IF(B$73=".", 1, (B82/B81)^(('Summary, PPI''s'!$B82+'Summary, PPI''s'!$B81)/('Predicted PPIs'!V82+'Predicted PPIs'!V81)))*IF(C$73=".", 1, (C82/C81)^(('Summary, PPI''s'!$C82+'Summary, PPI''s'!$C81)/('Predicted PPIs'!V82+'Predicted PPIs'!V81)))*IF(D$73=".", 1, (D82/D81)^(('Summary, PPI''s'!$D82+'Summary, PPI''s'!$D81)/('Predicted PPIs'!V82+'Predicted PPIs'!V81)))*IF(N$73=".", 1, (N82/N81)^(('Summary, PPI''s'!$N82+'Summary, PPI''s'!$N81)/('Predicted PPIs'!V82+'Predicted PPIs'!V81)))*IF(O$73=".", 1, (O82/O81)^(('Summary, PPI''s'!$O82+'Summary, PPI''s'!$O81)/('Predicted PPIs'!V82+'Predicted PPIs'!V81)))*IF(P$73=".", 1, (P82/P81)^(('Summary, PPI''s'!$P82+'Summary, PPI''s'!$P81)/('Predicted PPIs'!V82+'Predicted PPIs'!V81)))</f>
        <v>#VALUE!</v>
      </c>
      <c r="AE82" s="4">
        <f>AE81*IF(E$94=".", 1, (E82/E81)^(('Summary, PPI''s'!$E82+'Summary, PPI''s'!$E81)/('Predicted PPIs'!W82+'Predicted PPIs'!W81)))*IF(F$94=".", 1, (F82/F81)^(('Summary, PPI''s'!$F82+'Summary, PPI''s'!$F81)/('Predicted PPIs'!W82+'Predicted PPIs'!W81)))*IF(G$94=".", 1, (G82/G81)^(('Summary, PPI''s'!$G82+'Summary, PPI''s'!$G81)/('Predicted PPIs'!W82+'Predicted PPIs'!W81)))*IF(H$94=".", 1, (H82/H81)^(('Summary, PPI''s'!$H82+'Summary, PPI''s'!$H81)/('Predicted PPIs'!W82+'Predicted PPIs'!W81)))*IF(I$94=".", 1, (I82/I81)^(('Summary, PPI''s'!$I82+'Summary, PPI''s'!$I81)/('Predicted PPIs'!W82+'Predicted PPIs'!W81)))*IF(J$94=".", 1, (J82/J81)^(('Summary, PPI''s'!$J82+'Summary, PPI''s'!$J81)/('Predicted PPIs'!W82+'Predicted PPIs'!W81)))*IF(K$94=".", 1, (K82/K81)^(('Summary, PPI''s'!$K82+'Summary, PPI''s'!$K81)/('Predicted PPIs'!W82+'Predicted PPIs'!W81)))*IF(L$94=".", 1, (L82/L81)^(('Summary, PPI''s'!$L82+'Summary, PPI''s'!$L81)/('Predicted PPIs'!W82+'Predicted PPIs'!W81)))*IF(M$94=".", 1, (M82/M81)^(('Summary, PPI''s'!$M82+'Summary, PPI''s'!$M81)/('Predicted PPIs'!W82+'Predicted PPIs'!W81)))*IF(B$94=".", 1, (B82/B81)^(('Summary, PPI''s'!$B82+'Summary, PPI''s'!$B81)/('Predicted PPIs'!W82+'Predicted PPIs'!W81)))*IF(C$94=".", 1, (C82/C81)^(('Summary, PPI''s'!$C82+'Summary, PPI''s'!$C81)/('Predicted PPIs'!W82+'Predicted PPIs'!W81)))*IF(D$94=".", 1, (D82/D81)^(('Summary, PPI''s'!$D82+'Summary, PPI''s'!$D81)/('Predicted PPIs'!W82+'Predicted PPIs'!W81)))*IF(N$94=".", 1, (N82/N81)^(('Summary, PPI''s'!$N82+'Summary, PPI''s'!$N81)/('Predicted PPIs'!W82+'Predicted PPIs'!W81)))*IF(O$94=".", 1, (O82/O81)^(('Summary, PPI''s'!$O82+'Summary, PPI''s'!$O81)/('Predicted PPIs'!W82+'Predicted PPIs'!W81)))*IF(P$94=".", 1, (P82/P81)^(('Summary, PPI''s'!$P82+'Summary, PPI''s'!$P81)/('Predicted PPIs'!W82+'Predicted PPIs'!W81)))</f>
        <v>3.2562705809734167</v>
      </c>
      <c r="AF82" s="4">
        <f>AF81*IF(E$123=".", 1, (E82/E81)^(('Summary, PPI''s'!$E82+'Summary, PPI''s'!$E81)/('Predicted PPIs'!X82+'Predicted PPIs'!X81)))*IF(F$123=".", 1, (F82/F81)^(('Summary, PPI''s'!$F82+'Summary, PPI''s'!$F81)/('Predicted PPIs'!X82+'Predicted PPIs'!X81)))*IF(G$123=".", 1, (G82/G81)^(('Summary, PPI''s'!$G82+'Summary, PPI''s'!$G81)/('Predicted PPIs'!X82+'Predicted PPIs'!X81)))*IF(H$123=".", 1, (H82/H81)^(('Summary, PPI''s'!$H82+'Summary, PPI''s'!$H81)/('Predicted PPIs'!X82+'Predicted PPIs'!X81)))*IF(I$123=".", 1, (I82/I81)^(('Summary, PPI''s'!$I82+'Summary, PPI''s'!$I81)/('Predicted PPIs'!X82+'Predicted PPIs'!X81)))*IF(J$123=".", 1, (J82/J81)^(('Summary, PPI''s'!$J82+'Summary, PPI''s'!$J81)/('Predicted PPIs'!X82+'Predicted PPIs'!X81)))*IF(K$123=".", 1, (K82/K81)^(('Summary, PPI''s'!$K82+'Summary, PPI''s'!$K81)/('Predicted PPIs'!X82+'Predicted PPIs'!X81)))*IF(L$123=".", 1, (L82/L81)^(('Summary, PPI''s'!$L82+'Summary, PPI''s'!$L81)/('Predicted PPIs'!X82+'Predicted PPIs'!X81)))*IF(M$123=".", 1, (M82/M81)^(('Summary, PPI''s'!$M82+'Summary, PPI''s'!$M81)/('Predicted PPIs'!X82+'Predicted PPIs'!X81)))*IF(B$123=".", 1, (B82/B81)^(('Summary, PPI''s'!$B82+'Summary, PPI''s'!$B81)/('Predicted PPIs'!X82+'Predicted PPIs'!X81)))*IF(C$123=".", 1, (C82/C81)^(('Summary, PPI''s'!$C82+'Summary, PPI''s'!$C81)/('Predicted PPIs'!X82+'Predicted PPIs'!X81)))*IF(D$123=".", 1, (D82/D81)^(('Summary, PPI''s'!$D82+'Summary, PPI''s'!$D81)/('Predicted PPIs'!X82+'Predicted PPIs'!X81)))*IF(N$123=".", 1, (N82/N81)^(('Summary, PPI''s'!$N82+'Summary, PPI''s'!$N81)/('Predicted PPIs'!X82+'Predicted PPIs'!X81)))*IF(O$123=".", 1, (O82/O81)^(('Summary, PPI''s'!$O82+'Summary, PPI''s'!$O81)/('Predicted PPIs'!X82+'Predicted PPIs'!X81)))*IF(P$123=".", 1, (P82/P81)^(('Summary, PPI''s'!$P82+'Summary, PPI''s'!$P81)/('Predicted PPIs'!X82+'Predicted PPIs'!X81)))</f>
        <v>2.8844834523377201</v>
      </c>
      <c r="AH82" s="13">
        <f t="shared" si="152"/>
        <v>4.4530530256820757</v>
      </c>
      <c r="AJ82" s="4">
        <v>81.099999999999994</v>
      </c>
      <c r="AK82" s="4">
        <v>-1.429</v>
      </c>
      <c r="AL82" s="4">
        <v>-4.7060000000000004</v>
      </c>
      <c r="AM82" s="4">
        <v>-0.76700000000000002</v>
      </c>
      <c r="AN82" s="4">
        <f t="shared" si="176"/>
        <v>108.15003088326127</v>
      </c>
      <c r="AO82" s="4">
        <v>15</v>
      </c>
      <c r="AP82" s="4">
        <f t="shared" si="177"/>
        <v>-1.3877005347593583</v>
      </c>
      <c r="AQ82" s="4">
        <f t="shared" si="178"/>
        <v>-2.6233957219251334</v>
      </c>
      <c r="AR82" s="4">
        <f t="shared" si="148"/>
        <v>-1.5275703417021069E-4</v>
      </c>
      <c r="AS82" s="4">
        <v>-0.54800000000000004</v>
      </c>
      <c r="AT82" s="4">
        <v>7.8520000000000003</v>
      </c>
      <c r="AU82" s="4">
        <v>12.722</v>
      </c>
      <c r="AV82" s="4">
        <v>8.9550000000000001</v>
      </c>
      <c r="AW82" s="4">
        <v>5.5990000000000002</v>
      </c>
      <c r="AX82" s="4">
        <f t="shared" si="179"/>
        <v>7.4792625680435458</v>
      </c>
      <c r="AY82" s="4">
        <v>10.218999999999999</v>
      </c>
      <c r="AZ82" s="4">
        <v>3.3959999999999999</v>
      </c>
      <c r="BA82" s="4">
        <v>8.7010000000000005</v>
      </c>
      <c r="BB82" s="4">
        <f t="shared" si="150"/>
        <v>49.76757519431505</v>
      </c>
      <c r="BC82" s="4">
        <v>8.0060000000000002</v>
      </c>
      <c r="BG82" s="4">
        <f t="shared" si="172"/>
        <v>10.445363221635013</v>
      </c>
      <c r="BI82" s="4">
        <f>BI$13*'[2]Ordinary Experience'!$D$344/'[2]Ordinary Experience'!$D$413</f>
        <v>134025680.66154964</v>
      </c>
      <c r="BJ82" s="4">
        <f>'[2]Ordinary Experience'!$E$344</f>
        <v>25.183798498765825</v>
      </c>
      <c r="BL82" s="4">
        <f t="shared" si="151"/>
        <v>26.2830401520953</v>
      </c>
      <c r="BM82" s="4">
        <f t="shared" si="153"/>
        <v>6.3955390557349778E-2</v>
      </c>
      <c r="BO82" s="4" t="str">
        <f>IF(OR('Summary, hourly ad costs'!R82=-9999,'Summary, PPI''s'!R82="."),".",(('Summary, hourly ad costs'!B82/'Summary, hourly ad costs'!R82)*100/('Summary, hourly ad costs'!B$11/'Summary, hourly ad costs'!R$11))/('Summary, PPI''s'!R82))</f>
        <v>.</v>
      </c>
      <c r="BP82" s="4" t="str">
        <f>IF(OR('Summary, hourly ad costs'!S82=-9999,'Summary, PPI''s'!S82="."),".",(('Summary, hourly ad costs'!C82/'Summary, hourly ad costs'!S82)*100/('Summary, hourly ad costs'!C$11/'Summary, hourly ad costs'!S$11))/('Summary, PPI''s'!S82))</f>
        <v>.</v>
      </c>
      <c r="BQ82" s="4" t="str">
        <f>IF(OR('Summary, hourly ad costs'!T82=-9999,'Summary, PPI''s'!T82="."),".",(('Summary, hourly ad costs'!D82/'Summary, hourly ad costs'!T82)*100/('Summary, hourly ad costs'!D$11/'Summary, hourly ad costs'!T$11))/('Summary, PPI''s'!T82))</f>
        <v>.</v>
      </c>
      <c r="BR82" s="4" t="str">
        <f>IF(OR('Summary, hourly ad costs'!U82=-9999,'Summary, PPI''s'!U82="."),".",(('Summary, hourly ad costs'!E82/'Summary, hourly ad costs'!U82)*100/('Summary, hourly ad costs'!E$11/'Summary, hourly ad costs'!U$11))/('Summary, PPI''s'!U82))</f>
        <v>.</v>
      </c>
      <c r="BS82" s="4" t="str">
        <f>IF(OR('Summary, hourly ad costs'!V82=-9999,'Summary, PPI''s'!V82="."),".",(('Summary, hourly ad costs'!F82/'Summary, hourly ad costs'!V82)*100/('Summary, hourly ad costs'!F$11/'Summary, hourly ad costs'!V$11))/('Summary, PPI''s'!V82))</f>
        <v>.</v>
      </c>
      <c r="BT82" s="4" t="str">
        <f>IF(OR('Summary, hourly ad costs'!W82=-9999,'Summary, PPI''s'!W82="."),".",(('Summary, hourly ad costs'!G82/'Summary, hourly ad costs'!W82)*100/('Summary, hourly ad costs'!G$11/'Summary, hourly ad costs'!W$11))/('Summary, PPI''s'!W82))</f>
        <v>.</v>
      </c>
      <c r="BU82" s="4" t="str">
        <f>IF(OR('Summary, hourly ad costs'!X82=-9999,'Summary, PPI''s'!X82="."),".",(('Summary, hourly ad costs'!H82/'Summary, hourly ad costs'!X82)*100/('Summary, hourly ad costs'!H$11/'Summary, hourly ad costs'!X$11))/('Summary, PPI''s'!X82))</f>
        <v>.</v>
      </c>
      <c r="BV82" s="4" t="str">
        <f>IF(OR('Summary, hourly ad costs'!Y82=-9999,'Summary, PPI''s'!Y82="."),".",(('Summary, hourly ad costs'!I82/'Summary, hourly ad costs'!Y82)*100/('Summary, hourly ad costs'!I$11/'Summary, hourly ad costs'!Y$11))/('Summary, PPI''s'!Y82))</f>
        <v>.</v>
      </c>
      <c r="BW82" s="4" t="str">
        <f>IF(OR('Summary, hourly ad costs'!Z82=-9999,'Summary, PPI''s'!Z82="."),".",(('Summary, hourly ad costs'!J82/'Summary, hourly ad costs'!Z82)*100/('Summary, hourly ad costs'!J$11/'Summary, hourly ad costs'!Z$11))/('Summary, PPI''s'!Z82))</f>
        <v>.</v>
      </c>
      <c r="BX82" s="4" t="str">
        <f>IF(OR('Summary, hourly ad costs'!AA82=-9999,'Summary, PPI''s'!AA82="."),".",(('Summary, hourly ad costs'!K82/'Summary, hourly ad costs'!AA82)*100/('Summary, hourly ad costs'!K$11/'Summary, hourly ad costs'!AA$11))/('Summary, PPI''s'!AA82))</f>
        <v>.</v>
      </c>
      <c r="BY82" s="4" t="str">
        <f>IF(OR('Summary, hourly ad costs'!AB82=-9999,'Summary, PPI''s'!AB82="."),".",(('Summary, hourly ad costs'!L82/'Summary, hourly ad costs'!AB82)*100/('Summary, hourly ad costs'!L$11/'Summary, hourly ad costs'!AB$11))/('Summary, PPI''s'!AB82))</f>
        <v>.</v>
      </c>
      <c r="BZ82" s="4" t="str">
        <f>IF(OR('Summary, hourly ad costs'!AC82=-9999,'Summary, PPI''s'!AC82="."),".",(('Summary, hourly ad costs'!M82/'Summary, hourly ad costs'!AC82)*100/('Summary, hourly ad costs'!M$11/'Summary, hourly ad costs'!AC$11))/('Summary, PPI''s'!AC82))</f>
        <v>.</v>
      </c>
      <c r="CA82" s="4" t="str">
        <f>IF(OR('Summary, hourly ad costs'!AD82=-9999,'Summary, PPI''s'!AD82="."),".",(('Summary, hourly ad costs'!N82/'Summary, hourly ad costs'!AD82)*100/('Summary, hourly ad costs'!N$11/'Summary, hourly ad costs'!AD$11))/('Summary, PPI''s'!AD82))</f>
        <v>.</v>
      </c>
      <c r="CB82" s="4" t="str">
        <f>IF(OR('Summary, hourly ad costs'!AE82=-9999,'Summary, PPI''s'!AE82="."),".",(('Summary, hourly ad costs'!O82/'Summary, hourly ad costs'!AE82)*100/('Summary, hourly ad costs'!O$11/'Summary, hourly ad costs'!AE$11))/('Summary, PPI''s'!AE82))</f>
        <v>.</v>
      </c>
      <c r="CC82" s="4" t="str">
        <f>IF(OR('Summary, hourly ad costs'!AF82=-9999,'Summary, PPI''s'!AF82="."),".",(('Summary, hourly ad costs'!P82/'Summary, hourly ad costs'!AF82)*100/('Summary, hourly ad costs'!P$11/'Summary, hourly ad costs'!AF$11))/('Summary, PPI''s'!AF82))</f>
        <v>.</v>
      </c>
      <c r="CE82" s="4">
        <f t="shared" si="134"/>
        <v>2.8572997660426792E-2</v>
      </c>
      <c r="CF82" s="4" t="str">
        <f t="shared" si="135"/>
        <v>.</v>
      </c>
      <c r="CG82" s="4" t="str">
        <f t="shared" si="136"/>
        <v>.</v>
      </c>
      <c r="CH82" s="4">
        <f t="shared" si="145"/>
        <v>6.1424422234410705E-2</v>
      </c>
      <c r="CI82" s="4">
        <f t="shared" si="145"/>
        <v>7.1465416220393777E-2</v>
      </c>
      <c r="CJ82" s="4" t="str">
        <f t="shared" si="147"/>
        <v>.</v>
      </c>
      <c r="CK82" s="4">
        <f t="shared" si="149"/>
        <v>9.171904249902353E-4</v>
      </c>
      <c r="CL82" s="4">
        <f t="shared" si="130"/>
        <v>4.9676953826439996E-2</v>
      </c>
      <c r="CM82" s="4">
        <f t="shared" si="130"/>
        <v>3.6304798203129762E-2</v>
      </c>
      <c r="CN82" s="4">
        <f t="shared" si="89"/>
        <v>3.5716779312115088E-2</v>
      </c>
      <c r="CO82" s="4">
        <f t="shared" si="180"/>
        <v>0.41434535629804792</v>
      </c>
      <c r="CP82" s="4">
        <f t="shared" si="180"/>
        <v>2.1537670842149914E-2</v>
      </c>
      <c r="CQ82" s="4" t="str">
        <f t="shared" si="173"/>
        <v>.</v>
      </c>
      <c r="CR82" s="4" t="str">
        <f t="shared" si="174"/>
        <v>.</v>
      </c>
      <c r="CS82" s="4" t="str">
        <f t="shared" si="175"/>
        <v>.</v>
      </c>
      <c r="CU82" s="5">
        <f>IF(CU81=".", ".", IF('Summary, PPI''s'!R82=".",IF(OR('Summary, hourly ad costs'!R82=-9999,'Summary, hourly ad costs'!R82=0), ".", 'Predicted PPIs'!CU81*('Summary, hourly ad costs'!B82/'Summary, hourly ad costs'!R82)/('Summary, hourly ad costs'!B81/'Summary, hourly ad costs'!R81)/(1-CE81)), 'Summary, PPI''s'!R82))</f>
        <v>20.299915136838706</v>
      </c>
      <c r="CV82" s="5" t="str">
        <f>IF(CV81=".", ".", IF('Summary, PPI''s'!S82=".",IF(OR('Summary, hourly ad costs'!S82=-9999,'Summary, hourly ad costs'!S82=0), ".", 'Predicted PPIs'!CV81*('Summary, hourly ad costs'!C82/'Summary, hourly ad costs'!S82)/('Summary, hourly ad costs'!C81/'Summary, hourly ad costs'!S81)/(1-CF81)), 'Summary, PPI''s'!S82))</f>
        <v>.</v>
      </c>
      <c r="CW82" s="5" t="str">
        <f>IF(CW81=".", ".", IF('Summary, PPI''s'!T82=".",IF(OR('Summary, hourly ad costs'!T82=-9999,'Summary, hourly ad costs'!T82=0), ".", 'Predicted PPIs'!CW81*('Summary, hourly ad costs'!D82/'Summary, hourly ad costs'!T82)/('Summary, hourly ad costs'!D81/'Summary, hourly ad costs'!T81)/(1-CG81)), 'Summary, PPI''s'!T82))</f>
        <v>.</v>
      </c>
      <c r="CX82" s="5">
        <f>IF(CX81=".", ".", IF('Summary, PPI''s'!U82=".",IF(OR('Summary, hourly ad costs'!U82=-9999,'Summary, hourly ad costs'!U82=0), ".", 'Predicted PPIs'!CX81*('Summary, hourly ad costs'!E82/'Summary, hourly ad costs'!U82)/('Summary, hourly ad costs'!E81/'Summary, hourly ad costs'!U81)/(1-CH81)), 'Summary, PPI''s'!U82))</f>
        <v>2.1403746391234479</v>
      </c>
      <c r="CY82" s="5">
        <f>IF(CY81=".", ".", IF('Summary, PPI''s'!V82=".",IF(OR('Summary, hourly ad costs'!V82=-9999,'Summary, hourly ad costs'!V82=0), ".", 'Predicted PPIs'!CY81*('Summary, hourly ad costs'!F82/'Summary, hourly ad costs'!V82)/('Summary, hourly ad costs'!F81/'Summary, hourly ad costs'!V81)/(1-CI81)), 'Summary, PPI''s'!V82))</f>
        <v>4.5141702182671919</v>
      </c>
      <c r="CZ82" s="5" t="str">
        <f>IF(CZ81=".", ".", IF('Summary, PPI''s'!W82=".",IF(OR('Summary, hourly ad costs'!W82=-9999,'Summary, hourly ad costs'!W82=0), ".", 'Predicted PPIs'!CZ81*('Summary, hourly ad costs'!G82/'Summary, hourly ad costs'!W82)/('Summary, hourly ad costs'!G81/'Summary, hourly ad costs'!W81)/(1-CJ81)), 'Summary, PPI''s'!W82))</f>
        <v>.</v>
      </c>
      <c r="DA82" s="5">
        <f>IF(DA81=".", ".", IF('Summary, PPI''s'!X82=".",IF(OR('Summary, hourly ad costs'!X82=-9999,'Summary, hourly ad costs'!X82=0), ".", 'Predicted PPIs'!DA81*('Summary, hourly ad costs'!H82/'Summary, hourly ad costs'!X82)/('Summary, hourly ad costs'!H81/'Summary, hourly ad costs'!X81)/(1-CK81)), 'Summary, PPI''s'!X82))</f>
        <v>2.7032746532462619</v>
      </c>
      <c r="DB82" s="5">
        <f>IF(DB81=".", ".", IF('Summary, PPI''s'!Y82=".",IF(OR('Summary, hourly ad costs'!Y82=-9999,'Summary, hourly ad costs'!Y82=0), ".", 'Predicted PPIs'!DB81*('Summary, hourly ad costs'!I82/'Summary, hourly ad costs'!Y82)/('Summary, hourly ad costs'!I81/'Summary, hourly ad costs'!Y81)/(1-CL81)), 'Summary, PPI''s'!Y82))</f>
        <v>7.3675256839205794</v>
      </c>
      <c r="DC82" s="5" t="str">
        <f>IF(DC81=".", ".", IF('Summary, PPI''s'!Z82=".",IF(OR('Summary, hourly ad costs'!Z82=-9999,'Summary, hourly ad costs'!Z82=0), ".", 'Predicted PPIs'!DC81*('Summary, hourly ad costs'!J82/'Summary, hourly ad costs'!Z82)/('Summary, hourly ad costs'!J81/'Summary, hourly ad costs'!Z81)/(1-CM81)), 'Summary, PPI''s'!Z82))</f>
        <v>.</v>
      </c>
      <c r="DD82" s="5" t="str">
        <f>IF(DD81=".", ".", IF('Summary, PPI''s'!AA82=".",IF(OR('Summary, hourly ad costs'!AA82=-9999,'Summary, hourly ad costs'!AA82=0), ".", 'Predicted PPIs'!DD81*('Summary, hourly ad costs'!K82/'Summary, hourly ad costs'!AA82)/('Summary, hourly ad costs'!K81/'Summary, hourly ad costs'!AA81)/(1-CN81)), 'Summary, PPI''s'!AA82))</f>
        <v>.</v>
      </c>
      <c r="DE82" s="5" t="str">
        <f>IF(DE81=".", ".", IF('Summary, PPI''s'!AB82=".",IF(OR('Summary, hourly ad costs'!AB82=-9999,'Summary, hourly ad costs'!AB82=0), ".", 'Predicted PPIs'!DE81*('Summary, hourly ad costs'!L82/'Summary, hourly ad costs'!AB82)/('Summary, hourly ad costs'!L81/'Summary, hourly ad costs'!AB81)/(1-CO81)), 'Summary, PPI''s'!AB82))</f>
        <v>.</v>
      </c>
      <c r="DF82" s="5" t="str">
        <f>IF(DF81=".", ".", IF('Summary, PPI''s'!AC82=".",IF(OR('Summary, hourly ad costs'!AC82=-9999,'Summary, hourly ad costs'!AC82=0), ".", 'Predicted PPIs'!DF81*('Summary, hourly ad costs'!M82/'Summary, hourly ad costs'!AC82)/('Summary, hourly ad costs'!M81/'Summary, hourly ad costs'!AC81)/(1-CP81)), 'Summary, PPI''s'!AC82))</f>
        <v>.</v>
      </c>
      <c r="DG82" s="5" t="str">
        <f>IF(DG81=".", ".", IF('Summary, PPI''s'!AD82=".",IF(OR('Summary, hourly ad costs'!AD82=-9999,'Summary, hourly ad costs'!AD82=0), ".", 'Predicted PPIs'!DG81*('Summary, hourly ad costs'!N82/'Summary, hourly ad costs'!AD82)/('Summary, hourly ad costs'!N81/'Summary, hourly ad costs'!AD81)/(1-CQ81)), 'Summary, PPI''s'!AD82))</f>
        <v>.</v>
      </c>
      <c r="DH82" s="5" t="str">
        <f>IF(DH81=".", ".", IF('Summary, PPI''s'!AE82=".",IF(OR('Summary, hourly ad costs'!AE82=-9999,'Summary, hourly ad costs'!AE82=0), ".", 'Predicted PPIs'!DH81*('Summary, hourly ad costs'!O82/'Summary, hourly ad costs'!AE82)/('Summary, hourly ad costs'!O81/'Summary, hourly ad costs'!AE81)/(1-CR81)), 'Summary, PPI''s'!AE82))</f>
        <v>.</v>
      </c>
      <c r="DI82" s="5" t="str">
        <f>IF(DI81=".", ".", IF('Summary, PPI''s'!AF82=".",IF(OR('Summary, hourly ad costs'!AF82=-9999,'Summary, hourly ad costs'!AF82=0), ".", 'Predicted PPIs'!DI81*('Summary, hourly ad costs'!P82/'Summary, hourly ad costs'!AF82)/('Summary, hourly ad costs'!P81/'Summary, hourly ad costs'!AF81)/(1-CS81)), 'Summary, PPI''s'!AF82))</f>
        <v>.</v>
      </c>
      <c r="DK82" s="4">
        <v>2.4470000000000001</v>
      </c>
      <c r="DM82" s="5">
        <f t="shared" si="138"/>
        <v>-9.6394991335512992E-2</v>
      </c>
      <c r="DN82" s="4">
        <f t="shared" si="139"/>
        <v>-3.2037342835775931E-2</v>
      </c>
      <c r="DO82" s="4">
        <f t="shared" si="181"/>
        <v>-2.2403338205100234E-2</v>
      </c>
      <c r="DP82" s="5">
        <f t="shared" si="140"/>
        <v>-0.11538078333583679</v>
      </c>
      <c r="DQ82" s="5">
        <f t="shared" si="141"/>
        <v>-8.3122065021896119E-2</v>
      </c>
      <c r="DR82" s="4">
        <f t="shared" si="146"/>
        <v>-2.4363349902055496E-3</v>
      </c>
      <c r="DS82" s="5">
        <f t="shared" si="169"/>
        <v>4.9999705634737879E-2</v>
      </c>
      <c r="DT82" s="5">
        <f t="shared" si="170"/>
        <v>-1.0806174818313696E-2</v>
      </c>
      <c r="DU82" s="4">
        <f t="shared" si="171"/>
        <v>-5.4714582925532405E-3</v>
      </c>
      <c r="DV82" s="4">
        <f t="shared" si="131"/>
        <v>-1.534137526820262E-3</v>
      </c>
      <c r="DW82" s="4">
        <f t="shared" si="133"/>
        <v>-0.20355445094401647</v>
      </c>
      <c r="DX82" s="4">
        <f t="shared" si="133"/>
        <v>0.20176933898748484</v>
      </c>
      <c r="DY82" s="4">
        <f t="shared" si="108"/>
        <v>-1.1951871867039356E-2</v>
      </c>
      <c r="DZ82" s="4">
        <f t="shared" si="132"/>
        <v>-4.8321082897286646E-3</v>
      </c>
      <c r="EA82" s="4">
        <f t="shared" si="109"/>
        <v>-6.8540611485485717E-3</v>
      </c>
      <c r="EC82" s="1">
        <f t="shared" si="154"/>
        <v>20.299915136838706</v>
      </c>
      <c r="ED82" s="1">
        <f t="shared" si="155"/>
        <v>4.6251600072789687</v>
      </c>
      <c r="EE82" s="1">
        <f t="shared" si="156"/>
        <v>2.6522646594624191</v>
      </c>
      <c r="EF82" s="1">
        <f t="shared" si="157"/>
        <v>2.1403746391234479</v>
      </c>
      <c r="EG82" s="1">
        <f t="shared" si="158"/>
        <v>4.5141702182671919</v>
      </c>
      <c r="EH82" s="1">
        <f t="shared" si="159"/>
        <v>2.7124663368824256</v>
      </c>
      <c r="EI82" s="1">
        <f t="shared" si="160"/>
        <v>2.7032746532462619</v>
      </c>
      <c r="EJ82" s="1">
        <f t="shared" si="161"/>
        <v>7.3675256839205794</v>
      </c>
      <c r="EK82" s="1">
        <f t="shared" si="162"/>
        <v>10.028313600334085</v>
      </c>
      <c r="EL82" s="1">
        <f t="shared" si="163"/>
        <v>1.9960166857208668</v>
      </c>
      <c r="EM82" s="1">
        <f t="shared" si="164"/>
        <v>0.2232579612800431</v>
      </c>
      <c r="EN82" s="1">
        <f t="shared" si="165"/>
        <v>3.1138079304758701</v>
      </c>
      <c r="EO82" s="1">
        <f t="shared" si="166"/>
        <v>1.7847359022720788</v>
      </c>
      <c r="EP82" s="1">
        <f t="shared" si="167"/>
        <v>2.7219859554720109</v>
      </c>
      <c r="EQ82" s="1">
        <f t="shared" si="168"/>
        <v>2.1056149830130901</v>
      </c>
      <c r="ES82" s="1">
        <f>IF(EF$26=".", 0, 'Summary, PPI''s'!E82)+IF(EG$26=".", 0, 'Summary, PPI''s'!F82)+IF(EH$26=".", 0, 'Summary, PPI''s'!G82)+IF(EI$26=".", 0, 'Summary, PPI''s'!H82)+IF(EJ$26=".", 0, 'Summary, PPI''s'!I82)+IF(EK$26=".", 0, 'Summary, PPI''s'!J82)+IF(EL$26=".", 0, 'Summary, PPI''s'!K82)+IF(EM$26=".", 0, 'Summary, PPI''s'!L82)+IF(EN$26=".", 0, 'Summary, PPI''s'!M82)+IF(EC$26=".", 0, 'Summary, PPI''s'!B82)+IF(ED$26=".", 0, 'Summary, PPI''s'!C82)+IF(EE$26=".", 0, 'Summary, PPI''s'!D82)+IF(EO$26=".", 0, 'Summary, PPI''s'!N82)+IF(EP$26=".", 0, 'Summary, PPI''s'!O82)+IF(EQ$26=".", 0, 'Summary, PPI''s'!P82)</f>
        <v>2260463.7996949446</v>
      </c>
      <c r="ET82" s="1">
        <f>'Summary, hourly ad costs'!E82+'Summary, hourly ad costs'!F82+'Summary, hourly ad costs'!H82+'Summary, hourly ad costs'!I82+'Summary, hourly ad costs'!J82+'Summary, hourly ad costs'!K82+'Summary, hourly ad costs'!L82+'Summary, hourly ad costs'!M82+'Summary, hourly ad costs'!B82</f>
        <v>1448133.6709679668</v>
      </c>
      <c r="EV82" s="13">
        <f>EV81*IF(EF$26=".", 1, (EF82/EF81)^(('Summary, PPI''s'!$E82+'Summary, PPI''s'!$E81)/('Predicted PPIs'!ES82+'Predicted PPIs'!ES81)))*IF(EG$26=".", 1, (EG82/EG81)^(('Summary, PPI''s'!$F82+'Summary, PPI''s'!$F81)/('Predicted PPIs'!ES82+'Predicted PPIs'!ES81)))*IF(EH$26=".", 1, (EH82/EH81)^(('Summary, PPI''s'!$G82+'Summary, PPI''s'!$G81)/('Predicted PPIs'!ES82+'Predicted PPIs'!ES81)))*IF(EI$26=".", 1, (EI82/EI81)^(('Summary, PPI''s'!$H82+'Summary, PPI''s'!$H81)/('Predicted PPIs'!ES82+'Predicted PPIs'!ES81)))*IF(EJ$26=".", 1, (EJ82/EJ81)^(('Summary, PPI''s'!$I82+'Summary, PPI''s'!$I81)/('Predicted PPIs'!ES82+'Predicted PPIs'!ES81)))*IF(EK$26=".", 1, (EK82/EK81)^(('Summary, PPI''s'!$J82+'Summary, PPI''s'!$J81)/('Predicted PPIs'!ES82+'Predicted PPIs'!ES81)))*IF(EL$26=".", 1, (EL82/EL81)^(('Summary, PPI''s'!$K82+'Summary, PPI''s'!$K81)/('Predicted PPIs'!ES82+'Predicted PPIs'!ES81)))*IF(EM$26=".", 1, (EM82/EM81)^(('Summary, PPI''s'!$L82+'Summary, PPI''s'!$L81)/('Predicted PPIs'!ES82+'Predicted PPIs'!ES81)))*IF(EN$26=".", 1, (EN82/EN81)^(('Summary, PPI''s'!$M82+'Summary, PPI''s'!$M81)/('Predicted PPIs'!ES82+'Predicted PPIs'!ES81)))*IF(EC$26=".", 1, (EC82/EC81)^(('Summary, PPI''s'!$B82+'Summary, PPI''s'!$B81)/('Predicted PPIs'!ES82+'Predicted PPIs'!ES81)))*IF(ED$26=".", 1, (ED82/ED81)^(('Summary, PPI''s'!$C82+'Summary, PPI''s'!$C81)/('Predicted PPIs'!ES82+'Predicted PPIs'!ES81)))*IF(EE$26=".", 1, (EE82/EE81)^(('Summary, PPI''s'!$D82+'Summary, PPI''s'!$D81)/('Predicted PPIs'!ES82+'Predicted PPIs'!ES81)))*IF(EO$26=".", 1, (EO82/EO81)^(('Summary, PPI''s'!$N82+'Summary, PPI''s'!$N81)/('Predicted PPIs'!ES82+'Predicted PPIs'!ES81)))*IF(EP$26=".", 1, (EP82/EP81)^(('Summary, PPI''s'!$O82+'Summary, PPI''s'!$O81)/('Predicted PPIs'!ES82+'Predicted PPIs'!ES81)))*IF(EQ$26=".", 1, (EQ82/EQ81)^(('Summary, PPI''s'!$P82+'Summary, PPI''s'!$P81)/('Predicted PPIs'!ES82+'Predicted PPIs'!ES81)))</f>
        <v>4.0219445897510075</v>
      </c>
      <c r="EW82" s="13">
        <f>EW81*IF(EF$26=".", 1, (EF82/EF81)^(('Summary, PPI''s'!$E82+'Summary, PPI''s'!$E81)/('Predicted PPIs'!ET82+'Predicted PPIs'!ET81)))*IF(EG$26=".", 1, (EG82/EG81)^(('Summary, PPI''s'!$F82+'Summary, PPI''s'!$F81)/('Predicted PPIs'!ET82+'Predicted PPIs'!ET81)))*IF(EH$26=".", 1, (EH82/EH81)^(('Summary, PPI''s'!$G82+'Summary, PPI''s'!$G81)/('Predicted PPIs'!ET82+'Predicted PPIs'!ET81)))*IF(EK$26=".", 1, (EK82/EK81)^(('Summary, PPI''s'!$J82+'Summary, PPI''s'!$J81)/('Predicted PPIs'!ET82+'Predicted PPIs'!ET81)))*IF(EL$26=".", 1, (EL82/EL81)^(('Summary, PPI''s'!$K82+'Summary, PPI''s'!$K81)/('Predicted PPIs'!ET82+'Predicted PPIs'!ET81)))*IF(EM$26=".", 1, (EM82/EM81)^(('Summary, PPI''s'!$L82+'Summary, PPI''s'!$L81)/('Predicted PPIs'!ET82+'Predicted PPIs'!ET81)))*IF(EN$26=".", 1, (EN82/EN81)^(('Summary, PPI''s'!$M82+'Summary, PPI''s'!$M81)/('Predicted PPIs'!ET82+'Predicted PPIs'!ET81)))*IF(EC$26=".", 1, (EC82/EC81)^(('Summary, PPI''s'!$B82+'Summary, PPI''s'!$B81)/('Predicted PPIs'!ET82+'Predicted PPIs'!ET81)))</f>
        <v>6.2979315022377751</v>
      </c>
      <c r="EY82" s="2"/>
    </row>
    <row r="83" spans="1:155" x14ac:dyDescent="0.3">
      <c r="A83" s="4">
        <v>1940</v>
      </c>
      <c r="B83" s="10">
        <f>IF(B82=".", ".", IF('Summary, PPI''s'!R83=".",IF(OR('Summary, hourly ad costs'!R83=-9999,'Summary, hourly ad costs'!R83=0), ".", 'Predicted PPIs'!B82*('Summary, hourly ad costs'!B83/'Summary, hourly ad costs'!R83)/('Summary, hourly ad costs'!B82/'Summary, hourly ad costs'!R82)), 'Summary, PPI''s'!R83))</f>
        <v>25.120771715548795</v>
      </c>
      <c r="C83" s="10" t="str">
        <f>IF(C82=".", ".", IF('Summary, PPI''s'!S83=".",IF(OR('Summary, hourly ad costs'!S83=-9999,'Summary, hourly ad costs'!S83=0), ".", 'Predicted PPIs'!C82*('Summary, hourly ad costs'!C83/'Summary, hourly ad costs'!S83)/('Summary, hourly ad costs'!C82/'Summary, hourly ad costs'!S82)), 'Summary, PPI''s'!S83))</f>
        <v>.</v>
      </c>
      <c r="D83" s="10" t="str">
        <f>IF(D82=".", ".", IF('Summary, PPI''s'!T83=".",IF(OR('Summary, hourly ad costs'!T83=-9999,'Summary, hourly ad costs'!T83=0), ".", 'Predicted PPIs'!D82*('Summary, hourly ad costs'!D83/'Summary, hourly ad costs'!T83)/('Summary, hourly ad costs'!D82/'Summary, hourly ad costs'!T82)), 'Summary, PPI''s'!T83))</f>
        <v>.</v>
      </c>
      <c r="E83" s="10">
        <f>IF(E82=".", ".", IF('Summary, PPI''s'!U83=".",IF(OR('Summary, hourly ad costs'!U83=-9999,'Summary, hourly ad costs'!U83=0), ".", 'Predicted PPIs'!E82*('Summary, hourly ad costs'!E83/'Summary, hourly ad costs'!U83)/('Summary, hourly ad costs'!E82/'Summary, hourly ad costs'!U82)), 'Summary, PPI''s'!U83))</f>
        <v>1.7006490377749259</v>
      </c>
      <c r="F83" s="10">
        <f>IF(F82=".", ".", IF('Summary, PPI''s'!V83=".",IF(OR('Summary, hourly ad costs'!V83=-9999,'Summary, hourly ad costs'!V83=0), ".", 'Predicted PPIs'!F82*('Summary, hourly ad costs'!F83/'Summary, hourly ad costs'!V83)/('Summary, hourly ad costs'!F82/'Summary, hourly ad costs'!V82)), 'Summary, PPI''s'!V83))</f>
        <v>3.1742903796946269</v>
      </c>
      <c r="G83" s="10" t="str">
        <f>IF(G82=".", ".", IF('Summary, PPI''s'!W83=".",IF(OR('Summary, hourly ad costs'!W83=-9999,'Summary, hourly ad costs'!W83=0), ".", 'Predicted PPIs'!G82*('Summary, hourly ad costs'!G83/'Summary, hourly ad costs'!W83)/('Summary, hourly ad costs'!G82/'Summary, hourly ad costs'!W82)), 'Summary, PPI''s'!W83))</f>
        <v>.</v>
      </c>
      <c r="H83" s="10">
        <f>IF(H82=".", ".", IF('Summary, PPI''s'!X83=".",IF(OR('Summary, hourly ad costs'!X83=-9999,'Summary, hourly ad costs'!X83=0), ".", 'Predicted PPIs'!H82*('Summary, hourly ad costs'!H83/'Summary, hourly ad costs'!X83)/('Summary, hourly ad costs'!H82/'Summary, hourly ad costs'!X82)), 'Summary, PPI''s'!X83))</f>
        <v>2.291702788192199</v>
      </c>
      <c r="I83" s="10">
        <f>IF(I82=".", ".", IF('Summary, PPI''s'!Y83=".",IF(OR('Summary, hourly ad costs'!Y83=-9999,'Summary, hourly ad costs'!Y83=0), ".", 'Predicted PPIs'!I82*('Summary, hourly ad costs'!I83/'Summary, hourly ad costs'!Y83)/('Summary, hourly ad costs'!I82/'Summary, hourly ad costs'!Y82)), 'Summary, PPI''s'!Y83))</f>
        <v>4.8615880319492373</v>
      </c>
      <c r="J83" s="10" t="str">
        <f>IF(J82=".", ".", IF('Summary, PPI''s'!Z83=".",IF(OR('Summary, hourly ad costs'!Z83=-9999,'Summary, hourly ad costs'!Z83=0), ".", 'Predicted PPIs'!J82*('Summary, hourly ad costs'!J83/'Summary, hourly ad costs'!Z83)/('Summary, hourly ad costs'!J82/'Summary, hourly ad costs'!Z82)), 'Summary, PPI''s'!Z83))</f>
        <v>.</v>
      </c>
      <c r="K83" s="10" t="str">
        <f>IF(K82=".", ".", IF('Summary, PPI''s'!AA83=".",IF(OR('Summary, hourly ad costs'!AA83=-9999,'Summary, hourly ad costs'!AA83=0), ".", 'Predicted PPIs'!K82*('Summary, hourly ad costs'!K83/'Summary, hourly ad costs'!AA83)/('Summary, hourly ad costs'!K82/'Summary, hourly ad costs'!AA82)), 'Summary, PPI''s'!AA83))</f>
        <v>.</v>
      </c>
      <c r="L83" s="10" t="str">
        <f>IF(L82=".", ".", IF('Summary, PPI''s'!AB83=".",IF(OR('Summary, hourly ad costs'!AB83=-9999,'Summary, hourly ad costs'!AB83=0), ".", 'Predicted PPIs'!L82*('Summary, hourly ad costs'!L83/'Summary, hourly ad costs'!AB83)/('Summary, hourly ad costs'!L82/'Summary, hourly ad costs'!AB82)), 'Summary, PPI''s'!AB83))</f>
        <v>.</v>
      </c>
      <c r="M83" s="10" t="str">
        <f>IF(M82=".", ".", IF('Summary, PPI''s'!AC83=".",IF(OR('Summary, hourly ad costs'!AC83=-9999,'Summary, hourly ad costs'!AC83=0), ".", 'Predicted PPIs'!M82*('Summary, hourly ad costs'!M83/'Summary, hourly ad costs'!AC83)/('Summary, hourly ad costs'!M82/'Summary, hourly ad costs'!AC82)), 'Summary, PPI''s'!AC83))</f>
        <v>.</v>
      </c>
      <c r="N83" s="10" t="str">
        <f>IF(N82=".", ".", IF('Summary, PPI''s'!AD83=".",IF(OR('Summary, hourly ad costs'!AD83=-9999,'Summary, hourly ad costs'!AD83=0), ".", 'Predicted PPIs'!N82*('Summary, hourly ad costs'!N83/'Summary, hourly ad costs'!AD83)/('Summary, hourly ad costs'!N82/'Summary, hourly ad costs'!AD82)), 'Summary, PPI''s'!AD83))</f>
        <v>.</v>
      </c>
      <c r="O83" s="10" t="str">
        <f>IF(O82=".", ".", IF('Summary, PPI''s'!AE83=".",IF(OR('Summary, hourly ad costs'!AE83=-9999,'Summary, hourly ad costs'!AE83=0), ".", 'Predicted PPIs'!O82*('Summary, hourly ad costs'!O83/'Summary, hourly ad costs'!AE83)/('Summary, hourly ad costs'!O82/'Summary, hourly ad costs'!AE82)), 'Summary, PPI''s'!AE83))</f>
        <v>.</v>
      </c>
      <c r="P83" s="10" t="str">
        <f>IF(P82=".", ".", IF('Summary, PPI''s'!AF83=".",IF(OR('Summary, hourly ad costs'!AF83=-9999,'Summary, hourly ad costs'!AF83=0), ".", 'Predicted PPIs'!P82*('Summary, hourly ad costs'!P83/'Summary, hourly ad costs'!AF83)/('Summary, hourly ad costs'!P82/'Summary, hourly ad costs'!AF82)), 'Summary, PPI''s'!AF83))</f>
        <v>.</v>
      </c>
      <c r="R83" s="1">
        <f>IF(E$26=".", 0, 'Summary, PPI''s'!E83)+IF(F$26=".", 0, 'Summary, PPI''s'!F83)+IF(G$26=".", 0, 'Summary, PPI''s'!G83)+IF(H$26=".", 0, 'Summary, PPI''s'!H83)+IF(I$26=".", 0, 'Summary, PPI''s'!I83)+IF(J$26=".", 0, 'Summary, PPI''s'!J83)+IF(K$26=".", 0, 'Summary, PPI''s'!K83)+IF(L$26=".", 0, 'Summary, PPI''s'!L83)+IF(M$26=".", 0, 'Summary, PPI''s'!M83)+IF(B$26=".", 0, 'Summary, PPI''s'!B83)+IF(C$26=".", 0, 'Summary, PPI''s'!C83)+IF(D$26=".", 0, 'Summary, PPI''s'!D83)+IF(N$26=".", 0, 'Summary, PPI''s'!N83)+IF(O$26=".", 0, 'Summary, PPI''s'!O83)+IF(P$26=".", 0, 'Summary, PPI''s'!P83)</f>
        <v>2092615.4494730846</v>
      </c>
      <c r="S83" s="1">
        <f>IF(E$36=".", 0, 'Summary, PPI''s'!E83)+IF(F$36=".", 0, 'Summary, PPI''s'!F83)+IF(G$36=".", 0, 'Summary, PPI''s'!G83)+IF(H$36=".", 0, 'Summary, PPI''s'!H83)+IF(I$36=".", 0, 'Summary, PPI''s'!I83)+IF(J$36=".", 0, 'Summary, PPI''s'!J83)+IF(K$36=".", 0, 'Summary, PPI''s'!K83)+IF(L$36=".", 0, 'Summary, PPI''s'!L83)+IF(M$36=".", 0, 'Summary, PPI''s'!M83)+IF(B$36=".", 0, 'Summary, PPI''s'!B83)+IF(C$36=".", 0, 'Summary, PPI''s'!C83)+IF(D$36=".", 0, 'Summary, PPI''s'!D83)+IF(N$36=".", 0, 'Summary, PPI''s'!N83)+IF(O$36=".", 0, 'Summary, PPI''s'!O83)+IF(P$36=".", 0, 'Summary, PPI''s'!P83)</f>
        <v>2092615.4494730846</v>
      </c>
      <c r="T83" s="1">
        <f>IF(E$46=".", 0, 'Summary, PPI''s'!E83)+IF(F$46=".", 0, 'Summary, PPI''s'!F83)+IF(G$46=".", 0, 'Summary, PPI''s'!G83)+IF(H$46=".", 0, 'Summary, PPI''s'!H83)+IF(I$46=".", 0, 'Summary, PPI''s'!I83)+IF(J$46=".", 0, 'Summary, PPI''s'!J83)+IF(K$46=".", 0, 'Summary, PPI''s'!K83)+IF(L$46=".", 0, 'Summary, PPI''s'!L83)+IF(M$46=".", 0, 'Summary, PPI''s'!M83)+IF(B$46=".", 0, 'Summary, PPI''s'!B83)+IF(C$46=".", 0, 'Summary, PPI''s'!C83)+IF(D$46=".", 0, 'Summary, PPI''s'!D83)+IF(N$46=".", 0, 'Summary, PPI''s'!N83)+IF(O$46=".", 0, 'Summary, PPI''s'!O83)+IF(P$46=".", 0, 'Summary, PPI''s'!P83)</f>
        <v>1730234.6379357623</v>
      </c>
      <c r="U83" s="1">
        <f>IF(E$60=".", 0, 'Summary, PPI''s'!E83)+IF(F$60=".", 0, 'Summary, PPI''s'!F83)+IF(G$60=".", 0, 'Summary, PPI''s'!G83)+IF(H$60=".", 0, 'Summary, PPI''s'!H83)+IF(I$60=".", 0, 'Summary, PPI''s'!I83)+IF(J$60=".", 0, 'Summary, PPI''s'!J83)+IF(K$60=".", 0, 'Summary, PPI''s'!K83)+IF(L$60=".", 0, 'Summary, PPI''s'!L83)+IF(M$60=".", 0, 'Summary, PPI''s'!M83)+IF(B$60=".", 0, 'Summary, PPI''s'!B83)+IF(C$60=".", 0, 'Summary, PPI''s'!C83)+IF(D$60=".", 0, 'Summary, PPI''s'!D83)+IF(N$60=".", 0, 'Summary, PPI''s'!N83)+IF(O$60=".", 0, 'Summary, PPI''s'!O83)+IF(P$60=".", 0, 'Summary, PPI''s'!P83)</f>
        <v>1585069.8818277079</v>
      </c>
      <c r="V83" s="1">
        <f>IF(E$73=".", 0, 'Summary, PPI''s'!E83)+IF(F$73=".", 0, 'Summary, PPI''s'!F83)+IF(G$73=".", 0, 'Summary, PPI''s'!G83)+IF(H$73=".", 0, 'Summary, PPI''s'!H83)+IF(I$73=".", 0, 'Summary, PPI''s'!I83)+IF(J$73=".", 0, 'Summary, PPI''s'!J83)+IF(K$73=".", 0, 'Summary, PPI''s'!K83)+IF(L$73=".", 0, 'Summary, PPI''s'!L83)+IF(M$73=".", 0, 'Summary, PPI''s'!M83)+IF(B$73=".", 0, 'Summary, PPI''s'!B83)+IF(C$73=".", 0, 'Summary, PPI''s'!C83)+IF(D$73=".", 0, 'Summary, PPI''s'!D83)+IF(N$73=".", 0, 'Summary, PPI''s'!N83)+IF(O$73=".", 0, 'Summary, PPI''s'!O83)+IF(P$73=".", 0, 'Summary, PPI''s'!P83)</f>
        <v>1350056.9344887058</v>
      </c>
      <c r="W83" s="1">
        <f>IF(E$94=".",0,'Summary, PPI''s'!E83)+IF(F$94=".",0,'Summary, PPI''s'!F83)+IF(G$94=".",0,'Summary, PPI''s'!G83)+IF(H$94=".",0,'Summary, PPI''s'!H83)+IF(I$94=".",0,'Summary, PPI''s'!I83)+IF(J$94=".",0,'Summary, PPI''s'!J83)+IF(K$94=".",0,'Summary, PPI''s'!K83)+IF(L$94=".",0,'Summary, PPI''s'!L83)+IF(M$94=".",0,'Summary, PPI''s'!M83)+IF(B$94=".",0,'Summary, PPI''s'!B83)+IF(C$94=".",0,'Summary, PPI''s'!C83)+IF(D$94=".",0,'Summary, PPI''s'!D83)+IF(N$94=".",0,'Summary, PPI''s'!N83)+IF(O$94=".",0,'Summary, PPI''s'!O83)+IF(P$94=".",0,'Summary, PPI''s'!P83)</f>
        <v>1350056.9344887058</v>
      </c>
      <c r="X83" s="1">
        <f>IF(E$123=".", 0, 'Summary, PPI''s'!E83)+IF(F$123=".", 0, 'Summary, PPI''s'!F83)+IF(G$123=".", 0, 'Summary, PPI''s'!G83)+IF(H$123=".", 0, 'Summary, PPI''s'!H83)+IF(I$123=".", 0, 'Summary, PPI''s'!I83)+IF(J$123=".", 0, 'Summary, PPI''s'!J83)+IF(K$123=".", 0, 'Summary, PPI''s'!K83)+IF(L$123=".", 0, 'Summary, PPI''s'!L83)+IF(M$123=".", 0, 'Summary, PPI''s'!M83)+IF(B$123=".", 0, 'Summary, PPI''s'!B83)+IF(C$123=".", 0, 'Summary, PPI''s'!C83)+IF(D$123=".", 0, 'Summary, PPI''s'!D83)+IF(N$123=".", 0, 'Summary, PPI''s'!N83)+IF(O$123=".", 0, 'Summary, PPI''s'!O83)+IF(P$123=".", 0, 'Summary, PPI''s'!P83)</f>
        <v>1177773.7504050531</v>
      </c>
      <c r="Z83" s="4" t="e">
        <f>Z82*IF(E$26=".", 1, (E83/E82)^(('Summary, PPI''s'!$E83+'Summary, PPI''s'!$E82)/('Predicted PPIs'!R83+'Predicted PPIs'!R82)))*IF(F$26=".", 1, (F83/F82)^(('Summary, PPI''s'!$F83+'Summary, PPI''s'!$F82)/('Predicted PPIs'!R83+'Predicted PPIs'!R82)))*IF(G$26=".", 1, (G83/G82)^(('Summary, PPI''s'!$G83+'Summary, PPI''s'!$G82)/('Predicted PPIs'!R83+'Predicted PPIs'!R82)))*IF(H$26=".", 1, (H83/H82)^(('Summary, PPI''s'!$H83+'Summary, PPI''s'!$H82)/('Predicted PPIs'!R83+'Predicted PPIs'!R82)))*IF(I$26=".", 1, (I83/I82)^(('Summary, PPI''s'!$I83+'Summary, PPI''s'!$I82)/('Predicted PPIs'!R83+'Predicted PPIs'!R82)))*IF(J$26=".", 1, (J83/J82)^(('Summary, PPI''s'!$J83+'Summary, PPI''s'!$J82)/('Predicted PPIs'!R83+'Predicted PPIs'!R82)))*IF(K$26=".", 1, (K83/K82)^(('Summary, PPI''s'!$K83+'Summary, PPI''s'!$K82)/('Predicted PPIs'!R83+'Predicted PPIs'!R82)))*IF(L$26=".", 1, (L83/L82)^(('Summary, PPI''s'!$L83+'Summary, PPI''s'!$L82)/('Predicted PPIs'!R83+'Predicted PPIs'!R82)))*IF(M$26=".", 1, (M83/M82)^(('Summary, PPI''s'!$M83+'Summary, PPI''s'!$M82)/('Predicted PPIs'!R83+'Predicted PPIs'!R82)))*IF(B$26=".", 1, (B83/B82)^(('Summary, PPI''s'!$B83+'Summary, PPI''s'!$B82)/('Predicted PPIs'!R83+'Predicted PPIs'!R82)))*IF(C$26=".", 1, (C83/C82)^(('Summary, PPI''s'!$C83+'Summary, PPI''s'!$C82)/('Predicted PPIs'!R83+'Predicted PPIs'!R82)))*IF(D$26=".", 1, (D83/D82)^(('Summary, PPI''s'!$D83+'Summary, PPI''s'!$D82)/('Predicted PPIs'!R83+'Predicted PPIs'!R82)))*IF(N$26=".", 1, (N83/N82)^(('Summary, PPI''s'!$N83+'Summary, PPI''s'!$N82)/('Predicted PPIs'!R83+'Predicted PPIs'!R82)))*IF(O$26=".", 1, (O83/O82)^(('Summary, PPI''s'!$O83+'Summary, PPI''s'!$O82)/('Predicted PPIs'!R83+'Predicted PPIs'!R82)))*IF(P$26=".", 1, (P83/P82)^(('Summary, PPI''s'!$P83+'Summary, PPI''s'!$P82)/('Predicted PPIs'!R83+'Predicted PPIs'!R82)))</f>
        <v>#VALUE!</v>
      </c>
      <c r="AA83" s="4" t="e">
        <f>AA82*IF(E$36=".", 1, (E83/E82)^(('Summary, PPI''s'!$E83+'Summary, PPI''s'!$E82)/('Predicted PPIs'!S83+'Predicted PPIs'!S82)))*IF(F$36=".", 1, (F83/F82)^(('Summary, PPI''s'!$F83+'Summary, PPI''s'!$F82)/('Predicted PPIs'!S83+'Predicted PPIs'!S82)))*IF(G$36=".", 1, (G83/G82)^(('Summary, PPI''s'!$G83+'Summary, PPI''s'!$G82)/('Predicted PPIs'!S83+'Predicted PPIs'!S82)))*IF(H$36=".", 1, (H83/H82)^(('Summary, PPI''s'!$H83+'Summary, PPI''s'!$H82)/('Predicted PPIs'!S83+'Predicted PPIs'!S82)))*IF(I$36=".", 1, (I83/I82)^(('Summary, PPI''s'!$I83+'Summary, PPI''s'!$I82)/('Predicted PPIs'!S83+'Predicted PPIs'!S82)))*IF(J$36=".", 1, (J83/J82)^(('Summary, PPI''s'!$J83+'Summary, PPI''s'!$J82)/('Predicted PPIs'!S83+'Predicted PPIs'!S82)))*IF(K$36=".", 1, (K83/K82)^(('Summary, PPI''s'!$K83+'Summary, PPI''s'!$K82)/('Predicted PPIs'!S83+'Predicted PPIs'!S82)))*IF(L$36=".", 1, (L83/L82)^(('Summary, PPI''s'!$L83+'Summary, PPI''s'!$L82)/('Predicted PPIs'!S83+'Predicted PPIs'!S82)))*IF(M$36=".", 1, (M83/M82)^(('Summary, PPI''s'!$M83+'Summary, PPI''s'!$M82)/('Predicted PPIs'!S83+'Predicted PPIs'!S82)))*IF(B$36=".", 1, (B83/B82)^(('Summary, PPI''s'!$B83+'Summary, PPI''s'!$B82)/('Predicted PPIs'!S83+'Predicted PPIs'!S82)))*IF(C$36=".", 1, (C83/C82)^(('Summary, PPI''s'!$C83+'Summary, PPI''s'!$C82)/('Predicted PPIs'!S83+'Predicted PPIs'!S82)))*IF(D$36=".", 1, (D83/D82)^(('Summary, PPI''s'!$D83+'Summary, PPI''s'!$D82)/('Predicted PPIs'!S83+'Predicted PPIs'!S82)))*IF(N$36=".", 1, (N83/N82)^(('Summary, PPI''s'!$N83+'Summary, PPI''s'!$N82)/('Predicted PPIs'!S83+'Predicted PPIs'!S82)))*IF(O$36=".", 1, (O83/O82)^(('Summary, PPI''s'!$O83+'Summary, PPI''s'!$O82)/('Predicted PPIs'!S83+'Predicted PPIs'!S82)))*IF(P$36=".", 1, (P83/P82)^(('Summary, PPI''s'!$P83+'Summary, PPI''s'!$P82)/('Predicted PPIs'!S83+'Predicted PPIs'!S82)))</f>
        <v>#VALUE!</v>
      </c>
      <c r="AB83" s="4" t="e">
        <f>AB82*IF(E$46=".", 1, (E83/E82)^(('Summary, PPI''s'!$E83+'Summary, PPI''s'!$E82)/('Predicted PPIs'!T83+'Predicted PPIs'!T82)))*IF(F$46=".", 1, (F83/F82)^(('Summary, PPI''s'!$F83+'Summary, PPI''s'!$F82)/('Predicted PPIs'!T83+'Predicted PPIs'!T82)))*IF(G$46=".", 1, (G83/G82)^(('Summary, PPI''s'!$G83+'Summary, PPI''s'!$G82)/('Predicted PPIs'!T83+'Predicted PPIs'!T82)))*IF(H$46=".", 1, (H83/H82)^(('Summary, PPI''s'!$H83+'Summary, PPI''s'!$H82)/('Predicted PPIs'!T83+'Predicted PPIs'!T82)))*IF(I$46=".", 1, (I83/I82)^(('Summary, PPI''s'!$I83+'Summary, PPI''s'!$I82)/('Predicted PPIs'!T83+'Predicted PPIs'!T82)))*IF(J$46=".", 1, (J83/J82)^(('Summary, PPI''s'!$J83+'Summary, PPI''s'!$J82)/('Predicted PPIs'!T83+'Predicted PPIs'!T82)))*IF(K$46=".", 1, (K83/K82)^(('Summary, PPI''s'!$K83+'Summary, PPI''s'!$K82)/('Predicted PPIs'!T83+'Predicted PPIs'!T82)))*IF(L$46=".", 1, (L83/L82)^(('Summary, PPI''s'!$L83+'Summary, PPI''s'!$L82)/('Predicted PPIs'!T83+'Predicted PPIs'!T82)))*IF(M$46=".", 1, (M83/M82)^(('Summary, PPI''s'!$M83+'Summary, PPI''s'!$M82)/('Predicted PPIs'!T83+'Predicted PPIs'!T82)))*IF(B$46=".", 1, (B83/B82)^(('Summary, PPI''s'!$B83+'Summary, PPI''s'!$B82)/('Predicted PPIs'!T83+'Predicted PPIs'!T82)))*IF(C$46=".", 1, (C83/C82)^(('Summary, PPI''s'!$C83+'Summary, PPI''s'!$C82)/('Predicted PPIs'!T83+'Predicted PPIs'!T82)))*IF(D$46=".", 1, (D83/D82)^(('Summary, PPI''s'!$D83+'Summary, PPI''s'!$D82)/('Predicted PPIs'!T83+'Predicted PPIs'!T82)))*IF(N$46=".", 1, (N83/N82)^(('Summary, PPI''s'!$N83+'Summary, PPI''s'!$N82)/('Predicted PPIs'!T83+'Predicted PPIs'!T82)))*IF(O$46=".", 1, (O83/O82)^(('Summary, PPI''s'!$O83+'Summary, PPI''s'!$O82)/('Predicted PPIs'!T83+'Predicted PPIs'!T82)))*IF(P$46=".", 1, (P83/P82)^(('Summary, PPI''s'!$P83+'Summary, PPI''s'!$P82)/('Predicted PPIs'!T83+'Predicted PPIs'!T82)))</f>
        <v>#VALUE!</v>
      </c>
      <c r="AC83" s="4" t="e">
        <f>AC82*IF(E$60=".",1,(E83/E82)^(('Summary, PPI''s'!$E83+'Summary, PPI''s'!$E82)/('Predicted PPIs'!U83+'Predicted PPIs'!U82)))*IF(F$60=".",1,(F83/F82)^(('Summary, PPI''s'!$F83+'Summary, PPI''s'!$F82)/('Predicted PPIs'!U83+'Predicted PPIs'!U82)))*IF(G$60=".",1,(G83/G82)^(('Summary, PPI''s'!$G83+'Summary, PPI''s'!$G82)/('Predicted PPIs'!U83+'Predicted PPIs'!U82)))*IF(H$60=".",1,(H83/H82)^(('Summary, PPI''s'!$H83+'Summary, PPI''s'!$H82)/('Predicted PPIs'!U83+'Predicted PPIs'!U82)))*IF(I$60=".",1,(I83/I82)^(('Summary, PPI''s'!$I83+'Summary, PPI''s'!$I82)/('Predicted PPIs'!U83+'Predicted PPIs'!U82)))*IF(J$60=".",1,(J83/J82)^(('Summary, PPI''s'!$J83+'Summary, PPI''s'!$J82)/('Predicted PPIs'!U83+'Predicted PPIs'!U82)))*IF(K$60=".",1,(K83/K82)^(('Summary, PPI''s'!$K83+'Summary, PPI''s'!$K82)/('Predicted PPIs'!U83+'Predicted PPIs'!U82)))*IF(L$60=".",1,(L83/L82)^(('Summary, PPI''s'!$L83+'Summary, PPI''s'!$L82)/('Predicted PPIs'!U83+'Predicted PPIs'!U82)))*IF(M$60=".",1,(M83/M82)^(('Summary, PPI''s'!$M83+'Summary, PPI''s'!$M82)/('Predicted PPIs'!U83+'Predicted PPIs'!U82)))*IF(B$60=".",1,(B83/B82)^(('Summary, PPI''s'!$B83+'Summary, PPI''s'!$B82)/('Predicted PPIs'!U83+'Predicted PPIs'!U82)))*IF(C$60=".",1,(C83/C82)^(('Summary, PPI''s'!$C83+'Summary, PPI''s'!$C82)/('Predicted PPIs'!U83+'Predicted PPIs'!U82)))*IF(D$60=".",1,(D83/D82)^(('Summary, PPI''s'!$D83+'Summary, PPI''s'!$D82)/('Predicted PPIs'!U83+'Predicted PPIs'!U82)))*IF(N$60=".",1,(N83/N82)^(('Summary, PPI''s'!$N83+'Summary, PPI''s'!$N82)/('Predicted PPIs'!U83+'Predicted PPIs'!U82)))*IF(O$60=".",1,(O83/O82)^(('Summary, PPI''s'!$O83+'Summary, PPI''s'!$O82)/('Predicted PPIs'!U83+'Predicted PPIs'!U82)))*IF(P$60=".",1,(P83/P82)^(('Summary, PPI''s'!$P83+'Summary, PPI''s'!$P82)/('Predicted PPIs'!U83+'Predicted PPIs'!U82)))</f>
        <v>#VALUE!</v>
      </c>
      <c r="AD83" s="4" t="e">
        <f>AD82*IF(E$73=".", 1, (E83/E82)^(('Summary, PPI''s'!$E83+'Summary, PPI''s'!$E82)/('Predicted PPIs'!V83+'Predicted PPIs'!V82)))*IF(F$73=".", 1, (F83/F82)^(('Summary, PPI''s'!$F83+'Summary, PPI''s'!$F82)/('Predicted PPIs'!V83+'Predicted PPIs'!V82)))*IF(G$73=".", 1, (G83/G82)^(('Summary, PPI''s'!$G83+'Summary, PPI''s'!$G82)/('Predicted PPIs'!V83+'Predicted PPIs'!V82)))*IF(H$73=".", 1, (H83/H82)^(('Summary, PPI''s'!$H83+'Summary, PPI''s'!$H82)/('Predicted PPIs'!V83+'Predicted PPIs'!V82)))*IF(I$73=".", 1, (I83/I82)^(('Summary, PPI''s'!$I83+'Summary, PPI''s'!$I82)/('Predicted PPIs'!V83+'Predicted PPIs'!V82)))*IF(J$73=".", 1, (J83/J82)^(('Summary, PPI''s'!$J83+'Summary, PPI''s'!$J82)/('Predicted PPIs'!V83+'Predicted PPIs'!V82)))*IF(K$73=".", 1, (K83/K82)^(('Summary, PPI''s'!$K83+'Summary, PPI''s'!$K82)/('Predicted PPIs'!V83+'Predicted PPIs'!V82)))*IF(L$73=".", 1, (L83/L82)^(('Summary, PPI''s'!$L83+'Summary, PPI''s'!$L82)/('Predicted PPIs'!V83+'Predicted PPIs'!V82)))*IF(M$73=".", 1, (M83/M82)^(('Summary, PPI''s'!$M83+'Summary, PPI''s'!$M82)/('Predicted PPIs'!V83+'Predicted PPIs'!V82)))*IF(B$73=".", 1, (B83/B82)^(('Summary, PPI''s'!$B83+'Summary, PPI''s'!$B82)/('Predicted PPIs'!V83+'Predicted PPIs'!V82)))*IF(C$73=".", 1, (C83/C82)^(('Summary, PPI''s'!$C83+'Summary, PPI''s'!$C82)/('Predicted PPIs'!V83+'Predicted PPIs'!V82)))*IF(D$73=".", 1, (D83/D82)^(('Summary, PPI''s'!$D83+'Summary, PPI''s'!$D82)/('Predicted PPIs'!V83+'Predicted PPIs'!V82)))*IF(N$73=".", 1, (N83/N82)^(('Summary, PPI''s'!$N83+'Summary, PPI''s'!$N82)/('Predicted PPIs'!V83+'Predicted PPIs'!V82)))*IF(O$73=".", 1, (O83/O82)^(('Summary, PPI''s'!$O83+'Summary, PPI''s'!$O82)/('Predicted PPIs'!V83+'Predicted PPIs'!V82)))*IF(P$73=".", 1, (P83/P82)^(('Summary, PPI''s'!$P83+'Summary, PPI''s'!$P82)/('Predicted PPIs'!V83+'Predicted PPIs'!V82)))</f>
        <v>#VALUE!</v>
      </c>
      <c r="AE83" s="4">
        <f>AE82*IF(E$94=".", 1, (E83/E82)^(('Summary, PPI''s'!$E83+'Summary, PPI''s'!$E82)/('Predicted PPIs'!W83+'Predicted PPIs'!W82)))*IF(F$94=".", 1, (F83/F82)^(('Summary, PPI''s'!$F83+'Summary, PPI''s'!$F82)/('Predicted PPIs'!W83+'Predicted PPIs'!W82)))*IF(G$94=".", 1, (G83/G82)^(('Summary, PPI''s'!$G83+'Summary, PPI''s'!$G82)/('Predicted PPIs'!W83+'Predicted PPIs'!W82)))*IF(H$94=".", 1, (H83/H82)^(('Summary, PPI''s'!$H83+'Summary, PPI''s'!$H82)/('Predicted PPIs'!W83+'Predicted PPIs'!W82)))*IF(I$94=".", 1, (I83/I82)^(('Summary, PPI''s'!$I83+'Summary, PPI''s'!$I82)/('Predicted PPIs'!W83+'Predicted PPIs'!W82)))*IF(J$94=".", 1, (J83/J82)^(('Summary, PPI''s'!$J83+'Summary, PPI''s'!$J82)/('Predicted PPIs'!W83+'Predicted PPIs'!W82)))*IF(K$94=".", 1, (K83/K82)^(('Summary, PPI''s'!$K83+'Summary, PPI''s'!$K82)/('Predicted PPIs'!W83+'Predicted PPIs'!W82)))*IF(L$94=".", 1, (L83/L82)^(('Summary, PPI''s'!$L83+'Summary, PPI''s'!$L82)/('Predicted PPIs'!W83+'Predicted PPIs'!W82)))*IF(M$94=".", 1, (M83/M82)^(('Summary, PPI''s'!$M83+'Summary, PPI''s'!$M82)/('Predicted PPIs'!W83+'Predicted PPIs'!W82)))*IF(B$94=".", 1, (B83/B82)^(('Summary, PPI''s'!$B83+'Summary, PPI''s'!$B82)/('Predicted PPIs'!W83+'Predicted PPIs'!W82)))*IF(C$94=".", 1, (C83/C82)^(('Summary, PPI''s'!$C83+'Summary, PPI''s'!$C82)/('Predicted PPIs'!W83+'Predicted PPIs'!W82)))*IF(D$94=".", 1, (D83/D82)^(('Summary, PPI''s'!$D83+'Summary, PPI''s'!$D82)/('Predicted PPIs'!W83+'Predicted PPIs'!W82)))*IF(N$94=".", 1, (N83/N82)^(('Summary, PPI''s'!$N83+'Summary, PPI''s'!$N82)/('Predicted PPIs'!W83+'Predicted PPIs'!W82)))*IF(O$94=".", 1, (O83/O82)^(('Summary, PPI''s'!$O83+'Summary, PPI''s'!$O82)/('Predicted PPIs'!W83+'Predicted PPIs'!W82)))*IF(P$94=".", 1, (P83/P82)^(('Summary, PPI''s'!$P83+'Summary, PPI''s'!$P82)/('Predicted PPIs'!W83+'Predicted PPIs'!W82)))</f>
        <v>3.1808971321846489</v>
      </c>
      <c r="AF83" s="4">
        <f>AF82*IF(E$123=".", 1, (E83/E82)^(('Summary, PPI''s'!$E83+'Summary, PPI''s'!$E82)/('Predicted PPIs'!X83+'Predicted PPIs'!X82)))*IF(F$123=".", 1, (F83/F82)^(('Summary, PPI''s'!$F83+'Summary, PPI''s'!$F82)/('Predicted PPIs'!X83+'Predicted PPIs'!X82)))*IF(G$123=".", 1, (G83/G82)^(('Summary, PPI''s'!$G83+'Summary, PPI''s'!$G82)/('Predicted PPIs'!X83+'Predicted PPIs'!X82)))*IF(H$123=".", 1, (H83/H82)^(('Summary, PPI''s'!$H83+'Summary, PPI''s'!$H82)/('Predicted PPIs'!X83+'Predicted PPIs'!X82)))*IF(I$123=".", 1, (I83/I82)^(('Summary, PPI''s'!$I83+'Summary, PPI''s'!$I82)/('Predicted PPIs'!X83+'Predicted PPIs'!X82)))*IF(J$123=".", 1, (J83/J82)^(('Summary, PPI''s'!$J83+'Summary, PPI''s'!$J82)/('Predicted PPIs'!X83+'Predicted PPIs'!X82)))*IF(K$123=".", 1, (K83/K82)^(('Summary, PPI''s'!$K83+'Summary, PPI''s'!$K82)/('Predicted PPIs'!X83+'Predicted PPIs'!X82)))*IF(L$123=".", 1, (L83/L82)^(('Summary, PPI''s'!$L83+'Summary, PPI''s'!$L82)/('Predicted PPIs'!X83+'Predicted PPIs'!X82)))*IF(M$123=".", 1, (M83/M82)^(('Summary, PPI''s'!$M83+'Summary, PPI''s'!$M82)/('Predicted PPIs'!X83+'Predicted PPIs'!X82)))*IF(B$123=".", 1, (B83/B82)^(('Summary, PPI''s'!$B83+'Summary, PPI''s'!$B82)/('Predicted PPIs'!X83+'Predicted PPIs'!X82)))*IF(C$123=".", 1, (C83/C82)^(('Summary, PPI''s'!$C83+'Summary, PPI''s'!$C82)/('Predicted PPIs'!X83+'Predicted PPIs'!X82)))*IF(D$123=".", 1, (D83/D82)^(('Summary, PPI''s'!$D83+'Summary, PPI''s'!$D82)/('Predicted PPIs'!X83+'Predicted PPIs'!X82)))*IF(N$123=".", 1, (N83/N82)^(('Summary, PPI''s'!$N83+'Summary, PPI''s'!$N82)/('Predicted PPIs'!X83+'Predicted PPIs'!X82)))*IF(O$123=".", 1, (O83/O82)^(('Summary, PPI''s'!$O83+'Summary, PPI''s'!$O82)/('Predicted PPIs'!X83+'Predicted PPIs'!X82)))*IF(P$123=".", 1, (P83/P82)^(('Summary, PPI''s'!$P83+'Summary, PPI''s'!$P82)/('Predicted PPIs'!X83+'Predicted PPIs'!X82)))</f>
        <v>2.8502474573928662</v>
      </c>
      <c r="AH83" s="13">
        <f t="shared" si="152"/>
        <v>4.349977450161389</v>
      </c>
      <c r="AJ83" s="4">
        <v>71.3</v>
      </c>
      <c r="AK83" s="4">
        <v>-1.21</v>
      </c>
      <c r="AL83" s="4">
        <v>-4.3099999999999996</v>
      </c>
      <c r="AM83" s="4">
        <v>-0.74399999999999999</v>
      </c>
      <c r="AN83" s="4">
        <f t="shared" si="176"/>
        <v>95.081346510191466</v>
      </c>
      <c r="AO83" s="4">
        <v>12.4</v>
      </c>
      <c r="AP83" s="4">
        <f t="shared" si="177"/>
        <v>-1.1471657754010696</v>
      </c>
      <c r="AQ83" s="4">
        <f t="shared" si="178"/>
        <v>-2.1686737967914436</v>
      </c>
      <c r="AR83" s="4">
        <f t="shared" si="148"/>
        <v>-1.821333868952512E-4</v>
      </c>
      <c r="AS83" s="4">
        <v>-0.45900000000000002</v>
      </c>
      <c r="AT83" s="4">
        <v>7.3929999999999998</v>
      </c>
      <c r="AU83" s="4">
        <v>10.138999999999999</v>
      </c>
      <c r="AV83" s="4">
        <v>8.8070000000000004</v>
      </c>
      <c r="AW83" s="4">
        <v>5.4939999999999998</v>
      </c>
      <c r="AX83" s="4">
        <f t="shared" si="179"/>
        <v>7.0420514729426813</v>
      </c>
      <c r="AY83" s="4">
        <v>9.5250000000000004</v>
      </c>
      <c r="AZ83" s="4">
        <v>3.173</v>
      </c>
      <c r="BA83" s="4">
        <v>7.8559999999999999</v>
      </c>
      <c r="BB83" s="4">
        <f t="shared" si="150"/>
        <v>44.934383487707045</v>
      </c>
      <c r="BC83" s="4">
        <v>7.9039999999999999</v>
      </c>
      <c r="BG83" s="4">
        <f t="shared" si="172"/>
        <v>9.7132971631403855</v>
      </c>
      <c r="BI83" s="4">
        <f>BI$13*'[2]Ordinary Experience'!$D$343/'[2]Ordinary Experience'!$D$413</f>
        <v>132278408.53664184</v>
      </c>
      <c r="BJ83" s="4">
        <f>'[2]Ordinary Experience'!$E$343</f>
        <v>25</v>
      </c>
      <c r="BL83" s="4">
        <f t="shared" si="151"/>
        <v>24.703141114146721</v>
      </c>
      <c r="BM83" s="4">
        <f t="shared" si="153"/>
        <v>4.5599147730015943E-2</v>
      </c>
      <c r="BO83" s="4" t="str">
        <f>IF(OR('Summary, hourly ad costs'!R83=-9999,'Summary, PPI''s'!R83="."),".",(('Summary, hourly ad costs'!B83/'Summary, hourly ad costs'!R83)*100/('Summary, hourly ad costs'!B$11/'Summary, hourly ad costs'!R$11))/('Summary, PPI''s'!R83))</f>
        <v>.</v>
      </c>
      <c r="BP83" s="4" t="str">
        <f>IF(OR('Summary, hourly ad costs'!S83=-9999,'Summary, PPI''s'!S83="."),".",(('Summary, hourly ad costs'!C83/'Summary, hourly ad costs'!S83)*100/('Summary, hourly ad costs'!C$11/'Summary, hourly ad costs'!S$11))/('Summary, PPI''s'!S83))</f>
        <v>.</v>
      </c>
      <c r="BQ83" s="4" t="str">
        <f>IF(OR('Summary, hourly ad costs'!T83=-9999,'Summary, PPI''s'!T83="."),".",(('Summary, hourly ad costs'!D83/'Summary, hourly ad costs'!T83)*100/('Summary, hourly ad costs'!D$11/'Summary, hourly ad costs'!T$11))/('Summary, PPI''s'!T83))</f>
        <v>.</v>
      </c>
      <c r="BR83" s="4" t="str">
        <f>IF(OR('Summary, hourly ad costs'!U83=-9999,'Summary, PPI''s'!U83="."),".",(('Summary, hourly ad costs'!E83/'Summary, hourly ad costs'!U83)*100/('Summary, hourly ad costs'!E$11/'Summary, hourly ad costs'!U$11))/('Summary, PPI''s'!U83))</f>
        <v>.</v>
      </c>
      <c r="BS83" s="4" t="str">
        <f>IF(OR('Summary, hourly ad costs'!V83=-9999,'Summary, PPI''s'!V83="."),".",(('Summary, hourly ad costs'!F83/'Summary, hourly ad costs'!V83)*100/('Summary, hourly ad costs'!F$11/'Summary, hourly ad costs'!V$11))/('Summary, PPI''s'!V83))</f>
        <v>.</v>
      </c>
      <c r="BT83" s="4" t="str">
        <f>IF(OR('Summary, hourly ad costs'!W83=-9999,'Summary, PPI''s'!W83="."),".",(('Summary, hourly ad costs'!G83/'Summary, hourly ad costs'!W83)*100/('Summary, hourly ad costs'!G$11/'Summary, hourly ad costs'!W$11))/('Summary, PPI''s'!W83))</f>
        <v>.</v>
      </c>
      <c r="BU83" s="4" t="str">
        <f>IF(OR('Summary, hourly ad costs'!X83=-9999,'Summary, PPI''s'!X83="."),".",(('Summary, hourly ad costs'!H83/'Summary, hourly ad costs'!X83)*100/('Summary, hourly ad costs'!H$11/'Summary, hourly ad costs'!X$11))/('Summary, PPI''s'!X83))</f>
        <v>.</v>
      </c>
      <c r="BV83" s="4" t="str">
        <f>IF(OR('Summary, hourly ad costs'!Y83=-9999,'Summary, PPI''s'!Y83="."),".",(('Summary, hourly ad costs'!I83/'Summary, hourly ad costs'!Y83)*100/('Summary, hourly ad costs'!I$11/'Summary, hourly ad costs'!Y$11))/('Summary, PPI''s'!Y83))</f>
        <v>.</v>
      </c>
      <c r="BW83" s="4" t="str">
        <f>IF(OR('Summary, hourly ad costs'!Z83=-9999,'Summary, PPI''s'!Z83="."),".",(('Summary, hourly ad costs'!J83/'Summary, hourly ad costs'!Z83)*100/('Summary, hourly ad costs'!J$11/'Summary, hourly ad costs'!Z$11))/('Summary, PPI''s'!Z83))</f>
        <v>.</v>
      </c>
      <c r="BX83" s="4" t="str">
        <f>IF(OR('Summary, hourly ad costs'!AA83=-9999,'Summary, PPI''s'!AA83="."),".",(('Summary, hourly ad costs'!K83/'Summary, hourly ad costs'!AA83)*100/('Summary, hourly ad costs'!K$11/'Summary, hourly ad costs'!AA$11))/('Summary, PPI''s'!AA83))</f>
        <v>.</v>
      </c>
      <c r="BY83" s="4" t="str">
        <f>IF(OR('Summary, hourly ad costs'!AB83=-9999,'Summary, PPI''s'!AB83="."),".",(('Summary, hourly ad costs'!L83/'Summary, hourly ad costs'!AB83)*100/('Summary, hourly ad costs'!L$11/'Summary, hourly ad costs'!AB$11))/('Summary, PPI''s'!AB83))</f>
        <v>.</v>
      </c>
      <c r="BZ83" s="4" t="str">
        <f>IF(OR('Summary, hourly ad costs'!AC83=-9999,'Summary, PPI''s'!AC83="."),".",(('Summary, hourly ad costs'!M83/'Summary, hourly ad costs'!AC83)*100/('Summary, hourly ad costs'!M$11/'Summary, hourly ad costs'!AC$11))/('Summary, PPI''s'!AC83))</f>
        <v>.</v>
      </c>
      <c r="CA83" s="4" t="str">
        <f>IF(OR('Summary, hourly ad costs'!AD83=-9999,'Summary, PPI''s'!AD83="."),".",(('Summary, hourly ad costs'!N83/'Summary, hourly ad costs'!AD83)*100/('Summary, hourly ad costs'!N$11/'Summary, hourly ad costs'!AD$11))/('Summary, PPI''s'!AD83))</f>
        <v>.</v>
      </c>
      <c r="CB83" s="4" t="str">
        <f>IF(OR('Summary, hourly ad costs'!AE83=-9999,'Summary, PPI''s'!AE83="."),".",(('Summary, hourly ad costs'!O83/'Summary, hourly ad costs'!AE83)*100/('Summary, hourly ad costs'!O$11/'Summary, hourly ad costs'!AE$11))/('Summary, PPI''s'!AE83))</f>
        <v>.</v>
      </c>
      <c r="CC83" s="4" t="str">
        <f>IF(OR('Summary, hourly ad costs'!AF83=-9999,'Summary, PPI''s'!AF83="."),".",(('Summary, hourly ad costs'!P83/'Summary, hourly ad costs'!AF83)*100/('Summary, hourly ad costs'!P$11/'Summary, hourly ad costs'!AF$11))/('Summary, PPI''s'!AF83))</f>
        <v>.</v>
      </c>
      <c r="CE83" s="4">
        <f t="shared" si="134"/>
        <v>1.1213920473763378E-2</v>
      </c>
      <c r="CF83" s="4" t="str">
        <f t="shared" si="135"/>
        <v>.</v>
      </c>
      <c r="CG83" s="4" t="str">
        <f t="shared" si="136"/>
        <v>.</v>
      </c>
      <c r="CH83" s="4">
        <f t="shared" si="145"/>
        <v>3.7704184254753838E-2</v>
      </c>
      <c r="CI83" s="4">
        <f t="shared" si="145"/>
        <v>4.4525722534619797E-2</v>
      </c>
      <c r="CJ83" s="4" t="str">
        <f t="shared" si="147"/>
        <v>.</v>
      </c>
      <c r="CK83" s="4">
        <f t="shared" si="149"/>
        <v>1.9564281102917151E-3</v>
      </c>
      <c r="CL83" s="4">
        <f t="shared" si="130"/>
        <v>3.0845243174634704E-2</v>
      </c>
      <c r="CM83" s="4">
        <f t="shared" si="130"/>
        <v>2.8743473085540486E-2</v>
      </c>
      <c r="CN83" s="4">
        <f t="shared" si="89"/>
        <v>1.6720401054332167E-2</v>
      </c>
      <c r="CO83" s="4">
        <f t="shared" si="180"/>
        <v>0.29374190589440974</v>
      </c>
      <c r="CP83" s="4">
        <f t="shared" si="180"/>
        <v>7.0144706866994533E-2</v>
      </c>
      <c r="CQ83" s="4" t="str">
        <f t="shared" si="173"/>
        <v>.</v>
      </c>
      <c r="CR83" s="4" t="str">
        <f t="shared" si="174"/>
        <v>.</v>
      </c>
      <c r="CS83" s="4" t="str">
        <f t="shared" si="175"/>
        <v>.</v>
      </c>
      <c r="CU83" s="5">
        <f>IF(CU82=".", ".", IF('Summary, PPI''s'!R83=".",IF(OR('Summary, hourly ad costs'!R83=-9999,'Summary, hourly ad costs'!R83=0), ".", 'Predicted PPIs'!CU82*('Summary, hourly ad costs'!B83/'Summary, hourly ad costs'!R83)/('Summary, hourly ad costs'!B82/'Summary, hourly ad costs'!R82)/(1-CE82)), 'Summary, PPI''s'!R83))</f>
        <v>21.18015909498212</v>
      </c>
      <c r="CV83" s="5" t="str">
        <f>IF(CV82=".", ".", IF('Summary, PPI''s'!S83=".",IF(OR('Summary, hourly ad costs'!S83=-9999,'Summary, hourly ad costs'!S83=0), ".", 'Predicted PPIs'!CV82*('Summary, hourly ad costs'!C83/'Summary, hourly ad costs'!S83)/('Summary, hourly ad costs'!C82/'Summary, hourly ad costs'!S82)/(1-CF82)), 'Summary, PPI''s'!S83))</f>
        <v>.</v>
      </c>
      <c r="CW83" s="5" t="str">
        <f>IF(CW82=".", ".", IF('Summary, PPI''s'!T83=".",IF(OR('Summary, hourly ad costs'!T83=-9999,'Summary, hourly ad costs'!T83=0), ".", 'Predicted PPIs'!CW82*('Summary, hourly ad costs'!D83/'Summary, hourly ad costs'!T83)/('Summary, hourly ad costs'!D82/'Summary, hourly ad costs'!T82)/(1-CG82)), 'Summary, PPI''s'!T83))</f>
        <v>.</v>
      </c>
      <c r="CX83" s="5">
        <f>IF(CX82=".", ".", IF('Summary, PPI''s'!U83=".",IF(OR('Summary, hourly ad costs'!U83=-9999,'Summary, hourly ad costs'!U83=0), ".", 'Predicted PPIs'!CX82*('Summary, hourly ad costs'!E83/'Summary, hourly ad costs'!U83)/('Summary, hourly ad costs'!E82/'Summary, hourly ad costs'!U82)/(1-CH82)), 'Summary, PPI''s'!U83))</f>
        <v>2.2811143274334476</v>
      </c>
      <c r="CY83" s="5">
        <f>IF(CY82=".", ".", IF('Summary, PPI''s'!V83=".",IF(OR('Summary, hourly ad costs'!V83=-9999,'Summary, hourly ad costs'!V83=0), ".", 'Predicted PPIs'!CY82*('Summary, hourly ad costs'!F83/'Summary, hourly ad costs'!V83)/('Summary, hourly ad costs'!F82/'Summary, hourly ad costs'!V82)/(1-CI82)), 'Summary, PPI''s'!V83))</f>
        <v>4.6417317119962442</v>
      </c>
      <c r="CZ83" s="5" t="str">
        <f>IF(CZ82=".", ".", IF('Summary, PPI''s'!W83=".",IF(OR('Summary, hourly ad costs'!W83=-9999,'Summary, hourly ad costs'!W83=0), ".", 'Predicted PPIs'!CZ82*('Summary, hourly ad costs'!G83/'Summary, hourly ad costs'!W83)/('Summary, hourly ad costs'!G82/'Summary, hourly ad costs'!W82)/(1-CJ82)), 'Summary, PPI''s'!W83))</f>
        <v>.</v>
      </c>
      <c r="DA83" s="5">
        <f>IF(DA82=".", ".", IF('Summary, PPI''s'!X83=".",IF(OR('Summary, hourly ad costs'!X83=-9999,'Summary, hourly ad costs'!X83=0), ".", 'Predicted PPIs'!DA82*('Summary, hourly ad costs'!H83/'Summary, hourly ad costs'!X83)/('Summary, hourly ad costs'!H82/'Summary, hourly ad costs'!X82)/(1-CK82)), 'Summary, PPI''s'!X83))</f>
        <v>2.4272506172441979</v>
      </c>
      <c r="DB83" s="5">
        <f>IF(DB82=".", ".", IF('Summary, PPI''s'!Y83=".",IF(OR('Summary, hourly ad costs'!Y83=-9999,'Summary, hourly ad costs'!Y83=0), ".", 'Predicted PPIs'!DB82*('Summary, hourly ad costs'!I83/'Summary, hourly ad costs'!Y83)/('Summary, hourly ad costs'!I82/'Summary, hourly ad costs'!Y82)/(1-CL82)), 'Summary, PPI''s'!Y83))</f>
        <v>7.0218878195867305</v>
      </c>
      <c r="DC83" s="5" t="str">
        <f>IF(DC82=".", ".", IF('Summary, PPI''s'!Z83=".",IF(OR('Summary, hourly ad costs'!Z83=-9999,'Summary, hourly ad costs'!Z83=0), ".", 'Predicted PPIs'!DC82*('Summary, hourly ad costs'!J83/'Summary, hourly ad costs'!Z83)/('Summary, hourly ad costs'!J82/'Summary, hourly ad costs'!Z82)/(1-CM82)), 'Summary, PPI''s'!Z83))</f>
        <v>.</v>
      </c>
      <c r="DD83" s="5" t="str">
        <f>IF(DD82=".", ".", IF('Summary, PPI''s'!AA83=".",IF(OR('Summary, hourly ad costs'!AA83=-9999,'Summary, hourly ad costs'!AA83=0), ".", 'Predicted PPIs'!DD82*('Summary, hourly ad costs'!K83/'Summary, hourly ad costs'!AA83)/('Summary, hourly ad costs'!K82/'Summary, hourly ad costs'!AA82)/(1-CN82)), 'Summary, PPI''s'!AA83))</f>
        <v>.</v>
      </c>
      <c r="DE83" s="5" t="str">
        <f>IF(DE82=".", ".", IF('Summary, PPI''s'!AB83=".",IF(OR('Summary, hourly ad costs'!AB83=-9999,'Summary, hourly ad costs'!AB83=0), ".", 'Predicted PPIs'!DE82*('Summary, hourly ad costs'!L83/'Summary, hourly ad costs'!AB83)/('Summary, hourly ad costs'!L82/'Summary, hourly ad costs'!AB82)/(1-CO82)), 'Summary, PPI''s'!AB83))</f>
        <v>.</v>
      </c>
      <c r="DF83" s="5" t="str">
        <f>IF(DF82=".", ".", IF('Summary, PPI''s'!AC83=".",IF(OR('Summary, hourly ad costs'!AC83=-9999,'Summary, hourly ad costs'!AC83=0), ".", 'Predicted PPIs'!DF82*('Summary, hourly ad costs'!M83/'Summary, hourly ad costs'!AC83)/('Summary, hourly ad costs'!M82/'Summary, hourly ad costs'!AC82)/(1-CP82)), 'Summary, PPI''s'!AC83))</f>
        <v>.</v>
      </c>
      <c r="DG83" s="5" t="str">
        <f>IF(DG82=".", ".", IF('Summary, PPI''s'!AD83=".",IF(OR('Summary, hourly ad costs'!AD83=-9999,'Summary, hourly ad costs'!AD83=0), ".", 'Predicted PPIs'!DG82*('Summary, hourly ad costs'!N83/'Summary, hourly ad costs'!AD83)/('Summary, hourly ad costs'!N82/'Summary, hourly ad costs'!AD82)/(1-CQ82)), 'Summary, PPI''s'!AD83))</f>
        <v>.</v>
      </c>
      <c r="DH83" s="5" t="str">
        <f>IF(DH82=".", ".", IF('Summary, PPI''s'!AE83=".",IF(OR('Summary, hourly ad costs'!AE83=-9999,'Summary, hourly ad costs'!AE83=0), ".", 'Predicted PPIs'!DH82*('Summary, hourly ad costs'!O83/'Summary, hourly ad costs'!AE83)/('Summary, hourly ad costs'!O82/'Summary, hourly ad costs'!AE82)/(1-CR82)), 'Summary, PPI''s'!AE83))</f>
        <v>.</v>
      </c>
      <c r="DI83" s="5" t="str">
        <f>IF(DI82=".", ".", IF('Summary, PPI''s'!AF83=".",IF(OR('Summary, hourly ad costs'!AF83=-9999,'Summary, hourly ad costs'!AF83=0), ".", 'Predicted PPIs'!DI82*('Summary, hourly ad costs'!P83/'Summary, hourly ad costs'!AF83)/('Summary, hourly ad costs'!P82/'Summary, hourly ad costs'!AF82)/(1-CS82)), 'Summary, PPI''s'!AF83))</f>
        <v>.</v>
      </c>
      <c r="DK83" s="4">
        <v>2.3069999999999999</v>
      </c>
      <c r="DM83" s="5">
        <f t="shared" si="138"/>
        <v>-9.5751961338132907E-2</v>
      </c>
      <c r="DN83" s="4">
        <f t="shared" si="139"/>
        <v>-2.8480584062676423E-2</v>
      </c>
      <c r="DO83" s="4">
        <f t="shared" si="181"/>
        <v>-2.2529913752800904E-2</v>
      </c>
      <c r="DP83" s="5">
        <f t="shared" si="140"/>
        <v>-4.0772758940003428E-2</v>
      </c>
      <c r="DQ83" s="5">
        <f t="shared" si="141"/>
        <v>-2.0119242666260417E-2</v>
      </c>
      <c r="DR83" s="4">
        <f t="shared" si="146"/>
        <v>-4.9770195230460709E-3</v>
      </c>
      <c r="DS83" s="5">
        <f t="shared" si="169"/>
        <v>-0.17021915874384619</v>
      </c>
      <c r="DT83" s="5">
        <f t="shared" si="170"/>
        <v>7.715568248420368E-2</v>
      </c>
      <c r="DU83" s="4">
        <f t="shared" si="171"/>
        <v>-1.285677006382803E-2</v>
      </c>
      <c r="DV83" s="4">
        <f t="shared" si="131"/>
        <v>-8.492712049406819E-4</v>
      </c>
      <c r="DW83" s="4">
        <f t="shared" si="133"/>
        <v>-0.150302167851184</v>
      </c>
      <c r="DX83" s="4">
        <f t="shared" si="133"/>
        <v>0.10297157071447252</v>
      </c>
      <c r="DY83" s="4">
        <f t="shared" si="108"/>
        <v>-1.4312473363800321E-2</v>
      </c>
      <c r="DZ83" s="4">
        <f t="shared" si="132"/>
        <v>-7.4063033489706878E-3</v>
      </c>
      <c r="EA83" s="4">
        <f t="shared" si="109"/>
        <v>-8.3289239268241957E-3</v>
      </c>
      <c r="EC83" s="1">
        <f t="shared" si="154"/>
        <v>21.18015909498212</v>
      </c>
      <c r="ED83" s="1">
        <f t="shared" si="155"/>
        <v>4.2251776613231025</v>
      </c>
      <c r="EE83" s="1">
        <f t="shared" si="156"/>
        <v>2.445728389922905</v>
      </c>
      <c r="EF83" s="1">
        <f t="shared" si="157"/>
        <v>2.2811143274334476</v>
      </c>
      <c r="EG83" s="1">
        <f t="shared" si="158"/>
        <v>4.6417317119962442</v>
      </c>
      <c r="EH83" s="1">
        <f t="shared" si="159"/>
        <v>2.5510629902157307</v>
      </c>
      <c r="EI83" s="1">
        <f t="shared" si="160"/>
        <v>2.4272506172441979</v>
      </c>
      <c r="EJ83" s="1">
        <f t="shared" si="161"/>
        <v>7.0218878195867305</v>
      </c>
      <c r="EK83" s="1">
        <f t="shared" si="162"/>
        <v>9.4031158031032138</v>
      </c>
      <c r="EL83" s="1">
        <f t="shared" si="163"/>
        <v>1.87893620864513</v>
      </c>
      <c r="EM83" s="1">
        <f t="shared" si="164"/>
        <v>0.17488591615221724</v>
      </c>
      <c r="EN83" s="1">
        <f t="shared" si="165"/>
        <v>3.6777062686659487</v>
      </c>
      <c r="EO83" s="1">
        <f t="shared" si="166"/>
        <v>1.6627529507754455</v>
      </c>
      <c r="EP83" s="1">
        <f t="shared" si="167"/>
        <v>2.5539124263066912</v>
      </c>
      <c r="EQ83" s="1">
        <f t="shared" si="168"/>
        <v>1.9716329219435107</v>
      </c>
      <c r="ES83" s="1">
        <f>IF(EF$26=".", 0, 'Summary, PPI''s'!E83)+IF(EG$26=".", 0, 'Summary, PPI''s'!F83)+IF(EH$26=".", 0, 'Summary, PPI''s'!G83)+IF(EI$26=".", 0, 'Summary, PPI''s'!H83)+IF(EJ$26=".", 0, 'Summary, PPI''s'!I83)+IF(EK$26=".", 0, 'Summary, PPI''s'!J83)+IF(EL$26=".", 0, 'Summary, PPI''s'!K83)+IF(EM$26=".", 0, 'Summary, PPI''s'!L83)+IF(EN$26=".", 0, 'Summary, PPI''s'!M83)+IF(EC$26=".", 0, 'Summary, PPI''s'!B83)+IF(ED$26=".", 0, 'Summary, PPI''s'!C83)+IF(EE$26=".", 0, 'Summary, PPI''s'!D83)+IF(EO$26=".", 0, 'Summary, PPI''s'!N83)+IF(EP$26=".", 0, 'Summary, PPI''s'!O83)+IF(EQ$26=".", 0, 'Summary, PPI''s'!P83)</f>
        <v>2092615.4494730846</v>
      </c>
      <c r="ET83" s="1">
        <f>'Summary, hourly ad costs'!E83+'Summary, hourly ad costs'!F83+'Summary, hourly ad costs'!H83+'Summary, hourly ad costs'!I83+'Summary, hourly ad costs'!J83+'Summary, hourly ad costs'!K83+'Summary, hourly ad costs'!L83+'Summary, hourly ad costs'!M83+'Summary, hourly ad costs'!B83</f>
        <v>1350056.9344887058</v>
      </c>
      <c r="EV83" s="13">
        <f>EV82*IF(EF$26=".", 1, (EF83/EF82)^(('Summary, PPI''s'!$E83+'Summary, PPI''s'!$E82)/('Predicted PPIs'!ES83+'Predicted PPIs'!ES82)))*IF(EG$26=".", 1, (EG83/EG82)^(('Summary, PPI''s'!$F83+'Summary, PPI''s'!$F82)/('Predicted PPIs'!ES83+'Predicted PPIs'!ES82)))*IF(EH$26=".", 1, (EH83/EH82)^(('Summary, PPI''s'!$G83+'Summary, PPI''s'!$G82)/('Predicted PPIs'!ES83+'Predicted PPIs'!ES82)))*IF(EI$26=".", 1, (EI83/EI82)^(('Summary, PPI''s'!$H83+'Summary, PPI''s'!$H82)/('Predicted PPIs'!ES83+'Predicted PPIs'!ES82)))*IF(EJ$26=".", 1, (EJ83/EJ82)^(('Summary, PPI''s'!$I83+'Summary, PPI''s'!$I82)/('Predicted PPIs'!ES83+'Predicted PPIs'!ES82)))*IF(EK$26=".", 1, (EK83/EK82)^(('Summary, PPI''s'!$J83+'Summary, PPI''s'!$J82)/('Predicted PPIs'!ES83+'Predicted PPIs'!ES82)))*IF(EL$26=".", 1, (EL83/EL82)^(('Summary, PPI''s'!$K83+'Summary, PPI''s'!$K82)/('Predicted PPIs'!ES83+'Predicted PPIs'!ES82)))*IF(EM$26=".", 1, (EM83/EM82)^(('Summary, PPI''s'!$L83+'Summary, PPI''s'!$L82)/('Predicted PPIs'!ES83+'Predicted PPIs'!ES82)))*IF(EN$26=".", 1, (EN83/EN82)^(('Summary, PPI''s'!$M83+'Summary, PPI''s'!$M82)/('Predicted PPIs'!ES83+'Predicted PPIs'!ES82)))*IF(EC$26=".", 1, (EC83/EC82)^(('Summary, PPI''s'!$B83+'Summary, PPI''s'!$B82)/('Predicted PPIs'!ES83+'Predicted PPIs'!ES82)))*IF(ED$26=".", 1, (ED83/ED82)^(('Summary, PPI''s'!$C83+'Summary, PPI''s'!$C82)/('Predicted PPIs'!ES83+'Predicted PPIs'!ES82)))*IF(EE$26=".", 1, (EE83/EE82)^(('Summary, PPI''s'!$D83+'Summary, PPI''s'!$D82)/('Predicted PPIs'!ES83+'Predicted PPIs'!ES82)))*IF(EO$26=".", 1, (EO83/EO82)^(('Summary, PPI''s'!$N83+'Summary, PPI''s'!$N82)/('Predicted PPIs'!ES83+'Predicted PPIs'!ES82)))*IF(EP$26=".", 1, (EP83/EP82)^(('Summary, PPI''s'!$O83+'Summary, PPI''s'!$O82)/('Predicted PPIs'!ES83+'Predicted PPIs'!ES82)))*IF(EQ$26=".", 1, (EQ83/EQ82)^(('Summary, PPI''s'!$P83+'Summary, PPI''s'!$P82)/('Predicted PPIs'!ES83+'Predicted PPIs'!ES82)))</f>
        <v>4.0036701397299224</v>
      </c>
      <c r="EW83" s="13">
        <f>EW82*IF(EF$26=".", 1, (EF83/EF82)^(('Summary, PPI''s'!$E83+'Summary, PPI''s'!$E82)/('Predicted PPIs'!ET83+'Predicted PPIs'!ET82)))*IF(EG$26=".", 1, (EG83/EG82)^(('Summary, PPI''s'!$F83+'Summary, PPI''s'!$F82)/('Predicted PPIs'!ET83+'Predicted PPIs'!ET82)))*IF(EH$26=".", 1, (EH83/EH82)^(('Summary, PPI''s'!$G83+'Summary, PPI''s'!$G82)/('Predicted PPIs'!ET83+'Predicted PPIs'!ET82)))*IF(EK$26=".", 1, (EK83/EK82)^(('Summary, PPI''s'!$J83+'Summary, PPI''s'!$J82)/('Predicted PPIs'!ET83+'Predicted PPIs'!ET82)))*IF(EL$26=".", 1, (EL83/EL82)^(('Summary, PPI''s'!$K83+'Summary, PPI''s'!$K82)/('Predicted PPIs'!ET83+'Predicted PPIs'!ET82)))*IF(EM$26=".", 1, (EM83/EM82)^(('Summary, PPI''s'!$L83+'Summary, PPI''s'!$L82)/('Predicted PPIs'!ET83+'Predicted PPIs'!ET82)))*IF(EN$26=".", 1, (EN83/EN82)^(('Summary, PPI''s'!$M83+'Summary, PPI''s'!$M82)/('Predicted PPIs'!ET83+'Predicted PPIs'!ET82)))*IF(EC$26=".", 1, (EC83/EC82)^(('Summary, PPI''s'!$B83+'Summary, PPI''s'!$B82)/('Predicted PPIs'!ET83+'Predicted PPIs'!ET82)))</f>
        <v>6.5613506462805491</v>
      </c>
      <c r="EY83" s="2"/>
    </row>
    <row r="84" spans="1:155" x14ac:dyDescent="0.3">
      <c r="A84" s="4">
        <v>1939</v>
      </c>
      <c r="B84" s="10">
        <f>IF(B83=".", ".", IF('Summary, PPI''s'!R84=".",IF(OR('Summary, hourly ad costs'!R84=-9999,'Summary, hourly ad costs'!R84=0), ".", 'Predicted PPIs'!B83*('Summary, hourly ad costs'!B84/'Summary, hourly ad costs'!R84)/('Summary, hourly ad costs'!B83/'Summary, hourly ad costs'!R83)), 'Summary, PPI''s'!R84))</f>
        <v>27.147822286221203</v>
      </c>
      <c r="C84" s="10" t="str">
        <f>IF(C83=".", ".", IF('Summary, PPI''s'!S84=".",IF(OR('Summary, hourly ad costs'!S84=-9999,'Summary, hourly ad costs'!S84=0), ".", 'Predicted PPIs'!C83*('Summary, hourly ad costs'!C84/'Summary, hourly ad costs'!S84)/('Summary, hourly ad costs'!C83/'Summary, hourly ad costs'!S83)), 'Summary, PPI''s'!S84))</f>
        <v>.</v>
      </c>
      <c r="D84" s="10" t="str">
        <f>IF(D83=".", ".", IF('Summary, PPI''s'!T84=".",IF(OR('Summary, hourly ad costs'!T84=-9999,'Summary, hourly ad costs'!T84=0), ".", 'Predicted PPIs'!D83*('Summary, hourly ad costs'!D84/'Summary, hourly ad costs'!T84)/('Summary, hourly ad costs'!D83/'Summary, hourly ad costs'!T83)), 'Summary, PPI''s'!T84))</f>
        <v>.</v>
      </c>
      <c r="E84" s="10">
        <f>IF(E83=".", ".", IF('Summary, PPI''s'!U84=".",IF(OR('Summary, hourly ad costs'!U84=-9999,'Summary, hourly ad costs'!U84=0), ".", 'Predicted PPIs'!E83*('Summary, hourly ad costs'!E84/'Summary, hourly ad costs'!U84)/('Summary, hourly ad costs'!E83/'Summary, hourly ad costs'!U83)), 'Summary, PPI''s'!U84))</f>
        <v>1.6861221895431917</v>
      </c>
      <c r="F84" s="10">
        <f>IF(F83=".", ".", IF('Summary, PPI''s'!V84=".",IF(OR('Summary, hourly ad costs'!V84=-9999,'Summary, hourly ad costs'!V84=0), ".", 'Predicted PPIs'!F83*('Summary, hourly ad costs'!F84/'Summary, hourly ad costs'!V84)/('Summary, hourly ad costs'!F83/'Summary, hourly ad costs'!V83)), 'Summary, PPI''s'!V84))</f>
        <v>3.0590014018227758</v>
      </c>
      <c r="G84" s="10" t="str">
        <f>IF(G83=".", ".", IF('Summary, PPI''s'!W84=".",IF(OR('Summary, hourly ad costs'!W84=-9999,'Summary, hourly ad costs'!W84=0), ".", 'Predicted PPIs'!G83*('Summary, hourly ad costs'!G84/'Summary, hourly ad costs'!W84)/('Summary, hourly ad costs'!G83/'Summary, hourly ad costs'!W83)), 'Summary, PPI''s'!W84))</f>
        <v>.</v>
      </c>
      <c r="H84" s="10">
        <f>IF(H83=".", ".", IF('Summary, PPI''s'!X84=".",IF(OR('Summary, hourly ad costs'!X84=-9999,'Summary, hourly ad costs'!X84=0), ".", 'Predicted PPIs'!H83*('Summary, hourly ad costs'!H84/'Summary, hourly ad costs'!X84)/('Summary, hourly ad costs'!H83/'Summary, hourly ad costs'!X83)), 'Summary, PPI''s'!X84))</f>
        <v>2.7241539312958736</v>
      </c>
      <c r="I84" s="10">
        <f>IF(I83=".", ".", IF('Summary, PPI''s'!Y84=".",IF(OR('Summary, hourly ad costs'!Y84=-9999,'Summary, hourly ad costs'!Y84=0), ".", 'Predicted PPIs'!I83*('Summary, hourly ad costs'!I84/'Summary, hourly ad costs'!Y84)/('Summary, hourly ad costs'!I83/'Summary, hourly ad costs'!Y83)), 'Summary, PPI''s'!Y84))</f>
        <v>4.3229484977593513</v>
      </c>
      <c r="J84" s="10" t="str">
        <f>IF(J83=".", ".", IF('Summary, PPI''s'!Z84=".",IF(OR('Summary, hourly ad costs'!Z84=-9999,'Summary, hourly ad costs'!Z84=0), ".", 'Predicted PPIs'!J83*('Summary, hourly ad costs'!J84/'Summary, hourly ad costs'!Z84)/('Summary, hourly ad costs'!J83/'Summary, hourly ad costs'!Z83)), 'Summary, PPI''s'!Z84))</f>
        <v>.</v>
      </c>
      <c r="K84" s="10" t="str">
        <f>IF(K83=".", ".", IF('Summary, PPI''s'!AA84=".",IF(OR('Summary, hourly ad costs'!AA84=-9999,'Summary, hourly ad costs'!AA84=0), ".", 'Predicted PPIs'!K83*('Summary, hourly ad costs'!K84/'Summary, hourly ad costs'!AA84)/('Summary, hourly ad costs'!K83/'Summary, hourly ad costs'!AA83)), 'Summary, PPI''s'!AA84))</f>
        <v>.</v>
      </c>
      <c r="L84" s="10" t="str">
        <f>IF(L83=".", ".", IF('Summary, PPI''s'!AB84=".",IF(OR('Summary, hourly ad costs'!AB84=-9999,'Summary, hourly ad costs'!AB84=0), ".", 'Predicted PPIs'!L83*('Summary, hourly ad costs'!L84/'Summary, hourly ad costs'!AB84)/('Summary, hourly ad costs'!L83/'Summary, hourly ad costs'!AB83)), 'Summary, PPI''s'!AB84))</f>
        <v>.</v>
      </c>
      <c r="M84" s="10" t="str">
        <f>IF(M83=".", ".", IF('Summary, PPI''s'!AC84=".",IF(OR('Summary, hourly ad costs'!AC84=-9999,'Summary, hourly ad costs'!AC84=0), ".", 'Predicted PPIs'!M83*('Summary, hourly ad costs'!M84/'Summary, hourly ad costs'!AC84)/('Summary, hourly ad costs'!M83/'Summary, hourly ad costs'!AC83)), 'Summary, PPI''s'!AC84))</f>
        <v>.</v>
      </c>
      <c r="N84" s="10" t="str">
        <f>IF(N83=".", ".", IF('Summary, PPI''s'!AD84=".",IF(OR('Summary, hourly ad costs'!AD84=-9999,'Summary, hourly ad costs'!AD84=0), ".", 'Predicted PPIs'!N83*('Summary, hourly ad costs'!N84/'Summary, hourly ad costs'!AD84)/('Summary, hourly ad costs'!N83/'Summary, hourly ad costs'!AD83)), 'Summary, PPI''s'!AD84))</f>
        <v>.</v>
      </c>
      <c r="O84" s="10" t="str">
        <f>IF(O83=".", ".", IF('Summary, PPI''s'!AE84=".",IF(OR('Summary, hourly ad costs'!AE84=-9999,'Summary, hourly ad costs'!AE84=0), ".", 'Predicted PPIs'!O83*('Summary, hourly ad costs'!O84/'Summary, hourly ad costs'!AE84)/('Summary, hourly ad costs'!O83/'Summary, hourly ad costs'!AE83)), 'Summary, PPI''s'!AE84))</f>
        <v>.</v>
      </c>
      <c r="P84" s="10" t="str">
        <f>IF(P83=".", ".", IF('Summary, PPI''s'!AF84=".",IF(OR('Summary, hourly ad costs'!AF84=-9999,'Summary, hourly ad costs'!AF84=0), ".", 'Predicted PPIs'!P83*('Summary, hourly ad costs'!P84/'Summary, hourly ad costs'!AF84)/('Summary, hourly ad costs'!P83/'Summary, hourly ad costs'!AF83)), 'Summary, PPI''s'!AF84))</f>
        <v>.</v>
      </c>
      <c r="R84" s="1">
        <f>IF(E$26=".", 0, 'Summary, PPI''s'!E84)+IF(F$26=".", 0, 'Summary, PPI''s'!F84)+IF(G$26=".", 0, 'Summary, PPI''s'!G84)+IF(H$26=".", 0, 'Summary, PPI''s'!H84)+IF(I$26=".", 0, 'Summary, PPI''s'!I84)+IF(J$26=".", 0, 'Summary, PPI''s'!J84)+IF(K$26=".", 0, 'Summary, PPI''s'!K84)+IF(L$26=".", 0, 'Summary, PPI''s'!L84)+IF(M$26=".", 0, 'Summary, PPI''s'!M84)+IF(B$26=".", 0, 'Summary, PPI''s'!B84)+IF(C$26=".", 0, 'Summary, PPI''s'!C84)+IF(D$26=".", 0, 'Summary, PPI''s'!D84)+IF(N$26=".", 0, 'Summary, PPI''s'!N84)+IF(O$26=".", 0, 'Summary, PPI''s'!O84)+IF(P$26=".", 0, 'Summary, PPI''s'!P84)</f>
        <v>1970359.5518091558</v>
      </c>
      <c r="S84" s="1">
        <f>IF(E$36=".", 0, 'Summary, PPI''s'!E84)+IF(F$36=".", 0, 'Summary, PPI''s'!F84)+IF(G$36=".", 0, 'Summary, PPI''s'!G84)+IF(H$36=".", 0, 'Summary, PPI''s'!H84)+IF(I$36=".", 0, 'Summary, PPI''s'!I84)+IF(J$36=".", 0, 'Summary, PPI''s'!J84)+IF(K$36=".", 0, 'Summary, PPI''s'!K84)+IF(L$36=".", 0, 'Summary, PPI''s'!L84)+IF(M$36=".", 0, 'Summary, PPI''s'!M84)+IF(B$36=".", 0, 'Summary, PPI''s'!B84)+IF(C$36=".", 0, 'Summary, PPI''s'!C84)+IF(D$36=".", 0, 'Summary, PPI''s'!D84)+IF(N$36=".", 0, 'Summary, PPI''s'!N84)+IF(O$36=".", 0, 'Summary, PPI''s'!O84)+IF(P$36=".", 0, 'Summary, PPI''s'!P84)</f>
        <v>1970359.5518091558</v>
      </c>
      <c r="T84" s="1">
        <f>IF(E$46=".", 0, 'Summary, PPI''s'!E84)+IF(F$46=".", 0, 'Summary, PPI''s'!F84)+IF(G$46=".", 0, 'Summary, PPI''s'!G84)+IF(H$46=".", 0, 'Summary, PPI''s'!H84)+IF(I$46=".", 0, 'Summary, PPI''s'!I84)+IF(J$46=".", 0, 'Summary, PPI''s'!J84)+IF(K$46=".", 0, 'Summary, PPI''s'!K84)+IF(L$46=".", 0, 'Summary, PPI''s'!L84)+IF(M$46=".", 0, 'Summary, PPI''s'!M84)+IF(B$46=".", 0, 'Summary, PPI''s'!B84)+IF(C$46=".", 0, 'Summary, PPI''s'!C84)+IF(D$46=".", 0, 'Summary, PPI''s'!D84)+IF(N$46=".", 0, 'Summary, PPI''s'!N84)+IF(O$46=".", 0, 'Summary, PPI''s'!O84)+IF(P$46=".", 0, 'Summary, PPI''s'!P84)</f>
        <v>1644752.0544735179</v>
      </c>
      <c r="U84" s="1">
        <f>IF(E$60=".", 0, 'Summary, PPI''s'!E84)+IF(F$60=".", 0, 'Summary, PPI''s'!F84)+IF(G$60=".", 0, 'Summary, PPI''s'!G84)+IF(H$60=".", 0, 'Summary, PPI''s'!H84)+IF(I$60=".", 0, 'Summary, PPI''s'!I84)+IF(J$60=".", 0, 'Summary, PPI''s'!J84)+IF(K$60=".", 0, 'Summary, PPI''s'!K84)+IF(L$60=".", 0, 'Summary, PPI''s'!L84)+IF(M$60=".", 0, 'Summary, PPI''s'!M84)+IF(B$60=".", 0, 'Summary, PPI''s'!B84)+IF(C$60=".", 0, 'Summary, PPI''s'!C84)+IF(D$60=".", 0, 'Summary, PPI''s'!D84)+IF(N$60=".", 0, 'Summary, PPI''s'!N84)+IF(O$60=".", 0, 'Summary, PPI''s'!O84)+IF(P$60=".", 0, 'Summary, PPI''s'!P84)</f>
        <v>1508899.8408160298</v>
      </c>
      <c r="V84" s="1">
        <f>IF(E$73=".", 0, 'Summary, PPI''s'!E84)+IF(F$73=".", 0, 'Summary, PPI''s'!F84)+IF(G$73=".", 0, 'Summary, PPI''s'!G84)+IF(H$73=".", 0, 'Summary, PPI''s'!H84)+IF(I$73=".", 0, 'Summary, PPI''s'!I84)+IF(J$73=".", 0, 'Summary, PPI''s'!J84)+IF(K$73=".", 0, 'Summary, PPI''s'!K84)+IF(L$73=".", 0, 'Summary, PPI''s'!L84)+IF(M$73=".", 0, 'Summary, PPI''s'!M84)+IF(B$73=".", 0, 'Summary, PPI''s'!B84)+IF(C$73=".", 0, 'Summary, PPI''s'!C84)+IF(D$73=".", 0, 'Summary, PPI''s'!D84)+IF(N$73=".", 0, 'Summary, PPI''s'!N84)+IF(O$73=".", 0, 'Summary, PPI''s'!O84)+IF(P$73=".", 0, 'Summary, PPI''s'!P84)</f>
        <v>1276278.9808657295</v>
      </c>
      <c r="W84" s="1">
        <f>IF(E$94=".",0,'Summary, PPI''s'!E84)+IF(F$94=".",0,'Summary, PPI''s'!F84)+IF(G$94=".",0,'Summary, PPI''s'!G84)+IF(H$94=".",0,'Summary, PPI''s'!H84)+IF(I$94=".",0,'Summary, PPI''s'!I84)+IF(J$94=".",0,'Summary, PPI''s'!J84)+IF(K$94=".",0,'Summary, PPI''s'!K84)+IF(L$94=".",0,'Summary, PPI''s'!L84)+IF(M$94=".",0,'Summary, PPI''s'!M84)+IF(B$94=".",0,'Summary, PPI''s'!B84)+IF(C$94=".",0,'Summary, PPI''s'!C84)+IF(D$94=".",0,'Summary, PPI''s'!D84)+IF(N$94=".",0,'Summary, PPI''s'!N84)+IF(O$94=".",0,'Summary, PPI''s'!O84)+IF(P$94=".",0,'Summary, PPI''s'!P84)</f>
        <v>1276278.9808657295</v>
      </c>
      <c r="X84" s="1">
        <f>IF(E$123=".", 0, 'Summary, PPI''s'!E84)+IF(F$123=".", 0, 'Summary, PPI''s'!F84)+IF(G$123=".", 0, 'Summary, PPI''s'!G84)+IF(H$123=".", 0, 'Summary, PPI''s'!H84)+IF(I$123=".", 0, 'Summary, PPI''s'!I84)+IF(J$123=".", 0, 'Summary, PPI''s'!J84)+IF(K$123=".", 0, 'Summary, PPI''s'!K84)+IF(L$123=".", 0, 'Summary, PPI''s'!L84)+IF(M$123=".", 0, 'Summary, PPI''s'!M84)+IF(B$123=".", 0, 'Summary, PPI''s'!B84)+IF(C$123=".", 0, 'Summary, PPI''s'!C84)+IF(D$123=".", 0, 'Summary, PPI''s'!D84)+IF(N$123=".", 0, 'Summary, PPI''s'!N84)+IF(O$123=".", 0, 'Summary, PPI''s'!O84)+IF(P$123=".", 0, 'Summary, PPI''s'!P84)</f>
        <v>1129533.3045138316</v>
      </c>
      <c r="Z84" s="4" t="e">
        <f>Z83*IF(E$26=".", 1, (E84/E83)^(('Summary, PPI''s'!$E84+'Summary, PPI''s'!$E83)/('Predicted PPIs'!R84+'Predicted PPIs'!R83)))*IF(F$26=".", 1, (F84/F83)^(('Summary, PPI''s'!$F84+'Summary, PPI''s'!$F83)/('Predicted PPIs'!R84+'Predicted PPIs'!R83)))*IF(G$26=".", 1, (G84/G83)^(('Summary, PPI''s'!$G84+'Summary, PPI''s'!$G83)/('Predicted PPIs'!R84+'Predicted PPIs'!R83)))*IF(H$26=".", 1, (H84/H83)^(('Summary, PPI''s'!$H84+'Summary, PPI''s'!$H83)/('Predicted PPIs'!R84+'Predicted PPIs'!R83)))*IF(I$26=".", 1, (I84/I83)^(('Summary, PPI''s'!$I84+'Summary, PPI''s'!$I83)/('Predicted PPIs'!R84+'Predicted PPIs'!R83)))*IF(J$26=".", 1, (J84/J83)^(('Summary, PPI''s'!$J84+'Summary, PPI''s'!$J83)/('Predicted PPIs'!R84+'Predicted PPIs'!R83)))*IF(K$26=".", 1, (K84/K83)^(('Summary, PPI''s'!$K84+'Summary, PPI''s'!$K83)/('Predicted PPIs'!R84+'Predicted PPIs'!R83)))*IF(L$26=".", 1, (L84/L83)^(('Summary, PPI''s'!$L84+'Summary, PPI''s'!$L83)/('Predicted PPIs'!R84+'Predicted PPIs'!R83)))*IF(M$26=".", 1, (M84/M83)^(('Summary, PPI''s'!$M84+'Summary, PPI''s'!$M83)/('Predicted PPIs'!R84+'Predicted PPIs'!R83)))*IF(B$26=".", 1, (B84/B83)^(('Summary, PPI''s'!$B84+'Summary, PPI''s'!$B83)/('Predicted PPIs'!R84+'Predicted PPIs'!R83)))*IF(C$26=".", 1, (C84/C83)^(('Summary, PPI''s'!$C84+'Summary, PPI''s'!$C83)/('Predicted PPIs'!R84+'Predicted PPIs'!R83)))*IF(D$26=".", 1, (D84/D83)^(('Summary, PPI''s'!$D84+'Summary, PPI''s'!$D83)/('Predicted PPIs'!R84+'Predicted PPIs'!R83)))*IF(N$26=".", 1, (N84/N83)^(('Summary, PPI''s'!$N84+'Summary, PPI''s'!$N83)/('Predicted PPIs'!R84+'Predicted PPIs'!R83)))*IF(O$26=".", 1, (O84/O83)^(('Summary, PPI''s'!$O84+'Summary, PPI''s'!$O83)/('Predicted PPIs'!R84+'Predicted PPIs'!R83)))*IF(P$26=".", 1, (P84/P83)^(('Summary, PPI''s'!$P84+'Summary, PPI''s'!$P83)/('Predicted PPIs'!R84+'Predicted PPIs'!R83)))</f>
        <v>#VALUE!</v>
      </c>
      <c r="AA84" s="4" t="e">
        <f>AA83*IF(E$36=".", 1, (E84/E83)^(('Summary, PPI''s'!$E84+'Summary, PPI''s'!$E83)/('Predicted PPIs'!S84+'Predicted PPIs'!S83)))*IF(F$36=".", 1, (F84/F83)^(('Summary, PPI''s'!$F84+'Summary, PPI''s'!$F83)/('Predicted PPIs'!S84+'Predicted PPIs'!S83)))*IF(G$36=".", 1, (G84/G83)^(('Summary, PPI''s'!$G84+'Summary, PPI''s'!$G83)/('Predicted PPIs'!S84+'Predicted PPIs'!S83)))*IF(H$36=".", 1, (H84/H83)^(('Summary, PPI''s'!$H84+'Summary, PPI''s'!$H83)/('Predicted PPIs'!S84+'Predicted PPIs'!S83)))*IF(I$36=".", 1, (I84/I83)^(('Summary, PPI''s'!$I84+'Summary, PPI''s'!$I83)/('Predicted PPIs'!S84+'Predicted PPIs'!S83)))*IF(J$36=".", 1, (J84/J83)^(('Summary, PPI''s'!$J84+'Summary, PPI''s'!$J83)/('Predicted PPIs'!S84+'Predicted PPIs'!S83)))*IF(K$36=".", 1, (K84/K83)^(('Summary, PPI''s'!$K84+'Summary, PPI''s'!$K83)/('Predicted PPIs'!S84+'Predicted PPIs'!S83)))*IF(L$36=".", 1, (L84/L83)^(('Summary, PPI''s'!$L84+'Summary, PPI''s'!$L83)/('Predicted PPIs'!S84+'Predicted PPIs'!S83)))*IF(M$36=".", 1, (M84/M83)^(('Summary, PPI''s'!$M84+'Summary, PPI''s'!$M83)/('Predicted PPIs'!S84+'Predicted PPIs'!S83)))*IF(B$36=".", 1, (B84/B83)^(('Summary, PPI''s'!$B84+'Summary, PPI''s'!$B83)/('Predicted PPIs'!S84+'Predicted PPIs'!S83)))*IF(C$36=".", 1, (C84/C83)^(('Summary, PPI''s'!$C84+'Summary, PPI''s'!$C83)/('Predicted PPIs'!S84+'Predicted PPIs'!S83)))*IF(D$36=".", 1, (D84/D83)^(('Summary, PPI''s'!$D84+'Summary, PPI''s'!$D83)/('Predicted PPIs'!S84+'Predicted PPIs'!S83)))*IF(N$36=".", 1, (N84/N83)^(('Summary, PPI''s'!$N84+'Summary, PPI''s'!$N83)/('Predicted PPIs'!S84+'Predicted PPIs'!S83)))*IF(O$36=".", 1, (O84/O83)^(('Summary, PPI''s'!$O84+'Summary, PPI''s'!$O83)/('Predicted PPIs'!S84+'Predicted PPIs'!S83)))*IF(P$36=".", 1, (P84/P83)^(('Summary, PPI''s'!$P84+'Summary, PPI''s'!$P83)/('Predicted PPIs'!S84+'Predicted PPIs'!S83)))</f>
        <v>#VALUE!</v>
      </c>
      <c r="AB84" s="4" t="e">
        <f>AB83*IF(E$46=".", 1, (E84/E83)^(('Summary, PPI''s'!$E84+'Summary, PPI''s'!$E83)/('Predicted PPIs'!T84+'Predicted PPIs'!T83)))*IF(F$46=".", 1, (F84/F83)^(('Summary, PPI''s'!$F84+'Summary, PPI''s'!$F83)/('Predicted PPIs'!T84+'Predicted PPIs'!T83)))*IF(G$46=".", 1, (G84/G83)^(('Summary, PPI''s'!$G84+'Summary, PPI''s'!$G83)/('Predicted PPIs'!T84+'Predicted PPIs'!T83)))*IF(H$46=".", 1, (H84/H83)^(('Summary, PPI''s'!$H84+'Summary, PPI''s'!$H83)/('Predicted PPIs'!T84+'Predicted PPIs'!T83)))*IF(I$46=".", 1, (I84/I83)^(('Summary, PPI''s'!$I84+'Summary, PPI''s'!$I83)/('Predicted PPIs'!T84+'Predicted PPIs'!T83)))*IF(J$46=".", 1, (J84/J83)^(('Summary, PPI''s'!$J84+'Summary, PPI''s'!$J83)/('Predicted PPIs'!T84+'Predicted PPIs'!T83)))*IF(K$46=".", 1, (K84/K83)^(('Summary, PPI''s'!$K84+'Summary, PPI''s'!$K83)/('Predicted PPIs'!T84+'Predicted PPIs'!T83)))*IF(L$46=".", 1, (L84/L83)^(('Summary, PPI''s'!$L84+'Summary, PPI''s'!$L83)/('Predicted PPIs'!T84+'Predicted PPIs'!T83)))*IF(M$46=".", 1, (M84/M83)^(('Summary, PPI''s'!$M84+'Summary, PPI''s'!$M83)/('Predicted PPIs'!T84+'Predicted PPIs'!T83)))*IF(B$46=".", 1, (B84/B83)^(('Summary, PPI''s'!$B84+'Summary, PPI''s'!$B83)/('Predicted PPIs'!T84+'Predicted PPIs'!T83)))*IF(C$46=".", 1, (C84/C83)^(('Summary, PPI''s'!$C84+'Summary, PPI''s'!$C83)/('Predicted PPIs'!T84+'Predicted PPIs'!T83)))*IF(D$46=".", 1, (D84/D83)^(('Summary, PPI''s'!$D84+'Summary, PPI''s'!$D83)/('Predicted PPIs'!T84+'Predicted PPIs'!T83)))*IF(N$46=".", 1, (N84/N83)^(('Summary, PPI''s'!$N84+'Summary, PPI''s'!$N83)/('Predicted PPIs'!T84+'Predicted PPIs'!T83)))*IF(O$46=".", 1, (O84/O83)^(('Summary, PPI''s'!$O84+'Summary, PPI''s'!$O83)/('Predicted PPIs'!T84+'Predicted PPIs'!T83)))*IF(P$46=".", 1, (P84/P83)^(('Summary, PPI''s'!$P84+'Summary, PPI''s'!$P83)/('Predicted PPIs'!T84+'Predicted PPIs'!T83)))</f>
        <v>#VALUE!</v>
      </c>
      <c r="AC84" s="4" t="e">
        <f>AC83*IF(E$60=".",1,(E84/E83)^(('Summary, PPI''s'!$E84+'Summary, PPI''s'!$E83)/('Predicted PPIs'!U84+'Predicted PPIs'!U83)))*IF(F$60=".",1,(F84/F83)^(('Summary, PPI''s'!$F84+'Summary, PPI''s'!$F83)/('Predicted PPIs'!U84+'Predicted PPIs'!U83)))*IF(G$60=".",1,(G84/G83)^(('Summary, PPI''s'!$G84+'Summary, PPI''s'!$G83)/('Predicted PPIs'!U84+'Predicted PPIs'!U83)))*IF(H$60=".",1,(H84/H83)^(('Summary, PPI''s'!$H84+'Summary, PPI''s'!$H83)/('Predicted PPIs'!U84+'Predicted PPIs'!U83)))*IF(I$60=".",1,(I84/I83)^(('Summary, PPI''s'!$I84+'Summary, PPI''s'!$I83)/('Predicted PPIs'!U84+'Predicted PPIs'!U83)))*IF(J$60=".",1,(J84/J83)^(('Summary, PPI''s'!$J84+'Summary, PPI''s'!$J83)/('Predicted PPIs'!U84+'Predicted PPIs'!U83)))*IF(K$60=".",1,(K84/K83)^(('Summary, PPI''s'!$K84+'Summary, PPI''s'!$K83)/('Predicted PPIs'!U84+'Predicted PPIs'!U83)))*IF(L$60=".",1,(L84/L83)^(('Summary, PPI''s'!$L84+'Summary, PPI''s'!$L83)/('Predicted PPIs'!U84+'Predicted PPIs'!U83)))*IF(M$60=".",1,(M84/M83)^(('Summary, PPI''s'!$M84+'Summary, PPI''s'!$M83)/('Predicted PPIs'!U84+'Predicted PPIs'!U83)))*IF(B$60=".",1,(B84/B83)^(('Summary, PPI''s'!$B84+'Summary, PPI''s'!$B83)/('Predicted PPIs'!U84+'Predicted PPIs'!U83)))*IF(C$60=".",1,(C84/C83)^(('Summary, PPI''s'!$C84+'Summary, PPI''s'!$C83)/('Predicted PPIs'!U84+'Predicted PPIs'!U83)))*IF(D$60=".",1,(D84/D83)^(('Summary, PPI''s'!$D84+'Summary, PPI''s'!$D83)/('Predicted PPIs'!U84+'Predicted PPIs'!U83)))*IF(N$60=".",1,(N84/N83)^(('Summary, PPI''s'!$N84+'Summary, PPI''s'!$N83)/('Predicted PPIs'!U84+'Predicted PPIs'!U83)))*IF(O$60=".",1,(O84/O83)^(('Summary, PPI''s'!$O84+'Summary, PPI''s'!$O83)/('Predicted PPIs'!U84+'Predicted PPIs'!U83)))*IF(P$60=".",1,(P84/P83)^(('Summary, PPI''s'!$P84+'Summary, PPI''s'!$P83)/('Predicted PPIs'!U84+'Predicted PPIs'!U83)))</f>
        <v>#VALUE!</v>
      </c>
      <c r="AD84" s="4" t="e">
        <f>AD83*IF(E$73=".", 1, (E84/E83)^(('Summary, PPI''s'!$E84+'Summary, PPI''s'!$E83)/('Predicted PPIs'!V84+'Predicted PPIs'!V83)))*IF(F$73=".", 1, (F84/F83)^(('Summary, PPI''s'!$F84+'Summary, PPI''s'!$F83)/('Predicted PPIs'!V84+'Predicted PPIs'!V83)))*IF(G$73=".", 1, (G84/G83)^(('Summary, PPI''s'!$G84+'Summary, PPI''s'!$G83)/('Predicted PPIs'!V84+'Predicted PPIs'!V83)))*IF(H$73=".", 1, (H84/H83)^(('Summary, PPI''s'!$H84+'Summary, PPI''s'!$H83)/('Predicted PPIs'!V84+'Predicted PPIs'!V83)))*IF(I$73=".", 1, (I84/I83)^(('Summary, PPI''s'!$I84+'Summary, PPI''s'!$I83)/('Predicted PPIs'!V84+'Predicted PPIs'!V83)))*IF(J$73=".", 1, (J84/J83)^(('Summary, PPI''s'!$J84+'Summary, PPI''s'!$J83)/('Predicted PPIs'!V84+'Predicted PPIs'!V83)))*IF(K$73=".", 1, (K84/K83)^(('Summary, PPI''s'!$K84+'Summary, PPI''s'!$K83)/('Predicted PPIs'!V84+'Predicted PPIs'!V83)))*IF(L$73=".", 1, (L84/L83)^(('Summary, PPI''s'!$L84+'Summary, PPI''s'!$L83)/('Predicted PPIs'!V84+'Predicted PPIs'!V83)))*IF(M$73=".", 1, (M84/M83)^(('Summary, PPI''s'!$M84+'Summary, PPI''s'!$M83)/('Predicted PPIs'!V84+'Predicted PPIs'!V83)))*IF(B$73=".", 1, (B84/B83)^(('Summary, PPI''s'!$B84+'Summary, PPI''s'!$B83)/('Predicted PPIs'!V84+'Predicted PPIs'!V83)))*IF(C$73=".", 1, (C84/C83)^(('Summary, PPI''s'!$C84+'Summary, PPI''s'!$C83)/('Predicted PPIs'!V84+'Predicted PPIs'!V83)))*IF(D$73=".", 1, (D84/D83)^(('Summary, PPI''s'!$D84+'Summary, PPI''s'!$D83)/('Predicted PPIs'!V84+'Predicted PPIs'!V83)))*IF(N$73=".", 1, (N84/N83)^(('Summary, PPI''s'!$N84+'Summary, PPI''s'!$N83)/('Predicted PPIs'!V84+'Predicted PPIs'!V83)))*IF(O$73=".", 1, (O84/O83)^(('Summary, PPI''s'!$O84+'Summary, PPI''s'!$O83)/('Predicted PPIs'!V84+'Predicted PPIs'!V83)))*IF(P$73=".", 1, (P84/P83)^(('Summary, PPI''s'!$P84+'Summary, PPI''s'!$P83)/('Predicted PPIs'!V84+'Predicted PPIs'!V83)))</f>
        <v>#VALUE!</v>
      </c>
      <c r="AE84" s="4">
        <f>AE83*IF(E$94=".", 1, (E84/E83)^(('Summary, PPI''s'!$E84+'Summary, PPI''s'!$E83)/('Predicted PPIs'!W84+'Predicted PPIs'!W83)))*IF(F$94=".", 1, (F84/F83)^(('Summary, PPI''s'!$F84+'Summary, PPI''s'!$F83)/('Predicted PPIs'!W84+'Predicted PPIs'!W83)))*IF(G$94=".", 1, (G84/G83)^(('Summary, PPI''s'!$G84+'Summary, PPI''s'!$G83)/('Predicted PPIs'!W84+'Predicted PPIs'!W83)))*IF(H$94=".", 1, (H84/H83)^(('Summary, PPI''s'!$H84+'Summary, PPI''s'!$H83)/('Predicted PPIs'!W84+'Predicted PPIs'!W83)))*IF(I$94=".", 1, (I84/I83)^(('Summary, PPI''s'!$I84+'Summary, PPI''s'!$I83)/('Predicted PPIs'!W84+'Predicted PPIs'!W83)))*IF(J$94=".", 1, (J84/J83)^(('Summary, PPI''s'!$J84+'Summary, PPI''s'!$J83)/('Predicted PPIs'!W84+'Predicted PPIs'!W83)))*IF(K$94=".", 1, (K84/K83)^(('Summary, PPI''s'!$K84+'Summary, PPI''s'!$K83)/('Predicted PPIs'!W84+'Predicted PPIs'!W83)))*IF(L$94=".", 1, (L84/L83)^(('Summary, PPI''s'!$L84+'Summary, PPI''s'!$L83)/('Predicted PPIs'!W84+'Predicted PPIs'!W83)))*IF(M$94=".", 1, (M84/M83)^(('Summary, PPI''s'!$M84+'Summary, PPI''s'!$M83)/('Predicted PPIs'!W84+'Predicted PPIs'!W83)))*IF(B$94=".", 1, (B84/B83)^(('Summary, PPI''s'!$B84+'Summary, PPI''s'!$B83)/('Predicted PPIs'!W84+'Predicted PPIs'!W83)))*IF(C$94=".", 1, (C84/C83)^(('Summary, PPI''s'!$C84+'Summary, PPI''s'!$C83)/('Predicted PPIs'!W84+'Predicted PPIs'!W83)))*IF(D$94=".", 1, (D84/D83)^(('Summary, PPI''s'!$D84+'Summary, PPI''s'!$D83)/('Predicted PPIs'!W84+'Predicted PPIs'!W83)))*IF(N$94=".", 1, (N84/N83)^(('Summary, PPI''s'!$N84+'Summary, PPI''s'!$N83)/('Predicted PPIs'!W84+'Predicted PPIs'!W83)))*IF(O$94=".", 1, (O84/O83)^(('Summary, PPI''s'!$O84+'Summary, PPI''s'!$O83)/('Predicted PPIs'!W84+'Predicted PPIs'!W83)))*IF(P$94=".", 1, (P84/P83)^(('Summary, PPI''s'!$P84+'Summary, PPI''s'!$P83)/('Predicted PPIs'!W84+'Predicted PPIs'!W83)))</f>
        <v>3.13666873129577</v>
      </c>
      <c r="AF84" s="4">
        <f>AF83*IF(E$123=".", 1, (E84/E83)^(('Summary, PPI''s'!$E84+'Summary, PPI''s'!$E83)/('Predicted PPIs'!X84+'Predicted PPIs'!X83)))*IF(F$123=".", 1, (F84/F83)^(('Summary, PPI''s'!$F84+'Summary, PPI''s'!$F83)/('Predicted PPIs'!X84+'Predicted PPIs'!X83)))*IF(G$123=".", 1, (G84/G83)^(('Summary, PPI''s'!$G84+'Summary, PPI''s'!$G83)/('Predicted PPIs'!X84+'Predicted PPIs'!X83)))*IF(H$123=".", 1, (H84/H83)^(('Summary, PPI''s'!$H84+'Summary, PPI''s'!$H83)/('Predicted PPIs'!X84+'Predicted PPIs'!X83)))*IF(I$123=".", 1, (I84/I83)^(('Summary, PPI''s'!$I84+'Summary, PPI''s'!$I83)/('Predicted PPIs'!X84+'Predicted PPIs'!X83)))*IF(J$123=".", 1, (J84/J83)^(('Summary, PPI''s'!$J84+'Summary, PPI''s'!$J83)/('Predicted PPIs'!X84+'Predicted PPIs'!X83)))*IF(K$123=".", 1, (K84/K83)^(('Summary, PPI''s'!$K84+'Summary, PPI''s'!$K83)/('Predicted PPIs'!X84+'Predicted PPIs'!X83)))*IF(L$123=".", 1, (L84/L83)^(('Summary, PPI''s'!$L84+'Summary, PPI''s'!$L83)/('Predicted PPIs'!X84+'Predicted PPIs'!X83)))*IF(M$123=".", 1, (M84/M83)^(('Summary, PPI''s'!$M84+'Summary, PPI''s'!$M83)/('Predicted PPIs'!X84+'Predicted PPIs'!X83)))*IF(B$123=".", 1, (B84/B83)^(('Summary, PPI''s'!$B84+'Summary, PPI''s'!$B83)/('Predicted PPIs'!X84+'Predicted PPIs'!X83)))*IF(C$123=".", 1, (C84/C83)^(('Summary, PPI''s'!$C84+'Summary, PPI''s'!$C83)/('Predicted PPIs'!X84+'Predicted PPIs'!X83)))*IF(D$123=".", 1, (D84/D83)^(('Summary, PPI''s'!$D84+'Summary, PPI''s'!$D83)/('Predicted PPIs'!X84+'Predicted PPIs'!X83)))*IF(N$123=".", 1, (N84/N83)^(('Summary, PPI''s'!$N84+'Summary, PPI''s'!$N83)/('Predicted PPIs'!X84+'Predicted PPIs'!X83)))*IF(O$123=".", 1, (O84/O83)^(('Summary, PPI''s'!$O84+'Summary, PPI''s'!$O83)/('Predicted PPIs'!X84+'Predicted PPIs'!X83)))*IF(P$123=".", 1, (P84/P83)^(('Summary, PPI''s'!$P84+'Summary, PPI''s'!$P83)/('Predicted PPIs'!X84+'Predicted PPIs'!X83)))</f>
        <v>2.8510986146440018</v>
      </c>
      <c r="AH84" s="13">
        <f t="shared" si="152"/>
        <v>4.2894937128607786</v>
      </c>
      <c r="AJ84" s="4">
        <v>67.2</v>
      </c>
      <c r="AK84" s="4">
        <v>-1.2090000000000001</v>
      </c>
      <c r="AL84" s="4">
        <v>-4.1790000000000003</v>
      </c>
      <c r="AM84" s="4">
        <v>-0.74099999999999999</v>
      </c>
      <c r="AN84" s="4">
        <f t="shared" si="176"/>
        <v>89.613835701050036</v>
      </c>
      <c r="AO84" s="4">
        <v>10.4</v>
      </c>
      <c r="AP84" s="4">
        <f t="shared" si="177"/>
        <v>-0.9621390374331551</v>
      </c>
      <c r="AQ84" s="4">
        <f t="shared" si="178"/>
        <v>-1.8188877005347592</v>
      </c>
      <c r="AR84" s="4">
        <f t="shared" si="148"/>
        <v>-1.2627914824737418E-4</v>
      </c>
      <c r="AS84" s="4">
        <v>-0.46500000000000002</v>
      </c>
      <c r="AT84" s="4">
        <v>7.3310000000000004</v>
      </c>
      <c r="AU84" s="4">
        <v>9.8729999999999993</v>
      </c>
      <c r="AV84" s="4">
        <v>8.77</v>
      </c>
      <c r="AW84" s="4">
        <v>5.5220000000000002</v>
      </c>
      <c r="AX84" s="4">
        <f t="shared" si="179"/>
        <v>6.9829946365674012</v>
      </c>
      <c r="AY84" s="4">
        <v>9.2959999999999994</v>
      </c>
      <c r="AZ84" s="4">
        <v>3.1240000000000001</v>
      </c>
      <c r="BA84" s="4">
        <v>7.7169999999999996</v>
      </c>
      <c r="BB84" s="4">
        <f t="shared" si="150"/>
        <v>44.139337751353779</v>
      </c>
      <c r="BC84" s="4">
        <v>7.7949999999999999</v>
      </c>
      <c r="BG84" s="4">
        <f t="shared" si="172"/>
        <v>9.1712483638340814</v>
      </c>
      <c r="BI84" s="4">
        <f>BI$13*'[2]Ordinary Experience'!$D$342/'[2]Ordinary Experience'!$D$413</f>
        <v>131307177.87889075</v>
      </c>
      <c r="BJ84" s="4">
        <f>'[2]Ordinary Experience'!$E$342</f>
        <v>25.408600264766964</v>
      </c>
      <c r="BL84" s="4">
        <f t="shared" si="151"/>
        <v>23.625823689486516</v>
      </c>
      <c r="BM84" s="4">
        <f t="shared" si="153"/>
        <v>4.8071083597636122E-2</v>
      </c>
      <c r="BO84" s="4" t="str">
        <f>IF(OR('Summary, hourly ad costs'!R84=-9999,'Summary, PPI''s'!R84="."),".",(('Summary, hourly ad costs'!B84/'Summary, hourly ad costs'!R84)*100/('Summary, hourly ad costs'!B$11/'Summary, hourly ad costs'!R$11))/('Summary, PPI''s'!R84))</f>
        <v>.</v>
      </c>
      <c r="BP84" s="4" t="str">
        <f>IF(OR('Summary, hourly ad costs'!S84=-9999,'Summary, PPI''s'!S84="."),".",(('Summary, hourly ad costs'!C84/'Summary, hourly ad costs'!S84)*100/('Summary, hourly ad costs'!C$11/'Summary, hourly ad costs'!S$11))/('Summary, PPI''s'!S84))</f>
        <v>.</v>
      </c>
      <c r="BQ84" s="4" t="str">
        <f>IF(OR('Summary, hourly ad costs'!T84=-9999,'Summary, PPI''s'!T84="."),".",(('Summary, hourly ad costs'!D84/'Summary, hourly ad costs'!T84)*100/('Summary, hourly ad costs'!D$11/'Summary, hourly ad costs'!T$11))/('Summary, PPI''s'!T84))</f>
        <v>.</v>
      </c>
      <c r="BR84" s="4" t="str">
        <f>IF(OR('Summary, hourly ad costs'!U84=-9999,'Summary, PPI''s'!U84="."),".",(('Summary, hourly ad costs'!E84/'Summary, hourly ad costs'!U84)*100/('Summary, hourly ad costs'!E$11/'Summary, hourly ad costs'!U$11))/('Summary, PPI''s'!U84))</f>
        <v>.</v>
      </c>
      <c r="BS84" s="4" t="str">
        <f>IF(OR('Summary, hourly ad costs'!V84=-9999,'Summary, PPI''s'!V84="."),".",(('Summary, hourly ad costs'!F84/'Summary, hourly ad costs'!V84)*100/('Summary, hourly ad costs'!F$11/'Summary, hourly ad costs'!V$11))/('Summary, PPI''s'!V84))</f>
        <v>.</v>
      </c>
      <c r="BT84" s="4" t="str">
        <f>IF(OR('Summary, hourly ad costs'!W84=-9999,'Summary, PPI''s'!W84="."),".",(('Summary, hourly ad costs'!G84/'Summary, hourly ad costs'!W84)*100/('Summary, hourly ad costs'!G$11/'Summary, hourly ad costs'!W$11))/('Summary, PPI''s'!W84))</f>
        <v>.</v>
      </c>
      <c r="BU84" s="4" t="str">
        <f>IF(OR('Summary, hourly ad costs'!X84=-9999,'Summary, PPI''s'!X84="."),".",(('Summary, hourly ad costs'!H84/'Summary, hourly ad costs'!X84)*100/('Summary, hourly ad costs'!H$11/'Summary, hourly ad costs'!X$11))/('Summary, PPI''s'!X84))</f>
        <v>.</v>
      </c>
      <c r="BV84" s="4" t="str">
        <f>IF(OR('Summary, hourly ad costs'!Y84=-9999,'Summary, PPI''s'!Y84="."),".",(('Summary, hourly ad costs'!I84/'Summary, hourly ad costs'!Y84)*100/('Summary, hourly ad costs'!I$11/'Summary, hourly ad costs'!Y$11))/('Summary, PPI''s'!Y84))</f>
        <v>.</v>
      </c>
      <c r="BW84" s="4" t="str">
        <f>IF(OR('Summary, hourly ad costs'!Z84=-9999,'Summary, PPI''s'!Z84="."),".",(('Summary, hourly ad costs'!J84/'Summary, hourly ad costs'!Z84)*100/('Summary, hourly ad costs'!J$11/'Summary, hourly ad costs'!Z$11))/('Summary, PPI''s'!Z84))</f>
        <v>.</v>
      </c>
      <c r="BX84" s="4" t="str">
        <f>IF(OR('Summary, hourly ad costs'!AA84=-9999,'Summary, PPI''s'!AA84="."),".",(('Summary, hourly ad costs'!K84/'Summary, hourly ad costs'!AA84)*100/('Summary, hourly ad costs'!K$11/'Summary, hourly ad costs'!AA$11))/('Summary, PPI''s'!AA84))</f>
        <v>.</v>
      </c>
      <c r="BY84" s="4" t="str">
        <f>IF(OR('Summary, hourly ad costs'!AB84=-9999,'Summary, PPI''s'!AB84="."),".",(('Summary, hourly ad costs'!L84/'Summary, hourly ad costs'!AB84)*100/('Summary, hourly ad costs'!L$11/'Summary, hourly ad costs'!AB$11))/('Summary, PPI''s'!AB84))</f>
        <v>.</v>
      </c>
      <c r="BZ84" s="4" t="str">
        <f>IF(OR('Summary, hourly ad costs'!AC84=-9999,'Summary, PPI''s'!AC84="."),".",(('Summary, hourly ad costs'!M84/'Summary, hourly ad costs'!AC84)*100/('Summary, hourly ad costs'!M$11/'Summary, hourly ad costs'!AC$11))/('Summary, PPI''s'!AC84))</f>
        <v>.</v>
      </c>
      <c r="CA84" s="4" t="str">
        <f>IF(OR('Summary, hourly ad costs'!AD84=-9999,'Summary, PPI''s'!AD84="."),".",(('Summary, hourly ad costs'!N84/'Summary, hourly ad costs'!AD84)*100/('Summary, hourly ad costs'!N$11/'Summary, hourly ad costs'!AD$11))/('Summary, PPI''s'!AD84))</f>
        <v>.</v>
      </c>
      <c r="CB84" s="4" t="str">
        <f>IF(OR('Summary, hourly ad costs'!AE84=-9999,'Summary, PPI''s'!AE84="."),".",(('Summary, hourly ad costs'!O84/'Summary, hourly ad costs'!AE84)*100/('Summary, hourly ad costs'!O$11/'Summary, hourly ad costs'!AE$11))/('Summary, PPI''s'!AE84))</f>
        <v>.</v>
      </c>
      <c r="CC84" s="4" t="str">
        <f>IF(OR('Summary, hourly ad costs'!AF84=-9999,'Summary, PPI''s'!AF84="."),".",(('Summary, hourly ad costs'!P84/'Summary, hourly ad costs'!AF84)*100/('Summary, hourly ad costs'!P$11/'Summary, hourly ad costs'!AF$11))/('Summary, PPI''s'!AF84))</f>
        <v>.</v>
      </c>
      <c r="CE84" s="4">
        <f t="shared" si="134"/>
        <v>1.355157344175547E-2</v>
      </c>
      <c r="CF84" s="4" t="str">
        <f t="shared" si="135"/>
        <v>.</v>
      </c>
      <c r="CG84" s="4" t="str">
        <f t="shared" si="136"/>
        <v>.</v>
      </c>
      <c r="CH84" s="4">
        <f t="shared" si="145"/>
        <v>4.089846031668784E-2</v>
      </c>
      <c r="CI84" s="4">
        <f t="shared" si="145"/>
        <v>4.8153545271057085E-2</v>
      </c>
      <c r="CJ84" s="4" t="str">
        <f t="shared" si="147"/>
        <v>.</v>
      </c>
      <c r="CK84" s="4">
        <f t="shared" si="149"/>
        <v>1.8164795961298752E-3</v>
      </c>
      <c r="CL84" s="4">
        <f t="shared" si="130"/>
        <v>3.338120772068684E-2</v>
      </c>
      <c r="CM84" s="4">
        <f t="shared" si="130"/>
        <v>2.9761715813135799E-2</v>
      </c>
      <c r="CN84" s="4">
        <f t="shared" si="89"/>
        <v>1.9278540495610959E-2</v>
      </c>
      <c r="CO84" s="4">
        <f t="shared" si="180"/>
        <v>0.30998291978901654</v>
      </c>
      <c r="CP84" s="4">
        <f t="shared" si="180"/>
        <v>6.3599060413156938E-2</v>
      </c>
      <c r="CQ84" s="4" t="str">
        <f t="shared" si="173"/>
        <v>.</v>
      </c>
      <c r="CR84" s="4" t="str">
        <f t="shared" si="174"/>
        <v>.</v>
      </c>
      <c r="CS84" s="4" t="str">
        <f t="shared" si="175"/>
        <v>.</v>
      </c>
      <c r="CU84" s="5">
        <f>IF(CU83=".", ".", IF('Summary, PPI''s'!R84=".",IF(OR('Summary, hourly ad costs'!R84=-9999,'Summary, hourly ad costs'!R84=0), ".", 'Predicted PPIs'!CU83*('Summary, hourly ad costs'!B84/'Summary, hourly ad costs'!R84)/('Summary, hourly ad costs'!B83/'Summary, hourly ad costs'!R83)/(1-CE83)), 'Summary, PPI''s'!R84))</f>
        <v>23.148821975748163</v>
      </c>
      <c r="CV84" s="5" t="str">
        <f>IF(CV83=".", ".", IF('Summary, PPI''s'!S84=".",IF(OR('Summary, hourly ad costs'!S84=-9999,'Summary, hourly ad costs'!S84=0), ".", 'Predicted PPIs'!CV83*('Summary, hourly ad costs'!C84/'Summary, hourly ad costs'!S84)/('Summary, hourly ad costs'!C83/'Summary, hourly ad costs'!S83)/(1-CF83)), 'Summary, PPI''s'!S84))</f>
        <v>.</v>
      </c>
      <c r="CW84" s="5" t="str">
        <f>IF(CW83=".", ".", IF('Summary, PPI''s'!T84=".",IF(OR('Summary, hourly ad costs'!T84=-9999,'Summary, hourly ad costs'!T84=0), ".", 'Predicted PPIs'!CW83*('Summary, hourly ad costs'!D84/'Summary, hourly ad costs'!T84)/('Summary, hourly ad costs'!D83/'Summary, hourly ad costs'!T83)/(1-CG83)), 'Summary, PPI''s'!T84))</f>
        <v>.</v>
      </c>
      <c r="CX84" s="5">
        <f>IF(CX83=".", ".", IF('Summary, PPI''s'!U84=".",IF(OR('Summary, hourly ad costs'!U84=-9999,'Summary, hourly ad costs'!U84=0), ".", 'Predicted PPIs'!CX83*('Summary, hourly ad costs'!E84/'Summary, hourly ad costs'!U84)/('Summary, hourly ad costs'!E83/'Summary, hourly ad costs'!U83)/(1-CH83)), 'Summary, PPI''s'!U84))</f>
        <v>2.3502431792879475</v>
      </c>
      <c r="CY84" s="5">
        <f>IF(CY83=".", ".", IF('Summary, PPI''s'!V84=".",IF(OR('Summary, hourly ad costs'!V84=-9999,'Summary, hourly ad costs'!V84=0), ".", 'Predicted PPIs'!CY83*('Summary, hourly ad costs'!F84/'Summary, hourly ad costs'!V84)/('Summary, hourly ad costs'!F83/'Summary, hourly ad costs'!V83)/(1-CI83)), 'Summary, PPI''s'!V84))</f>
        <v>4.6815973466819845</v>
      </c>
      <c r="CZ84" s="5" t="str">
        <f>IF(CZ83=".", ".", IF('Summary, PPI''s'!W84=".",IF(OR('Summary, hourly ad costs'!W84=-9999,'Summary, hourly ad costs'!W84=0), ".", 'Predicted PPIs'!CZ83*('Summary, hourly ad costs'!G84/'Summary, hourly ad costs'!W84)/('Summary, hourly ad costs'!G83/'Summary, hourly ad costs'!W83)/(1-CJ83)), 'Summary, PPI''s'!W84))</f>
        <v>.</v>
      </c>
      <c r="DA84" s="5">
        <f>IF(DA83=".", ".", IF('Summary, PPI''s'!X84=".",IF(OR('Summary, hourly ad costs'!X84=-9999,'Summary, hourly ad costs'!X84=0), ".", 'Predicted PPIs'!DA83*('Summary, hourly ad costs'!H84/'Summary, hourly ad costs'!X84)/('Summary, hourly ad costs'!H83/'Summary, hourly ad costs'!X83)/(1-CK83)), 'Summary, PPI''s'!X84))</f>
        <v>2.8909359478397354</v>
      </c>
      <c r="DB84" s="5">
        <f>IF(DB83=".", ".", IF('Summary, PPI''s'!Y84=".",IF(OR('Summary, hourly ad costs'!Y84=-9999,'Summary, hourly ad costs'!Y84=0), ".", 'Predicted PPIs'!DB83*('Summary, hourly ad costs'!I84/'Summary, hourly ad costs'!Y84)/('Summary, hourly ad costs'!I83/'Summary, hourly ad costs'!Y83)/(1-CL83)), 'Summary, PPI''s'!Y84))</f>
        <v>6.4426221675498807</v>
      </c>
      <c r="DC84" s="5" t="str">
        <f>IF(DC83=".", ".", IF('Summary, PPI''s'!Z84=".",IF(OR('Summary, hourly ad costs'!Z84=-9999,'Summary, hourly ad costs'!Z84=0), ".", 'Predicted PPIs'!DC83*('Summary, hourly ad costs'!J84/'Summary, hourly ad costs'!Z84)/('Summary, hourly ad costs'!J83/'Summary, hourly ad costs'!Z83)/(1-CM83)), 'Summary, PPI''s'!Z84))</f>
        <v>.</v>
      </c>
      <c r="DD84" s="5" t="str">
        <f>IF(DD83=".", ".", IF('Summary, PPI''s'!AA84=".",IF(OR('Summary, hourly ad costs'!AA84=-9999,'Summary, hourly ad costs'!AA84=0), ".", 'Predicted PPIs'!DD83*('Summary, hourly ad costs'!K84/'Summary, hourly ad costs'!AA84)/('Summary, hourly ad costs'!K83/'Summary, hourly ad costs'!AA83)/(1-CN83)), 'Summary, PPI''s'!AA84))</f>
        <v>.</v>
      </c>
      <c r="DE84" s="5" t="str">
        <f>IF(DE83=".", ".", IF('Summary, PPI''s'!AB84=".",IF(OR('Summary, hourly ad costs'!AB84=-9999,'Summary, hourly ad costs'!AB84=0), ".", 'Predicted PPIs'!DE83*('Summary, hourly ad costs'!L84/'Summary, hourly ad costs'!AB84)/('Summary, hourly ad costs'!L83/'Summary, hourly ad costs'!AB83)/(1-CO83)), 'Summary, PPI''s'!AB84))</f>
        <v>.</v>
      </c>
      <c r="DF84" s="5" t="str">
        <f>IF(DF83=".", ".", IF('Summary, PPI''s'!AC84=".",IF(OR('Summary, hourly ad costs'!AC84=-9999,'Summary, hourly ad costs'!AC84=0), ".", 'Predicted PPIs'!DF83*('Summary, hourly ad costs'!M84/'Summary, hourly ad costs'!AC84)/('Summary, hourly ad costs'!M83/'Summary, hourly ad costs'!AC83)/(1-CP83)), 'Summary, PPI''s'!AC84))</f>
        <v>.</v>
      </c>
      <c r="DG84" s="5" t="str">
        <f>IF(DG83=".", ".", IF('Summary, PPI''s'!AD84=".",IF(OR('Summary, hourly ad costs'!AD84=-9999,'Summary, hourly ad costs'!AD84=0), ".", 'Predicted PPIs'!DG83*('Summary, hourly ad costs'!N84/'Summary, hourly ad costs'!AD84)/('Summary, hourly ad costs'!N83/'Summary, hourly ad costs'!AD83)/(1-CQ83)), 'Summary, PPI''s'!AD84))</f>
        <v>.</v>
      </c>
      <c r="DH84" s="5" t="str">
        <f>IF(DH83=".", ".", IF('Summary, PPI''s'!AE84=".",IF(OR('Summary, hourly ad costs'!AE84=-9999,'Summary, hourly ad costs'!AE84=0), ".", 'Predicted PPIs'!DH83*('Summary, hourly ad costs'!O84/'Summary, hourly ad costs'!AE84)/('Summary, hourly ad costs'!O83/'Summary, hourly ad costs'!AE83)/(1-CR83)), 'Summary, PPI''s'!AE84))</f>
        <v>.</v>
      </c>
      <c r="DI84" s="5" t="str">
        <f>IF(DI83=".", ".", IF('Summary, PPI''s'!AF84=".",IF(OR('Summary, hourly ad costs'!AF84=-9999,'Summary, hourly ad costs'!AF84=0), ".", 'Predicted PPIs'!DI83*('Summary, hourly ad costs'!P84/'Summary, hourly ad costs'!AF84)/('Summary, hourly ad costs'!P83/'Summary, hourly ad costs'!AF83)/(1-CS83)), 'Summary, PPI''s'!AF84))</f>
        <v>.</v>
      </c>
      <c r="DK84" s="4">
        <v>2.2799999999999998</v>
      </c>
      <c r="DM84" s="5">
        <f t="shared" si="138"/>
        <v>4.6162259672859474E-2</v>
      </c>
      <c r="DN84" s="4">
        <f t="shared" si="139"/>
        <v>-2.8959553515543177E-2</v>
      </c>
      <c r="DO84" s="4">
        <f t="shared" si="181"/>
        <v>-2.2512868508887535E-2</v>
      </c>
      <c r="DP84" s="5">
        <f t="shared" si="140"/>
        <v>-5.2206272014227562E-2</v>
      </c>
      <c r="DQ84" s="5">
        <f t="shared" si="141"/>
        <v>5.8902052172804531E-4</v>
      </c>
      <c r="DR84" s="4">
        <f t="shared" si="146"/>
        <v>-4.6348792885704026E-3</v>
      </c>
      <c r="DS84" s="5">
        <f t="shared" si="169"/>
        <v>-2.8050169056906826E-3</v>
      </c>
      <c r="DT84" s="5">
        <f t="shared" si="170"/>
        <v>4.8876158427610727E-2</v>
      </c>
      <c r="DU84" s="4">
        <f t="shared" si="171"/>
        <v>-1.1862230100901244E-2</v>
      </c>
      <c r="DV84" s="4">
        <f t="shared" si="131"/>
        <v>-9.414984456404136E-4</v>
      </c>
      <c r="DW84" s="4">
        <f t="shared" si="133"/>
        <v>-0.15747336458507225</v>
      </c>
      <c r="DX84" s="4">
        <f t="shared" si="133"/>
        <v>0.11627613142072019</v>
      </c>
      <c r="DY84" s="4">
        <f t="shared" si="108"/>
        <v>-1.3994583937086474E-2</v>
      </c>
      <c r="DZ84" s="4">
        <f t="shared" si="132"/>
        <v>-7.0596504332816638E-3</v>
      </c>
      <c r="EA84" s="4">
        <f t="shared" si="109"/>
        <v>-8.130312139230678E-3</v>
      </c>
      <c r="EC84" s="1">
        <f t="shared" si="154"/>
        <v>23.148821975748163</v>
      </c>
      <c r="ED84" s="1">
        <f t="shared" si="155"/>
        <v>4.060094388332284</v>
      </c>
      <c r="EE84" s="1">
        <f t="shared" si="156"/>
        <v>2.3638475003699249</v>
      </c>
      <c r="EF84" s="1">
        <f t="shared" si="157"/>
        <v>2.3502431792879475</v>
      </c>
      <c r="EG84" s="1">
        <f t="shared" si="158"/>
        <v>4.6815973466819845</v>
      </c>
      <c r="EH84" s="1">
        <f t="shared" si="159"/>
        <v>2.5087206446855665</v>
      </c>
      <c r="EI84" s="1">
        <f t="shared" si="160"/>
        <v>2.8909359478397354</v>
      </c>
      <c r="EJ84" s="1">
        <f t="shared" si="161"/>
        <v>6.4426221675498807</v>
      </c>
      <c r="EK84" s="1">
        <f t="shared" si="162"/>
        <v>9.1751041292643531</v>
      </c>
      <c r="EL84" s="1">
        <f t="shared" si="163"/>
        <v>1.8553703453499693</v>
      </c>
      <c r="EM84" s="1">
        <f t="shared" si="164"/>
        <v>0.15025542134057848</v>
      </c>
      <c r="EN84" s="1">
        <f t="shared" si="165"/>
        <v>4.0518940916897508</v>
      </c>
      <c r="EO84" s="1">
        <f t="shared" si="166"/>
        <v>1.6201051908465653</v>
      </c>
      <c r="EP84" s="1">
        <f t="shared" si="167"/>
        <v>2.5054664395144997</v>
      </c>
      <c r="EQ84" s="1">
        <f t="shared" si="168"/>
        <v>1.932462560589874</v>
      </c>
      <c r="ES84" s="1">
        <f>IF(EF$26=".", 0, 'Summary, PPI''s'!E84)+IF(EG$26=".", 0, 'Summary, PPI''s'!F84)+IF(EH$26=".", 0, 'Summary, PPI''s'!G84)+IF(EI$26=".", 0, 'Summary, PPI''s'!H84)+IF(EJ$26=".", 0, 'Summary, PPI''s'!I84)+IF(EK$26=".", 0, 'Summary, PPI''s'!J84)+IF(EL$26=".", 0, 'Summary, PPI''s'!K84)+IF(EM$26=".", 0, 'Summary, PPI''s'!L84)+IF(EN$26=".", 0, 'Summary, PPI''s'!M84)+IF(EC$26=".", 0, 'Summary, PPI''s'!B84)+IF(ED$26=".", 0, 'Summary, PPI''s'!C84)+IF(EE$26=".", 0, 'Summary, PPI''s'!D84)+IF(EO$26=".", 0, 'Summary, PPI''s'!N84)+IF(EP$26=".", 0, 'Summary, PPI''s'!O84)+IF(EQ$26=".", 0, 'Summary, PPI''s'!P84)</f>
        <v>1970359.5518091558</v>
      </c>
      <c r="ET84" s="1">
        <f>'Summary, hourly ad costs'!E84+'Summary, hourly ad costs'!F84+'Summary, hourly ad costs'!H84+'Summary, hourly ad costs'!I84+'Summary, hourly ad costs'!J84+'Summary, hourly ad costs'!K84+'Summary, hourly ad costs'!L84+'Summary, hourly ad costs'!M84+'Summary, hourly ad costs'!B84</f>
        <v>1276278.9808657295</v>
      </c>
      <c r="EV84" s="13">
        <f>EV83*IF(EF$26=".", 1, (EF84/EF83)^(('Summary, PPI''s'!$E84+'Summary, PPI''s'!$E83)/('Predicted PPIs'!ES84+'Predicted PPIs'!ES83)))*IF(EG$26=".", 1, (EG84/EG83)^(('Summary, PPI''s'!$F84+'Summary, PPI''s'!$F83)/('Predicted PPIs'!ES84+'Predicted PPIs'!ES83)))*IF(EH$26=".", 1, (EH84/EH83)^(('Summary, PPI''s'!$G84+'Summary, PPI''s'!$G83)/('Predicted PPIs'!ES84+'Predicted PPIs'!ES83)))*IF(EI$26=".", 1, (EI84/EI83)^(('Summary, PPI''s'!$H84+'Summary, PPI''s'!$H83)/('Predicted PPIs'!ES84+'Predicted PPIs'!ES83)))*IF(EJ$26=".", 1, (EJ84/EJ83)^(('Summary, PPI''s'!$I84+'Summary, PPI''s'!$I83)/('Predicted PPIs'!ES84+'Predicted PPIs'!ES83)))*IF(EK$26=".", 1, (EK84/EK83)^(('Summary, PPI''s'!$J84+'Summary, PPI''s'!$J83)/('Predicted PPIs'!ES84+'Predicted PPIs'!ES83)))*IF(EL$26=".", 1, (EL84/EL83)^(('Summary, PPI''s'!$K84+'Summary, PPI''s'!$K83)/('Predicted PPIs'!ES84+'Predicted PPIs'!ES83)))*IF(EM$26=".", 1, (EM84/EM83)^(('Summary, PPI''s'!$L84+'Summary, PPI''s'!$L83)/('Predicted PPIs'!ES84+'Predicted PPIs'!ES83)))*IF(EN$26=".", 1, (EN84/EN83)^(('Summary, PPI''s'!$M84+'Summary, PPI''s'!$M83)/('Predicted PPIs'!ES84+'Predicted PPIs'!ES83)))*IF(EC$26=".", 1, (EC84/EC83)^(('Summary, PPI''s'!$B84+'Summary, PPI''s'!$B83)/('Predicted PPIs'!ES84+'Predicted PPIs'!ES83)))*IF(ED$26=".", 1, (ED84/ED83)^(('Summary, PPI''s'!$C84+'Summary, PPI''s'!$C83)/('Predicted PPIs'!ES84+'Predicted PPIs'!ES83)))*IF(EE$26=".", 1, (EE84/EE83)^(('Summary, PPI''s'!$D84+'Summary, PPI''s'!$D83)/('Predicted PPIs'!ES84+'Predicted PPIs'!ES83)))*IF(EO$26=".", 1, (EO84/EO83)^(('Summary, PPI''s'!$N84+'Summary, PPI''s'!$N83)/('Predicted PPIs'!ES84+'Predicted PPIs'!ES83)))*IF(EP$26=".", 1, (EP84/EP83)^(('Summary, PPI''s'!$O84+'Summary, PPI''s'!$O83)/('Predicted PPIs'!ES84+'Predicted PPIs'!ES83)))*IF(EQ$26=".", 1, (EQ84/EQ83)^(('Summary, PPI''s'!$P84+'Summary, PPI''s'!$P83)/('Predicted PPIs'!ES84+'Predicted PPIs'!ES83)))</f>
        <v>4.0149225762051</v>
      </c>
      <c r="EW84" s="13">
        <f>EW83*IF(EF$26=".", 1, (EF84/EF83)^(('Summary, PPI''s'!$E84+'Summary, PPI''s'!$E83)/('Predicted PPIs'!ET84+'Predicted PPIs'!ET83)))*IF(EG$26=".", 1, (EG84/EG83)^(('Summary, PPI''s'!$F84+'Summary, PPI''s'!$F83)/('Predicted PPIs'!ET84+'Predicted PPIs'!ET83)))*IF(EH$26=".", 1, (EH84/EH83)^(('Summary, PPI''s'!$G84+'Summary, PPI''s'!$G83)/('Predicted PPIs'!ET84+'Predicted PPIs'!ET83)))*IF(EK$26=".", 1, (EK84/EK83)^(('Summary, PPI''s'!$J84+'Summary, PPI''s'!$J83)/('Predicted PPIs'!ET84+'Predicted PPIs'!ET83)))*IF(EL$26=".", 1, (EL84/EL83)^(('Summary, PPI''s'!$K84+'Summary, PPI''s'!$K83)/('Predicted PPIs'!ET84+'Predicted PPIs'!ET83)))*IF(EM$26=".", 1, (EM84/EM83)^(('Summary, PPI''s'!$L84+'Summary, PPI''s'!$L83)/('Predicted PPIs'!ET84+'Predicted PPIs'!ET83)))*IF(EN$26=".", 1, (EN84/EN83)^(('Summary, PPI''s'!$M84+'Summary, PPI''s'!$M83)/('Predicted PPIs'!ET84+'Predicted PPIs'!ET83)))*IF(EC$26=".", 1, (EC84/EC83)^(('Summary, PPI''s'!$B84+'Summary, PPI''s'!$B83)/('Predicted PPIs'!ET84+'Predicted PPIs'!ET83)))</f>
        <v>6.7604002561307688</v>
      </c>
      <c r="EY84" s="2"/>
    </row>
    <row r="85" spans="1:155" x14ac:dyDescent="0.3">
      <c r="A85" s="4">
        <v>1938</v>
      </c>
      <c r="B85" s="10">
        <f>IF(B84=".", ".", IF('Summary, PPI''s'!R85=".",IF(OR('Summary, hourly ad costs'!R85=-9999,'Summary, hourly ad costs'!R85=0), ".", 'Predicted PPIs'!B84*('Summary, hourly ad costs'!B85/'Summary, hourly ad costs'!R85)/('Summary, hourly ad costs'!B84/'Summary, hourly ad costs'!R84)), 'Summary, PPI''s'!R85))</f>
        <v>25.418616494268125</v>
      </c>
      <c r="C85" s="10" t="str">
        <f>IF(C84=".", ".", IF('Summary, PPI''s'!S85=".",IF(OR('Summary, hourly ad costs'!S85=-9999,'Summary, hourly ad costs'!S85=0), ".", 'Predicted PPIs'!C84*('Summary, hourly ad costs'!C85/'Summary, hourly ad costs'!S85)/('Summary, hourly ad costs'!C84/'Summary, hourly ad costs'!S84)), 'Summary, PPI''s'!S85))</f>
        <v>.</v>
      </c>
      <c r="D85" s="10" t="str">
        <f>IF(D84=".", ".", IF('Summary, PPI''s'!T85=".",IF(OR('Summary, hourly ad costs'!T85=-9999,'Summary, hourly ad costs'!T85=0), ".", 'Predicted PPIs'!D84*('Summary, hourly ad costs'!D85/'Summary, hourly ad costs'!T85)/('Summary, hourly ad costs'!D84/'Summary, hourly ad costs'!T84)), 'Summary, PPI''s'!T85))</f>
        <v>.</v>
      </c>
      <c r="E85" s="10">
        <f>IF(E84=".", ".", IF('Summary, PPI''s'!U85=".",IF(OR('Summary, hourly ad costs'!U85=-9999,'Summary, hourly ad costs'!U85=0), ".", 'Predicted PPIs'!E84*('Summary, hourly ad costs'!E85/'Summary, hourly ad costs'!U85)/('Summary, hourly ad costs'!E84/'Summary, hourly ad costs'!U84)), 'Summary, PPI''s'!U85))</f>
        <v>1.6942651472395223</v>
      </c>
      <c r="F85" s="10">
        <f>IF(F84=".", ".", IF('Summary, PPI''s'!V85=".",IF(OR('Summary, hourly ad costs'!V85=-9999,'Summary, hourly ad costs'!V85=0), ".", 'Predicted PPIs'!F84*('Summary, hourly ad costs'!F85/'Summary, hourly ad costs'!V85)/('Summary, hourly ad costs'!F84/'Summary, hourly ad costs'!V84)), 'Summary, PPI''s'!V85))</f>
        <v>2.8895646465350415</v>
      </c>
      <c r="G85" s="10" t="str">
        <f>IF(G84=".", ".", IF('Summary, PPI''s'!W85=".",IF(OR('Summary, hourly ad costs'!W85=-9999,'Summary, hourly ad costs'!W85=0), ".", 'Predicted PPIs'!G84*('Summary, hourly ad costs'!G85/'Summary, hourly ad costs'!W85)/('Summary, hourly ad costs'!G84/'Summary, hourly ad costs'!W84)), 'Summary, PPI''s'!W85))</f>
        <v>.</v>
      </c>
      <c r="H85" s="10">
        <f>IF(H84=".", ".", IF('Summary, PPI''s'!X85=".",IF(OR('Summary, hourly ad costs'!X85=-9999,'Summary, hourly ad costs'!X85=0), ".", 'Predicted PPIs'!H84*('Summary, hourly ad costs'!H85/'Summary, hourly ad costs'!X85)/('Summary, hourly ad costs'!H84/'Summary, hourly ad costs'!X84)), 'Summary, PPI''s'!X85))</f>
        <v>2.7077186134600018</v>
      </c>
      <c r="I85" s="10">
        <f>IF(I84=".", ".", IF('Summary, PPI''s'!Y85=".",IF(OR('Summary, hourly ad costs'!Y85=-9999,'Summary, hourly ad costs'!Y85=0), ".", 'Predicted PPIs'!I84*('Summary, hourly ad costs'!I85/'Summary, hourly ad costs'!Y85)/('Summary, hourly ad costs'!I84/'Summary, hourly ad costs'!Y84)), 'Summary, PPI''s'!Y85))</f>
        <v>3.9559669750596669</v>
      </c>
      <c r="J85" s="10" t="str">
        <f>IF(J84=".", ".", IF('Summary, PPI''s'!Z85=".",IF(OR('Summary, hourly ad costs'!Z85=-9999,'Summary, hourly ad costs'!Z85=0), ".", 'Predicted PPIs'!J84*('Summary, hourly ad costs'!J85/'Summary, hourly ad costs'!Z85)/('Summary, hourly ad costs'!J84/'Summary, hourly ad costs'!Z84)), 'Summary, PPI''s'!Z85))</f>
        <v>.</v>
      </c>
      <c r="K85" s="10" t="str">
        <f>IF(K84=".", ".", IF('Summary, PPI''s'!AA85=".",IF(OR('Summary, hourly ad costs'!AA85=-9999,'Summary, hourly ad costs'!AA85=0), ".", 'Predicted PPIs'!K84*('Summary, hourly ad costs'!K85/'Summary, hourly ad costs'!AA85)/('Summary, hourly ad costs'!K84/'Summary, hourly ad costs'!AA84)), 'Summary, PPI''s'!AA85))</f>
        <v>.</v>
      </c>
      <c r="L85" s="10" t="str">
        <f>IF(L84=".", ".", IF('Summary, PPI''s'!AB85=".",IF(OR('Summary, hourly ad costs'!AB85=-9999,'Summary, hourly ad costs'!AB85=0), ".", 'Predicted PPIs'!L84*('Summary, hourly ad costs'!L85/'Summary, hourly ad costs'!AB85)/('Summary, hourly ad costs'!L84/'Summary, hourly ad costs'!AB84)), 'Summary, PPI''s'!AB85))</f>
        <v>.</v>
      </c>
      <c r="M85" s="10" t="str">
        <f>IF(M84=".", ".", IF('Summary, PPI''s'!AC85=".",IF(OR('Summary, hourly ad costs'!AC85=-9999,'Summary, hourly ad costs'!AC85=0), ".", 'Predicted PPIs'!M84*('Summary, hourly ad costs'!M85/'Summary, hourly ad costs'!AC85)/('Summary, hourly ad costs'!M84/'Summary, hourly ad costs'!AC84)), 'Summary, PPI''s'!AC85))</f>
        <v>.</v>
      </c>
      <c r="N85" s="10" t="str">
        <f>IF(N84=".", ".", IF('Summary, PPI''s'!AD85=".",IF(OR('Summary, hourly ad costs'!AD85=-9999,'Summary, hourly ad costs'!AD85=0), ".", 'Predicted PPIs'!N84*('Summary, hourly ad costs'!N85/'Summary, hourly ad costs'!AD85)/('Summary, hourly ad costs'!N84/'Summary, hourly ad costs'!AD84)), 'Summary, PPI''s'!AD85))</f>
        <v>.</v>
      </c>
      <c r="O85" s="10" t="str">
        <f>IF(O84=".", ".", IF('Summary, PPI''s'!AE85=".",IF(OR('Summary, hourly ad costs'!AE85=-9999,'Summary, hourly ad costs'!AE85=0), ".", 'Predicted PPIs'!O84*('Summary, hourly ad costs'!O85/'Summary, hourly ad costs'!AE85)/('Summary, hourly ad costs'!O84/'Summary, hourly ad costs'!AE84)), 'Summary, PPI''s'!AE85))</f>
        <v>.</v>
      </c>
      <c r="P85" s="10" t="str">
        <f>IF(P84=".", ".", IF('Summary, PPI''s'!AF85=".",IF(OR('Summary, hourly ad costs'!AF85=-9999,'Summary, hourly ad costs'!AF85=0), ".", 'Predicted PPIs'!P84*('Summary, hourly ad costs'!P85/'Summary, hourly ad costs'!AF85)/('Summary, hourly ad costs'!P84/'Summary, hourly ad costs'!AF84)), 'Summary, PPI''s'!AF85))</f>
        <v>.</v>
      </c>
      <c r="R85" s="1">
        <f>IF(E$26=".", 0, 'Summary, PPI''s'!E85)+IF(F$26=".", 0, 'Summary, PPI''s'!F85)+IF(G$26=".", 0, 'Summary, PPI''s'!G85)+IF(H$26=".", 0, 'Summary, PPI''s'!H85)+IF(I$26=".", 0, 'Summary, PPI''s'!I85)+IF(J$26=".", 0, 'Summary, PPI''s'!J85)+IF(K$26=".", 0, 'Summary, PPI''s'!K85)+IF(L$26=".", 0, 'Summary, PPI''s'!L85)+IF(M$26=".", 0, 'Summary, PPI''s'!M85)+IF(B$26=".", 0, 'Summary, PPI''s'!B85)+IF(C$26=".", 0, 'Summary, PPI''s'!C85)+IF(D$26=".", 0, 'Summary, PPI''s'!D85)+IF(N$26=".", 0, 'Summary, PPI''s'!N85)+IF(O$26=".", 0, 'Summary, PPI''s'!O85)+IF(P$26=".", 0, 'Summary, PPI''s'!P85)</f>
        <v>1868168.7013345307</v>
      </c>
      <c r="S85" s="1">
        <f>IF(E$36=".", 0, 'Summary, PPI''s'!E85)+IF(F$36=".", 0, 'Summary, PPI''s'!F85)+IF(G$36=".", 0, 'Summary, PPI''s'!G85)+IF(H$36=".", 0, 'Summary, PPI''s'!H85)+IF(I$36=".", 0, 'Summary, PPI''s'!I85)+IF(J$36=".", 0, 'Summary, PPI''s'!J85)+IF(K$36=".", 0, 'Summary, PPI''s'!K85)+IF(L$36=".", 0, 'Summary, PPI''s'!L85)+IF(M$36=".", 0, 'Summary, PPI''s'!M85)+IF(B$36=".", 0, 'Summary, PPI''s'!B85)+IF(C$36=".", 0, 'Summary, PPI''s'!C85)+IF(D$36=".", 0, 'Summary, PPI''s'!D85)+IF(N$36=".", 0, 'Summary, PPI''s'!N85)+IF(O$36=".", 0, 'Summary, PPI''s'!O85)+IF(P$36=".", 0, 'Summary, PPI''s'!P85)</f>
        <v>1868168.7013345307</v>
      </c>
      <c r="T85" s="1">
        <f>IF(E$46=".", 0, 'Summary, PPI''s'!E85)+IF(F$46=".", 0, 'Summary, PPI''s'!F85)+IF(G$46=".", 0, 'Summary, PPI''s'!G85)+IF(H$46=".", 0, 'Summary, PPI''s'!H85)+IF(I$46=".", 0, 'Summary, PPI''s'!I85)+IF(J$46=".", 0, 'Summary, PPI''s'!J85)+IF(K$46=".", 0, 'Summary, PPI''s'!K85)+IF(L$46=".", 0, 'Summary, PPI''s'!L85)+IF(M$46=".", 0, 'Summary, PPI''s'!M85)+IF(B$46=".", 0, 'Summary, PPI''s'!B85)+IF(C$46=".", 0, 'Summary, PPI''s'!C85)+IF(D$46=".", 0, 'Summary, PPI''s'!D85)+IF(N$46=".", 0, 'Summary, PPI''s'!N85)+IF(O$46=".", 0, 'Summary, PPI''s'!O85)+IF(P$46=".", 0, 'Summary, PPI''s'!P85)</f>
        <v>1567782.4074964535</v>
      </c>
      <c r="U85" s="1">
        <f>IF(E$60=".", 0, 'Summary, PPI''s'!E85)+IF(F$60=".", 0, 'Summary, PPI''s'!F85)+IF(G$60=".", 0, 'Summary, PPI''s'!G85)+IF(H$60=".", 0, 'Summary, PPI''s'!H85)+IF(I$60=".", 0, 'Summary, PPI''s'!I85)+IF(J$60=".", 0, 'Summary, PPI''s'!J85)+IF(K$60=".", 0, 'Summary, PPI''s'!K85)+IF(L$60=".", 0, 'Summary, PPI''s'!L85)+IF(M$60=".", 0, 'Summary, PPI''s'!M85)+IF(B$60=".", 0, 'Summary, PPI''s'!B85)+IF(C$60=".", 0, 'Summary, PPI''s'!C85)+IF(D$60=".", 0, 'Summary, PPI''s'!D85)+IF(N$60=".", 0, 'Summary, PPI''s'!N85)+IF(O$60=".", 0, 'Summary, PPI''s'!O85)+IF(P$60=".", 0, 'Summary, PPI''s'!P85)</f>
        <v>1445797.0087990284</v>
      </c>
      <c r="V85" s="1">
        <f>IF(E$73=".", 0, 'Summary, PPI''s'!E85)+IF(F$73=".", 0, 'Summary, PPI''s'!F85)+IF(G$73=".", 0, 'Summary, PPI''s'!G85)+IF(H$73=".", 0, 'Summary, PPI''s'!H85)+IF(I$73=".", 0, 'Summary, PPI''s'!I85)+IF(J$73=".", 0, 'Summary, PPI''s'!J85)+IF(K$73=".", 0, 'Summary, PPI''s'!K85)+IF(L$73=".", 0, 'Summary, PPI''s'!L85)+IF(M$73=".", 0, 'Summary, PPI''s'!M85)+IF(B$73=".", 0, 'Summary, PPI''s'!B85)+IF(C$73=".", 0, 'Summary, PPI''s'!C85)+IF(D$73=".", 0, 'Summary, PPI''s'!D85)+IF(N$73=".", 0, 'Summary, PPI''s'!N85)+IF(O$73=".", 0, 'Summary, PPI''s'!O85)+IF(P$73=".", 0, 'Summary, PPI''s'!P85)</f>
        <v>1219812.8455050855</v>
      </c>
      <c r="W85" s="1">
        <f>IF(E$94=".",0,'Summary, PPI''s'!E85)+IF(F$94=".",0,'Summary, PPI''s'!F85)+IF(G$94=".",0,'Summary, PPI''s'!G85)+IF(H$94=".",0,'Summary, PPI''s'!H85)+IF(I$94=".",0,'Summary, PPI''s'!I85)+IF(J$94=".",0,'Summary, PPI''s'!J85)+IF(K$94=".",0,'Summary, PPI''s'!K85)+IF(L$94=".",0,'Summary, PPI''s'!L85)+IF(M$94=".",0,'Summary, PPI''s'!M85)+IF(B$94=".",0,'Summary, PPI''s'!B85)+IF(C$94=".",0,'Summary, PPI''s'!C85)+IF(D$94=".",0,'Summary, PPI''s'!D85)+IF(N$94=".",0,'Summary, PPI''s'!N85)+IF(O$94=".",0,'Summary, PPI''s'!O85)+IF(P$94=".",0,'Summary, PPI''s'!P85)</f>
        <v>1219812.8455050855</v>
      </c>
      <c r="X85" s="1">
        <f>IF(E$123=".", 0, 'Summary, PPI''s'!E85)+IF(F$123=".", 0, 'Summary, PPI''s'!F85)+IF(G$123=".", 0, 'Summary, PPI''s'!G85)+IF(H$123=".", 0, 'Summary, PPI''s'!H85)+IF(I$123=".", 0, 'Summary, PPI''s'!I85)+IF(J$123=".", 0, 'Summary, PPI''s'!J85)+IF(K$123=".", 0, 'Summary, PPI''s'!K85)+IF(L$123=".", 0, 'Summary, PPI''s'!L85)+IF(M$123=".", 0, 'Summary, PPI''s'!M85)+IF(B$123=".", 0, 'Summary, PPI''s'!B85)+IF(C$123=".", 0, 'Summary, PPI''s'!C85)+IF(D$123=".", 0, 'Summary, PPI''s'!D85)+IF(N$123=".", 0, 'Summary, PPI''s'!N85)+IF(O$123=".", 0, 'Summary, PPI''s'!O85)+IF(P$123=".", 0, 'Summary, PPI''s'!P85)</f>
        <v>1088897.8130975959</v>
      </c>
      <c r="Z85" s="4" t="e">
        <f>Z84*IF(E$26=".", 1, (E85/E84)^(('Summary, PPI''s'!$E85+'Summary, PPI''s'!$E84)/('Predicted PPIs'!R85+'Predicted PPIs'!R84)))*IF(F$26=".", 1, (F85/F84)^(('Summary, PPI''s'!$F85+'Summary, PPI''s'!$F84)/('Predicted PPIs'!R85+'Predicted PPIs'!R84)))*IF(G$26=".", 1, (G85/G84)^(('Summary, PPI''s'!$G85+'Summary, PPI''s'!$G84)/('Predicted PPIs'!R85+'Predicted PPIs'!R84)))*IF(H$26=".", 1, (H85/H84)^(('Summary, PPI''s'!$H85+'Summary, PPI''s'!$H84)/('Predicted PPIs'!R85+'Predicted PPIs'!R84)))*IF(I$26=".", 1, (I85/I84)^(('Summary, PPI''s'!$I85+'Summary, PPI''s'!$I84)/('Predicted PPIs'!R85+'Predicted PPIs'!R84)))*IF(J$26=".", 1, (J85/J84)^(('Summary, PPI''s'!$J85+'Summary, PPI''s'!$J84)/('Predicted PPIs'!R85+'Predicted PPIs'!R84)))*IF(K$26=".", 1, (K85/K84)^(('Summary, PPI''s'!$K85+'Summary, PPI''s'!$K84)/('Predicted PPIs'!R85+'Predicted PPIs'!R84)))*IF(L$26=".", 1, (L85/L84)^(('Summary, PPI''s'!$L85+'Summary, PPI''s'!$L84)/('Predicted PPIs'!R85+'Predicted PPIs'!R84)))*IF(M$26=".", 1, (M85/M84)^(('Summary, PPI''s'!$M85+'Summary, PPI''s'!$M84)/('Predicted PPIs'!R85+'Predicted PPIs'!R84)))*IF(B$26=".", 1, (B85/B84)^(('Summary, PPI''s'!$B85+'Summary, PPI''s'!$B84)/('Predicted PPIs'!R85+'Predicted PPIs'!R84)))*IF(C$26=".", 1, (C85/C84)^(('Summary, PPI''s'!$C85+'Summary, PPI''s'!$C84)/('Predicted PPIs'!R85+'Predicted PPIs'!R84)))*IF(D$26=".", 1, (D85/D84)^(('Summary, PPI''s'!$D85+'Summary, PPI''s'!$D84)/('Predicted PPIs'!R85+'Predicted PPIs'!R84)))*IF(N$26=".", 1, (N85/N84)^(('Summary, PPI''s'!$N85+'Summary, PPI''s'!$N84)/('Predicted PPIs'!R85+'Predicted PPIs'!R84)))*IF(O$26=".", 1, (O85/O84)^(('Summary, PPI''s'!$O85+'Summary, PPI''s'!$O84)/('Predicted PPIs'!R85+'Predicted PPIs'!R84)))*IF(P$26=".", 1, (P85/P84)^(('Summary, PPI''s'!$P85+'Summary, PPI''s'!$P84)/('Predicted PPIs'!R85+'Predicted PPIs'!R84)))</f>
        <v>#VALUE!</v>
      </c>
      <c r="AA85" s="4" t="e">
        <f>AA84*IF(E$36=".", 1, (E85/E84)^(('Summary, PPI''s'!$E85+'Summary, PPI''s'!$E84)/('Predicted PPIs'!S85+'Predicted PPIs'!S84)))*IF(F$36=".", 1, (F85/F84)^(('Summary, PPI''s'!$F85+'Summary, PPI''s'!$F84)/('Predicted PPIs'!S85+'Predicted PPIs'!S84)))*IF(G$36=".", 1, (G85/G84)^(('Summary, PPI''s'!$G85+'Summary, PPI''s'!$G84)/('Predicted PPIs'!S85+'Predicted PPIs'!S84)))*IF(H$36=".", 1, (H85/H84)^(('Summary, PPI''s'!$H85+'Summary, PPI''s'!$H84)/('Predicted PPIs'!S85+'Predicted PPIs'!S84)))*IF(I$36=".", 1, (I85/I84)^(('Summary, PPI''s'!$I85+'Summary, PPI''s'!$I84)/('Predicted PPIs'!S85+'Predicted PPIs'!S84)))*IF(J$36=".", 1, (J85/J84)^(('Summary, PPI''s'!$J85+'Summary, PPI''s'!$J84)/('Predicted PPIs'!S85+'Predicted PPIs'!S84)))*IF(K$36=".", 1, (K85/K84)^(('Summary, PPI''s'!$K85+'Summary, PPI''s'!$K84)/('Predicted PPIs'!S85+'Predicted PPIs'!S84)))*IF(L$36=".", 1, (L85/L84)^(('Summary, PPI''s'!$L85+'Summary, PPI''s'!$L84)/('Predicted PPIs'!S85+'Predicted PPIs'!S84)))*IF(M$36=".", 1, (M85/M84)^(('Summary, PPI''s'!$M85+'Summary, PPI''s'!$M84)/('Predicted PPIs'!S85+'Predicted PPIs'!S84)))*IF(B$36=".", 1, (B85/B84)^(('Summary, PPI''s'!$B85+'Summary, PPI''s'!$B84)/('Predicted PPIs'!S85+'Predicted PPIs'!S84)))*IF(C$36=".", 1, (C85/C84)^(('Summary, PPI''s'!$C85+'Summary, PPI''s'!$C84)/('Predicted PPIs'!S85+'Predicted PPIs'!S84)))*IF(D$36=".", 1, (D85/D84)^(('Summary, PPI''s'!$D85+'Summary, PPI''s'!$D84)/('Predicted PPIs'!S85+'Predicted PPIs'!S84)))*IF(N$36=".", 1, (N85/N84)^(('Summary, PPI''s'!$N85+'Summary, PPI''s'!$N84)/('Predicted PPIs'!S85+'Predicted PPIs'!S84)))*IF(O$36=".", 1, (O85/O84)^(('Summary, PPI''s'!$O85+'Summary, PPI''s'!$O84)/('Predicted PPIs'!S85+'Predicted PPIs'!S84)))*IF(P$36=".", 1, (P85/P84)^(('Summary, PPI''s'!$P85+'Summary, PPI''s'!$P84)/('Predicted PPIs'!S85+'Predicted PPIs'!S84)))</f>
        <v>#VALUE!</v>
      </c>
      <c r="AB85" s="4" t="e">
        <f>AB84*IF(E$46=".", 1, (E85/E84)^(('Summary, PPI''s'!$E85+'Summary, PPI''s'!$E84)/('Predicted PPIs'!T85+'Predicted PPIs'!T84)))*IF(F$46=".", 1, (F85/F84)^(('Summary, PPI''s'!$F85+'Summary, PPI''s'!$F84)/('Predicted PPIs'!T85+'Predicted PPIs'!T84)))*IF(G$46=".", 1, (G85/G84)^(('Summary, PPI''s'!$G85+'Summary, PPI''s'!$G84)/('Predicted PPIs'!T85+'Predicted PPIs'!T84)))*IF(H$46=".", 1, (H85/H84)^(('Summary, PPI''s'!$H85+'Summary, PPI''s'!$H84)/('Predicted PPIs'!T85+'Predicted PPIs'!T84)))*IF(I$46=".", 1, (I85/I84)^(('Summary, PPI''s'!$I85+'Summary, PPI''s'!$I84)/('Predicted PPIs'!T85+'Predicted PPIs'!T84)))*IF(J$46=".", 1, (J85/J84)^(('Summary, PPI''s'!$J85+'Summary, PPI''s'!$J84)/('Predicted PPIs'!T85+'Predicted PPIs'!T84)))*IF(K$46=".", 1, (K85/K84)^(('Summary, PPI''s'!$K85+'Summary, PPI''s'!$K84)/('Predicted PPIs'!T85+'Predicted PPIs'!T84)))*IF(L$46=".", 1, (L85/L84)^(('Summary, PPI''s'!$L85+'Summary, PPI''s'!$L84)/('Predicted PPIs'!T85+'Predicted PPIs'!T84)))*IF(M$46=".", 1, (M85/M84)^(('Summary, PPI''s'!$M85+'Summary, PPI''s'!$M84)/('Predicted PPIs'!T85+'Predicted PPIs'!T84)))*IF(B$46=".", 1, (B85/B84)^(('Summary, PPI''s'!$B85+'Summary, PPI''s'!$B84)/('Predicted PPIs'!T85+'Predicted PPIs'!T84)))*IF(C$46=".", 1, (C85/C84)^(('Summary, PPI''s'!$C85+'Summary, PPI''s'!$C84)/('Predicted PPIs'!T85+'Predicted PPIs'!T84)))*IF(D$46=".", 1, (D85/D84)^(('Summary, PPI''s'!$D85+'Summary, PPI''s'!$D84)/('Predicted PPIs'!T85+'Predicted PPIs'!T84)))*IF(N$46=".", 1, (N85/N84)^(('Summary, PPI''s'!$N85+'Summary, PPI''s'!$N84)/('Predicted PPIs'!T85+'Predicted PPIs'!T84)))*IF(O$46=".", 1, (O85/O84)^(('Summary, PPI''s'!$O85+'Summary, PPI''s'!$O84)/('Predicted PPIs'!T85+'Predicted PPIs'!T84)))*IF(P$46=".", 1, (P85/P84)^(('Summary, PPI''s'!$P85+'Summary, PPI''s'!$P84)/('Predicted PPIs'!T85+'Predicted PPIs'!T84)))</f>
        <v>#VALUE!</v>
      </c>
      <c r="AC85" s="4" t="e">
        <f>AC84*IF(E$60=".",1,(E85/E84)^(('Summary, PPI''s'!$E85+'Summary, PPI''s'!$E84)/('Predicted PPIs'!U85+'Predicted PPIs'!U84)))*IF(F$60=".",1,(F85/F84)^(('Summary, PPI''s'!$F85+'Summary, PPI''s'!$F84)/('Predicted PPIs'!U85+'Predicted PPIs'!U84)))*IF(G$60=".",1,(G85/G84)^(('Summary, PPI''s'!$G85+'Summary, PPI''s'!$G84)/('Predicted PPIs'!U85+'Predicted PPIs'!U84)))*IF(H$60=".",1,(H85/H84)^(('Summary, PPI''s'!$H85+'Summary, PPI''s'!$H84)/('Predicted PPIs'!U85+'Predicted PPIs'!U84)))*IF(I$60=".",1,(I85/I84)^(('Summary, PPI''s'!$I85+'Summary, PPI''s'!$I84)/('Predicted PPIs'!U85+'Predicted PPIs'!U84)))*IF(J$60=".",1,(J85/J84)^(('Summary, PPI''s'!$J85+'Summary, PPI''s'!$J84)/('Predicted PPIs'!U85+'Predicted PPIs'!U84)))*IF(K$60=".",1,(K85/K84)^(('Summary, PPI''s'!$K85+'Summary, PPI''s'!$K84)/('Predicted PPIs'!U85+'Predicted PPIs'!U84)))*IF(L$60=".",1,(L85/L84)^(('Summary, PPI''s'!$L85+'Summary, PPI''s'!$L84)/('Predicted PPIs'!U85+'Predicted PPIs'!U84)))*IF(M$60=".",1,(M85/M84)^(('Summary, PPI''s'!$M85+'Summary, PPI''s'!$M84)/('Predicted PPIs'!U85+'Predicted PPIs'!U84)))*IF(B$60=".",1,(B85/B84)^(('Summary, PPI''s'!$B85+'Summary, PPI''s'!$B84)/('Predicted PPIs'!U85+'Predicted PPIs'!U84)))*IF(C$60=".",1,(C85/C84)^(('Summary, PPI''s'!$C85+'Summary, PPI''s'!$C84)/('Predicted PPIs'!U85+'Predicted PPIs'!U84)))*IF(D$60=".",1,(D85/D84)^(('Summary, PPI''s'!$D85+'Summary, PPI''s'!$D84)/('Predicted PPIs'!U85+'Predicted PPIs'!U84)))*IF(N$60=".",1,(N85/N84)^(('Summary, PPI''s'!$N85+'Summary, PPI''s'!$N84)/('Predicted PPIs'!U85+'Predicted PPIs'!U84)))*IF(O$60=".",1,(O85/O84)^(('Summary, PPI''s'!$O85+'Summary, PPI''s'!$O84)/('Predicted PPIs'!U85+'Predicted PPIs'!U84)))*IF(P$60=".",1,(P85/P84)^(('Summary, PPI''s'!$P85+'Summary, PPI''s'!$P84)/('Predicted PPIs'!U85+'Predicted PPIs'!U84)))</f>
        <v>#VALUE!</v>
      </c>
      <c r="AD85" s="4" t="e">
        <f>AD84*IF(E$73=".", 1, (E85/E84)^(('Summary, PPI''s'!$E85+'Summary, PPI''s'!$E84)/('Predicted PPIs'!V85+'Predicted PPIs'!V84)))*IF(F$73=".", 1, (F85/F84)^(('Summary, PPI''s'!$F85+'Summary, PPI''s'!$F84)/('Predicted PPIs'!V85+'Predicted PPIs'!V84)))*IF(G$73=".", 1, (G85/G84)^(('Summary, PPI''s'!$G85+'Summary, PPI''s'!$G84)/('Predicted PPIs'!V85+'Predicted PPIs'!V84)))*IF(H$73=".", 1, (H85/H84)^(('Summary, PPI''s'!$H85+'Summary, PPI''s'!$H84)/('Predicted PPIs'!V85+'Predicted PPIs'!V84)))*IF(I$73=".", 1, (I85/I84)^(('Summary, PPI''s'!$I85+'Summary, PPI''s'!$I84)/('Predicted PPIs'!V85+'Predicted PPIs'!V84)))*IF(J$73=".", 1, (J85/J84)^(('Summary, PPI''s'!$J85+'Summary, PPI''s'!$J84)/('Predicted PPIs'!V85+'Predicted PPIs'!V84)))*IF(K$73=".", 1, (K85/K84)^(('Summary, PPI''s'!$K85+'Summary, PPI''s'!$K84)/('Predicted PPIs'!V85+'Predicted PPIs'!V84)))*IF(L$73=".", 1, (L85/L84)^(('Summary, PPI''s'!$L85+'Summary, PPI''s'!$L84)/('Predicted PPIs'!V85+'Predicted PPIs'!V84)))*IF(M$73=".", 1, (M85/M84)^(('Summary, PPI''s'!$M85+'Summary, PPI''s'!$M84)/('Predicted PPIs'!V85+'Predicted PPIs'!V84)))*IF(B$73=".", 1, (B85/B84)^(('Summary, PPI''s'!$B85+'Summary, PPI''s'!$B84)/('Predicted PPIs'!V85+'Predicted PPIs'!V84)))*IF(C$73=".", 1, (C85/C84)^(('Summary, PPI''s'!$C85+'Summary, PPI''s'!$C84)/('Predicted PPIs'!V85+'Predicted PPIs'!V84)))*IF(D$73=".", 1, (D85/D84)^(('Summary, PPI''s'!$D85+'Summary, PPI''s'!$D84)/('Predicted PPIs'!V85+'Predicted PPIs'!V84)))*IF(N$73=".", 1, (N85/N84)^(('Summary, PPI''s'!$N85+'Summary, PPI''s'!$N84)/('Predicted PPIs'!V85+'Predicted PPIs'!V84)))*IF(O$73=".", 1, (O85/O84)^(('Summary, PPI''s'!$O85+'Summary, PPI''s'!$O84)/('Predicted PPIs'!V85+'Predicted PPIs'!V84)))*IF(P$73=".", 1, (P85/P84)^(('Summary, PPI''s'!$P85+'Summary, PPI''s'!$P84)/('Predicted PPIs'!V85+'Predicted PPIs'!V84)))</f>
        <v>#VALUE!</v>
      </c>
      <c r="AE85" s="4">
        <f>AE84*IF(E$94=".", 1, (E85/E84)^(('Summary, PPI''s'!$E85+'Summary, PPI''s'!$E84)/('Predicted PPIs'!W85+'Predicted PPIs'!W84)))*IF(F$94=".", 1, (F85/F84)^(('Summary, PPI''s'!$F85+'Summary, PPI''s'!$F84)/('Predicted PPIs'!W85+'Predicted PPIs'!W84)))*IF(G$94=".", 1, (G85/G84)^(('Summary, PPI''s'!$G85+'Summary, PPI''s'!$G84)/('Predicted PPIs'!W85+'Predicted PPIs'!W84)))*IF(H$94=".", 1, (H85/H84)^(('Summary, PPI''s'!$H85+'Summary, PPI''s'!$H84)/('Predicted PPIs'!W85+'Predicted PPIs'!W84)))*IF(I$94=".", 1, (I85/I84)^(('Summary, PPI''s'!$I85+'Summary, PPI''s'!$I84)/('Predicted PPIs'!W85+'Predicted PPIs'!W84)))*IF(J$94=".", 1, (J85/J84)^(('Summary, PPI''s'!$J85+'Summary, PPI''s'!$J84)/('Predicted PPIs'!W85+'Predicted PPIs'!W84)))*IF(K$94=".", 1, (K85/K84)^(('Summary, PPI''s'!$K85+'Summary, PPI''s'!$K84)/('Predicted PPIs'!W85+'Predicted PPIs'!W84)))*IF(L$94=".", 1, (L85/L84)^(('Summary, PPI''s'!$L85+'Summary, PPI''s'!$L84)/('Predicted PPIs'!W85+'Predicted PPIs'!W84)))*IF(M$94=".", 1, (M85/M84)^(('Summary, PPI''s'!$M85+'Summary, PPI''s'!$M84)/('Predicted PPIs'!W85+'Predicted PPIs'!W84)))*IF(B$94=".", 1, (B85/B84)^(('Summary, PPI''s'!$B85+'Summary, PPI''s'!$B84)/('Predicted PPIs'!W85+'Predicted PPIs'!W84)))*IF(C$94=".", 1, (C85/C84)^(('Summary, PPI''s'!$C85+'Summary, PPI''s'!$C84)/('Predicted PPIs'!W85+'Predicted PPIs'!W84)))*IF(D$94=".", 1, (D85/D84)^(('Summary, PPI''s'!$D85+'Summary, PPI''s'!$D84)/('Predicted PPIs'!W85+'Predicted PPIs'!W84)))*IF(N$94=".", 1, (N85/N84)^(('Summary, PPI''s'!$N85+'Summary, PPI''s'!$N84)/('Predicted PPIs'!W85+'Predicted PPIs'!W84)))*IF(O$94=".", 1, (O85/O84)^(('Summary, PPI''s'!$O85+'Summary, PPI''s'!$O84)/('Predicted PPIs'!W85+'Predicted PPIs'!W84)))*IF(P$94=".", 1, (P85/P84)^(('Summary, PPI''s'!$P85+'Summary, PPI''s'!$P84)/('Predicted PPIs'!W85+'Predicted PPIs'!W84)))</f>
        <v>3.0372333742359996</v>
      </c>
      <c r="AF85" s="4">
        <f>AF84*IF(E$123=".", 1, (E85/E84)^(('Summary, PPI''s'!$E85+'Summary, PPI''s'!$E84)/('Predicted PPIs'!X85+'Predicted PPIs'!X84)))*IF(F$123=".", 1, (F85/F84)^(('Summary, PPI''s'!$F85+'Summary, PPI''s'!$F84)/('Predicted PPIs'!X85+'Predicted PPIs'!X84)))*IF(G$123=".", 1, (G85/G84)^(('Summary, PPI''s'!$G85+'Summary, PPI''s'!$G84)/('Predicted PPIs'!X85+'Predicted PPIs'!X84)))*IF(H$123=".", 1, (H85/H84)^(('Summary, PPI''s'!$H85+'Summary, PPI''s'!$H84)/('Predicted PPIs'!X85+'Predicted PPIs'!X84)))*IF(I$123=".", 1, (I85/I84)^(('Summary, PPI''s'!$I85+'Summary, PPI''s'!$I84)/('Predicted PPIs'!X85+'Predicted PPIs'!X84)))*IF(J$123=".", 1, (J85/J84)^(('Summary, PPI''s'!$J85+'Summary, PPI''s'!$J84)/('Predicted PPIs'!X85+'Predicted PPIs'!X84)))*IF(K$123=".", 1, (K85/K84)^(('Summary, PPI''s'!$K85+'Summary, PPI''s'!$K84)/('Predicted PPIs'!X85+'Predicted PPIs'!X84)))*IF(L$123=".", 1, (L85/L84)^(('Summary, PPI''s'!$L85+'Summary, PPI''s'!$L84)/('Predicted PPIs'!X85+'Predicted PPIs'!X84)))*IF(M$123=".", 1, (M85/M84)^(('Summary, PPI''s'!$M85+'Summary, PPI''s'!$M84)/('Predicted PPIs'!X85+'Predicted PPIs'!X84)))*IF(B$123=".", 1, (B85/B84)^(('Summary, PPI''s'!$B85+'Summary, PPI''s'!$B84)/('Predicted PPIs'!X85+'Predicted PPIs'!X84)))*IF(C$123=".", 1, (C85/C84)^(('Summary, PPI''s'!$C85+'Summary, PPI''s'!$C84)/('Predicted PPIs'!X85+'Predicted PPIs'!X84)))*IF(D$123=".", 1, (D85/D84)^(('Summary, PPI''s'!$D85+'Summary, PPI''s'!$D84)/('Predicted PPIs'!X85+'Predicted PPIs'!X84)))*IF(N$123=".", 1, (N85/N84)^(('Summary, PPI''s'!$N85+'Summary, PPI''s'!$N84)/('Predicted PPIs'!X85+'Predicted PPIs'!X84)))*IF(O$123=".", 1, (O85/O84)^(('Summary, PPI''s'!$O85+'Summary, PPI''s'!$O84)/('Predicted PPIs'!X85+'Predicted PPIs'!X84)))*IF(P$123=".", 1, (P85/P84)^(('Summary, PPI''s'!$P85+'Summary, PPI''s'!$P84)/('Predicted PPIs'!X85+'Predicted PPIs'!X84)))</f>
        <v>2.7803073553553719</v>
      </c>
      <c r="AH85" s="13">
        <f t="shared" si="152"/>
        <v>4.153512716624765</v>
      </c>
      <c r="AJ85" s="4">
        <v>64.3</v>
      </c>
      <c r="AK85" s="4">
        <v>-1.2350000000000001</v>
      </c>
      <c r="AL85" s="4">
        <v>-4.1040000000000001</v>
      </c>
      <c r="AM85" s="4">
        <v>-0.745</v>
      </c>
      <c r="AN85" s="4">
        <f t="shared" si="176"/>
        <v>85.746571957998754</v>
      </c>
      <c r="AO85" s="4">
        <v>9</v>
      </c>
      <c r="AP85" s="4">
        <f t="shared" si="177"/>
        <v>-0.83262032085561499</v>
      </c>
      <c r="AQ85" s="4">
        <f t="shared" si="178"/>
        <v>-1.5740374331550802</v>
      </c>
      <c r="AR85" s="4">
        <f t="shared" si="148"/>
        <v>-9.1654220502126419E-5</v>
      </c>
      <c r="AS85" s="4">
        <v>-0.47</v>
      </c>
      <c r="AT85" s="4">
        <v>7.4020000000000001</v>
      </c>
      <c r="AU85" s="4">
        <v>10.468999999999999</v>
      </c>
      <c r="AV85" s="4">
        <v>8.7690000000000001</v>
      </c>
      <c r="AW85" s="4">
        <v>5.5709999999999997</v>
      </c>
      <c r="AX85" s="4">
        <f t="shared" si="179"/>
        <v>7.0506242395132865</v>
      </c>
      <c r="AY85" s="4">
        <v>9.3379999999999992</v>
      </c>
      <c r="AZ85" s="4">
        <v>3.1579999999999999</v>
      </c>
      <c r="BA85" s="4">
        <v>7.5650000000000004</v>
      </c>
      <c r="BB85" s="4">
        <f t="shared" si="150"/>
        <v>43.269935219514238</v>
      </c>
      <c r="BC85" s="4">
        <v>7.8230000000000004</v>
      </c>
      <c r="BG85" s="4">
        <f t="shared" si="172"/>
        <v>8.6379877752010596</v>
      </c>
      <c r="BI85" s="4">
        <f>BI$13*'[2]Ordinary Experience'!$D$341/'[2]Ordinary Experience'!$D$413</f>
        <v>130343078.30928172</v>
      </c>
      <c r="BJ85" s="4">
        <f>'[2]Ordinary Experience'!$E$341</f>
        <v>25.823878696588626</v>
      </c>
      <c r="BL85" s="4">
        <f t="shared" si="151"/>
        <v>22.54219590563256</v>
      </c>
      <c r="BM85" s="4">
        <f t="shared" si="153"/>
        <v>-3.6763116788051553E-2</v>
      </c>
      <c r="BO85" s="4" t="str">
        <f>IF(OR('Summary, hourly ad costs'!R85=-9999,'Summary, PPI''s'!R85="."),".",(('Summary, hourly ad costs'!B85/'Summary, hourly ad costs'!R85)*100/('Summary, hourly ad costs'!B$11/'Summary, hourly ad costs'!R$11))/('Summary, PPI''s'!R85))</f>
        <v>.</v>
      </c>
      <c r="BP85" s="4" t="str">
        <f>IF(OR('Summary, hourly ad costs'!S85=-9999,'Summary, PPI''s'!S85="."),".",(('Summary, hourly ad costs'!C85/'Summary, hourly ad costs'!S85)*100/('Summary, hourly ad costs'!C$11/'Summary, hourly ad costs'!S$11))/('Summary, PPI''s'!S85))</f>
        <v>.</v>
      </c>
      <c r="BQ85" s="4" t="str">
        <f>IF(OR('Summary, hourly ad costs'!T85=-9999,'Summary, PPI''s'!T85="."),".",(('Summary, hourly ad costs'!D85/'Summary, hourly ad costs'!T85)*100/('Summary, hourly ad costs'!D$11/'Summary, hourly ad costs'!T$11))/('Summary, PPI''s'!T85))</f>
        <v>.</v>
      </c>
      <c r="BR85" s="4" t="str">
        <f>IF(OR('Summary, hourly ad costs'!U85=-9999,'Summary, PPI''s'!U85="."),".",(('Summary, hourly ad costs'!E85/'Summary, hourly ad costs'!U85)*100/('Summary, hourly ad costs'!E$11/'Summary, hourly ad costs'!U$11))/('Summary, PPI''s'!U85))</f>
        <v>.</v>
      </c>
      <c r="BS85" s="4" t="str">
        <f>IF(OR('Summary, hourly ad costs'!V85=-9999,'Summary, PPI''s'!V85="."),".",(('Summary, hourly ad costs'!F85/'Summary, hourly ad costs'!V85)*100/('Summary, hourly ad costs'!F$11/'Summary, hourly ad costs'!V$11))/('Summary, PPI''s'!V85))</f>
        <v>.</v>
      </c>
      <c r="BT85" s="4" t="str">
        <f>IF(OR('Summary, hourly ad costs'!W85=-9999,'Summary, PPI''s'!W85="."),".",(('Summary, hourly ad costs'!G85/'Summary, hourly ad costs'!W85)*100/('Summary, hourly ad costs'!G$11/'Summary, hourly ad costs'!W$11))/('Summary, PPI''s'!W85))</f>
        <v>.</v>
      </c>
      <c r="BU85" s="4" t="str">
        <f>IF(OR('Summary, hourly ad costs'!X85=-9999,'Summary, PPI''s'!X85="."),".",(('Summary, hourly ad costs'!H85/'Summary, hourly ad costs'!X85)*100/('Summary, hourly ad costs'!H$11/'Summary, hourly ad costs'!X$11))/('Summary, PPI''s'!X85))</f>
        <v>.</v>
      </c>
      <c r="BV85" s="4" t="str">
        <f>IF(OR('Summary, hourly ad costs'!Y85=-9999,'Summary, PPI''s'!Y85="."),".",(('Summary, hourly ad costs'!I85/'Summary, hourly ad costs'!Y85)*100/('Summary, hourly ad costs'!I$11/'Summary, hourly ad costs'!Y$11))/('Summary, PPI''s'!Y85))</f>
        <v>.</v>
      </c>
      <c r="BW85" s="4" t="str">
        <f>IF(OR('Summary, hourly ad costs'!Z85=-9999,'Summary, PPI''s'!Z85="."),".",(('Summary, hourly ad costs'!J85/'Summary, hourly ad costs'!Z85)*100/('Summary, hourly ad costs'!J$11/'Summary, hourly ad costs'!Z$11))/('Summary, PPI''s'!Z85))</f>
        <v>.</v>
      </c>
      <c r="BX85" s="4" t="str">
        <f>IF(OR('Summary, hourly ad costs'!AA85=-9999,'Summary, PPI''s'!AA85="."),".",(('Summary, hourly ad costs'!K85/'Summary, hourly ad costs'!AA85)*100/('Summary, hourly ad costs'!K$11/'Summary, hourly ad costs'!AA$11))/('Summary, PPI''s'!AA85))</f>
        <v>.</v>
      </c>
      <c r="BY85" s="4" t="str">
        <f>IF(OR('Summary, hourly ad costs'!AB85=-9999,'Summary, PPI''s'!AB85="."),".",(('Summary, hourly ad costs'!L85/'Summary, hourly ad costs'!AB85)*100/('Summary, hourly ad costs'!L$11/'Summary, hourly ad costs'!AB$11))/('Summary, PPI''s'!AB85))</f>
        <v>.</v>
      </c>
      <c r="BZ85" s="4" t="str">
        <f>IF(OR('Summary, hourly ad costs'!AC85=-9999,'Summary, PPI''s'!AC85="."),".",(('Summary, hourly ad costs'!M85/'Summary, hourly ad costs'!AC85)*100/('Summary, hourly ad costs'!M$11/'Summary, hourly ad costs'!AC$11))/('Summary, PPI''s'!AC85))</f>
        <v>.</v>
      </c>
      <c r="CA85" s="4" t="str">
        <f>IF(OR('Summary, hourly ad costs'!AD85=-9999,'Summary, PPI''s'!AD85="."),".",(('Summary, hourly ad costs'!N85/'Summary, hourly ad costs'!AD85)*100/('Summary, hourly ad costs'!N$11/'Summary, hourly ad costs'!AD$11))/('Summary, PPI''s'!AD85))</f>
        <v>.</v>
      </c>
      <c r="CB85" s="4" t="str">
        <f>IF(OR('Summary, hourly ad costs'!AE85=-9999,'Summary, PPI''s'!AE85="."),".",(('Summary, hourly ad costs'!O85/'Summary, hourly ad costs'!AE85)*100/('Summary, hourly ad costs'!O$11/'Summary, hourly ad costs'!AE$11))/('Summary, PPI''s'!AE85))</f>
        <v>.</v>
      </c>
      <c r="CC85" s="4" t="str">
        <f>IF(OR('Summary, hourly ad costs'!AF85=-9999,'Summary, PPI''s'!AF85="."),".",(('Summary, hourly ad costs'!P85/'Summary, hourly ad costs'!AF85)*100/('Summary, hourly ad costs'!P$11/'Summary, hourly ad costs'!AF$11))/('Summary, PPI''s'!AF85))</f>
        <v>.</v>
      </c>
      <c r="CE85" s="4">
        <f t="shared" si="134"/>
        <v>-6.6674181164799742E-2</v>
      </c>
      <c r="CF85" s="4" t="str">
        <f t="shared" si="135"/>
        <v>.</v>
      </c>
      <c r="CG85" s="4" t="str">
        <f t="shared" si="136"/>
        <v>.</v>
      </c>
      <c r="CH85" s="4">
        <f t="shared" si="145"/>
        <v>-6.872568449828273E-2</v>
      </c>
      <c r="CI85" s="4">
        <f t="shared" si="145"/>
        <v>-7.6349458636956705E-2</v>
      </c>
      <c r="CJ85" s="4" t="str">
        <f t="shared" si="147"/>
        <v>.</v>
      </c>
      <c r="CK85" s="4">
        <f t="shared" si="149"/>
        <v>6.6193632184767502E-3</v>
      </c>
      <c r="CL85" s="4">
        <f t="shared" si="130"/>
        <v>-5.3650388563364952E-2</v>
      </c>
      <c r="CM85" s="4">
        <f t="shared" si="130"/>
        <v>-5.1832877064145726E-3</v>
      </c>
      <c r="CN85" s="4">
        <f t="shared" si="89"/>
        <v>-6.8514074522717766E-2</v>
      </c>
      <c r="CO85" s="4">
        <f t="shared" si="180"/>
        <v>-0.24739134110888392</v>
      </c>
      <c r="CP85" s="4">
        <f t="shared" si="180"/>
        <v>0.28823865976219937</v>
      </c>
      <c r="CQ85" s="4" t="str">
        <f t="shared" si="173"/>
        <v>.</v>
      </c>
      <c r="CR85" s="4" t="str">
        <f t="shared" si="174"/>
        <v>.</v>
      </c>
      <c r="CS85" s="4" t="str">
        <f t="shared" si="175"/>
        <v>.</v>
      </c>
      <c r="CU85" s="5">
        <f>IF(CU84=".", ".", IF('Summary, PPI''s'!R85=".",IF(OR('Summary, hourly ad costs'!R85=-9999,'Summary, hourly ad costs'!R85=0), ".", 'Predicted PPIs'!CU84*('Summary, hourly ad costs'!B85/'Summary, hourly ad costs'!R85)/('Summary, hourly ad costs'!B84/'Summary, hourly ad costs'!R84)/(1-CE84)), 'Summary, PPI''s'!R85))</f>
        <v>21.972092655514167</v>
      </c>
      <c r="CV85" s="5" t="str">
        <f>IF(CV84=".", ".", IF('Summary, PPI''s'!S85=".",IF(OR('Summary, hourly ad costs'!S85=-9999,'Summary, hourly ad costs'!S85=0), ".", 'Predicted PPIs'!CV84*('Summary, hourly ad costs'!C85/'Summary, hourly ad costs'!S85)/('Summary, hourly ad costs'!C84/'Summary, hourly ad costs'!S84)/(1-CF84)), 'Summary, PPI''s'!S85))</f>
        <v>.</v>
      </c>
      <c r="CW85" s="5" t="str">
        <f>IF(CW84=".", ".", IF('Summary, PPI''s'!T85=".",IF(OR('Summary, hourly ad costs'!T85=-9999,'Summary, hourly ad costs'!T85=0), ".", 'Predicted PPIs'!CW84*('Summary, hourly ad costs'!D85/'Summary, hourly ad costs'!T85)/('Summary, hourly ad costs'!D84/'Summary, hourly ad costs'!T84)/(1-CG84)), 'Summary, PPI''s'!T85))</f>
        <v>.</v>
      </c>
      <c r="CX85" s="5">
        <f>IF(CX84=".", ".", IF('Summary, PPI''s'!U85=".",IF(OR('Summary, hourly ad costs'!U85=-9999,'Summary, hourly ad costs'!U85=0), ".", 'Predicted PPIs'!CX84*('Summary, hourly ad costs'!E85/'Summary, hourly ad costs'!U85)/('Summary, hourly ad costs'!E84/'Summary, hourly ad costs'!U84)/(1-CH84)), 'Summary, PPI''s'!U85))</f>
        <v>2.4622976242479262</v>
      </c>
      <c r="CY85" s="5">
        <f>IF(CY84=".", ".", IF('Summary, PPI''s'!V85=".",IF(OR('Summary, hourly ad costs'!V85=-9999,'Summary, hourly ad costs'!V85=0), ".", 'Predicted PPIs'!CY84*('Summary, hourly ad costs'!F85/'Summary, hourly ad costs'!V85)/('Summary, hourly ad costs'!F84/'Summary, hourly ad costs'!V84)/(1-CI84)), 'Summary, PPI''s'!V85))</f>
        <v>4.6460074382431991</v>
      </c>
      <c r="CZ85" s="5" t="str">
        <f>IF(CZ84=".", ".", IF('Summary, PPI''s'!W85=".",IF(OR('Summary, hourly ad costs'!W85=-9999,'Summary, hourly ad costs'!W85=0), ".", 'Predicted PPIs'!CZ84*('Summary, hourly ad costs'!G85/'Summary, hourly ad costs'!W85)/('Summary, hourly ad costs'!G84/'Summary, hourly ad costs'!W84)/(1-CJ84)), 'Summary, PPI''s'!W85))</f>
        <v>.</v>
      </c>
      <c r="DA85" s="5">
        <f>IF(DA84=".", ".", IF('Summary, PPI''s'!X85=".",IF(OR('Summary, hourly ad costs'!X85=-9999,'Summary, hourly ad costs'!X85=0), ".", 'Predicted PPIs'!DA84*('Summary, hourly ad costs'!H85/'Summary, hourly ad costs'!X85)/('Summary, hourly ad costs'!H84/'Summary, hourly ad costs'!X84)/(1-CK84)), 'Summary, PPI''s'!X85))</f>
        <v>2.878723546244359</v>
      </c>
      <c r="DB85" s="5">
        <f>IF(DB84=".", ".", IF('Summary, PPI''s'!Y85=".",IF(OR('Summary, hourly ad costs'!Y85=-9999,'Summary, hourly ad costs'!Y85=0), ".", 'Predicted PPIs'!DB84*('Summary, hourly ad costs'!I85/'Summary, hourly ad costs'!Y85)/('Summary, hourly ad costs'!I84/'Summary, hourly ad costs'!Y84)/(1-CL84)), 'Summary, PPI''s'!Y85))</f>
        <v>6.0993004107447977</v>
      </c>
      <c r="DC85" s="5" t="str">
        <f>IF(DC84=".", ".", IF('Summary, PPI''s'!Z85=".",IF(OR('Summary, hourly ad costs'!Z85=-9999,'Summary, hourly ad costs'!Z85=0), ".", 'Predicted PPIs'!DC84*('Summary, hourly ad costs'!J85/'Summary, hourly ad costs'!Z85)/('Summary, hourly ad costs'!J84/'Summary, hourly ad costs'!Z84)/(1-CM84)), 'Summary, PPI''s'!Z85))</f>
        <v>.</v>
      </c>
      <c r="DD85" s="5" t="str">
        <f>IF(DD84=".", ".", IF('Summary, PPI''s'!AA85=".",IF(OR('Summary, hourly ad costs'!AA85=-9999,'Summary, hourly ad costs'!AA85=0), ".", 'Predicted PPIs'!DD84*('Summary, hourly ad costs'!K85/'Summary, hourly ad costs'!AA85)/('Summary, hourly ad costs'!K84/'Summary, hourly ad costs'!AA84)/(1-CN84)), 'Summary, PPI''s'!AA85))</f>
        <v>.</v>
      </c>
      <c r="DE85" s="5" t="str">
        <f>IF(DE84=".", ".", IF('Summary, PPI''s'!AB85=".",IF(OR('Summary, hourly ad costs'!AB85=-9999,'Summary, hourly ad costs'!AB85=0), ".", 'Predicted PPIs'!DE84*('Summary, hourly ad costs'!L85/'Summary, hourly ad costs'!AB85)/('Summary, hourly ad costs'!L84/'Summary, hourly ad costs'!AB84)/(1-CO84)), 'Summary, PPI''s'!AB85))</f>
        <v>.</v>
      </c>
      <c r="DF85" s="5" t="str">
        <f>IF(DF84=".", ".", IF('Summary, PPI''s'!AC85=".",IF(OR('Summary, hourly ad costs'!AC85=-9999,'Summary, hourly ad costs'!AC85=0), ".", 'Predicted PPIs'!DF84*('Summary, hourly ad costs'!M85/'Summary, hourly ad costs'!AC85)/('Summary, hourly ad costs'!M84/'Summary, hourly ad costs'!AC84)/(1-CP84)), 'Summary, PPI''s'!AC85))</f>
        <v>.</v>
      </c>
      <c r="DG85" s="5" t="str">
        <f>IF(DG84=".", ".", IF('Summary, PPI''s'!AD85=".",IF(OR('Summary, hourly ad costs'!AD85=-9999,'Summary, hourly ad costs'!AD85=0), ".", 'Predicted PPIs'!DG84*('Summary, hourly ad costs'!N85/'Summary, hourly ad costs'!AD85)/('Summary, hourly ad costs'!N84/'Summary, hourly ad costs'!AD84)/(1-CQ84)), 'Summary, PPI''s'!AD85))</f>
        <v>.</v>
      </c>
      <c r="DH85" s="5" t="str">
        <f>IF(DH84=".", ".", IF('Summary, PPI''s'!AE85=".",IF(OR('Summary, hourly ad costs'!AE85=-9999,'Summary, hourly ad costs'!AE85=0), ".", 'Predicted PPIs'!DH84*('Summary, hourly ad costs'!O85/'Summary, hourly ad costs'!AE85)/('Summary, hourly ad costs'!O84/'Summary, hourly ad costs'!AE84)/(1-CR84)), 'Summary, PPI''s'!AE85))</f>
        <v>.</v>
      </c>
      <c r="DI85" s="5" t="str">
        <f>IF(DI84=".", ".", IF('Summary, PPI''s'!AF85=".",IF(OR('Summary, hourly ad costs'!AF85=-9999,'Summary, hourly ad costs'!AF85=0), ".", 'Predicted PPIs'!DI84*('Summary, hourly ad costs'!P85/'Summary, hourly ad costs'!AF85)/('Summary, hourly ad costs'!P84/'Summary, hourly ad costs'!AF84)/(1-CS84)), 'Summary, PPI''s'!AF85))</f>
        <v>.</v>
      </c>
      <c r="DK85" s="4">
        <v>2.2639999999999998</v>
      </c>
      <c r="DM85" s="5">
        <f t="shared" si="138"/>
        <v>3.1574951423241515E-2</v>
      </c>
      <c r="DN85" s="4">
        <f t="shared" si="139"/>
        <v>-1.2521833154197191E-2</v>
      </c>
      <c r="DO85" s="4">
        <f t="shared" si="181"/>
        <v>-2.3097843085579085E-2</v>
      </c>
      <c r="DP85" s="5">
        <f t="shared" si="140"/>
        <v>-4.7259608918284179E-2</v>
      </c>
      <c r="DQ85" s="5">
        <f t="shared" si="141"/>
        <v>-9.1995391689137618E-2</v>
      </c>
      <c r="DR85" s="4">
        <f t="shared" si="146"/>
        <v>-1.6376766928826461E-2</v>
      </c>
      <c r="DS85" s="5">
        <f t="shared" si="169"/>
        <v>0.12667559430959097</v>
      </c>
      <c r="DT85" s="5">
        <f t="shared" si="170"/>
        <v>-2.6856782528689727E-2</v>
      </c>
      <c r="DU85" s="4">
        <f t="shared" si="171"/>
        <v>-4.5993780037806478E-2</v>
      </c>
      <c r="DV85" s="4">
        <f t="shared" si="131"/>
        <v>2.2236420100755967E-3</v>
      </c>
      <c r="DW85" s="4">
        <f t="shared" si="133"/>
        <v>8.8634452651124324E-2</v>
      </c>
      <c r="DX85" s="4">
        <f t="shared" si="133"/>
        <v>-0.34032219047829515</v>
      </c>
      <c r="DY85" s="4">
        <f t="shared" si="108"/>
        <v>-2.4904209740727073E-2</v>
      </c>
      <c r="DZ85" s="4">
        <f t="shared" si="132"/>
        <v>-1.8956408475858919E-2</v>
      </c>
      <c r="EA85" s="4">
        <f t="shared" si="109"/>
        <v>-1.49464566874666E-2</v>
      </c>
      <c r="EC85" s="1">
        <f t="shared" si="154"/>
        <v>21.972092655514167</v>
      </c>
      <c r="ED85" s="1">
        <f t="shared" si="155"/>
        <v>3.9181350560510118</v>
      </c>
      <c r="EE85" s="1">
        <f t="shared" si="156"/>
        <v>2.2955790280483446</v>
      </c>
      <c r="EF85" s="1">
        <f t="shared" si="157"/>
        <v>2.4622976242479262</v>
      </c>
      <c r="EG85" s="1">
        <f t="shared" si="158"/>
        <v>4.6460074382431991</v>
      </c>
      <c r="EH85" s="1">
        <f t="shared" si="159"/>
        <v>2.4796228350084313</v>
      </c>
      <c r="EI85" s="1">
        <f t="shared" si="160"/>
        <v>2.878723546244359</v>
      </c>
      <c r="EJ85" s="1">
        <f t="shared" si="161"/>
        <v>6.0993004107447977</v>
      </c>
      <c r="EK85" s="1">
        <f t="shared" si="162"/>
        <v>9.0039109698875581</v>
      </c>
      <c r="EL85" s="1">
        <f t="shared" si="163"/>
        <v>1.8406172642822427</v>
      </c>
      <c r="EM85" s="1">
        <f t="shared" si="164"/>
        <v>0.12890231593765966</v>
      </c>
      <c r="EN85" s="1">
        <f t="shared" si="165"/>
        <v>4.5528472074144464</v>
      </c>
      <c r="EO85" s="1">
        <f t="shared" si="166"/>
        <v>1.5865331601340866</v>
      </c>
      <c r="EP85" s="1">
        <f t="shared" si="167"/>
        <v>2.4704437495990725</v>
      </c>
      <c r="EQ85" s="1">
        <f t="shared" si="168"/>
        <v>1.9034259725232716</v>
      </c>
      <c r="ES85" s="1">
        <f>IF(EF$26=".", 0, 'Summary, PPI''s'!E85)+IF(EG$26=".", 0, 'Summary, PPI''s'!F85)+IF(EH$26=".", 0, 'Summary, PPI''s'!G85)+IF(EI$26=".", 0, 'Summary, PPI''s'!H85)+IF(EJ$26=".", 0, 'Summary, PPI''s'!I85)+IF(EK$26=".", 0, 'Summary, PPI''s'!J85)+IF(EL$26=".", 0, 'Summary, PPI''s'!K85)+IF(EM$26=".", 0, 'Summary, PPI''s'!L85)+IF(EN$26=".", 0, 'Summary, PPI''s'!M85)+IF(EC$26=".", 0, 'Summary, PPI''s'!B85)+IF(ED$26=".", 0, 'Summary, PPI''s'!C85)+IF(EE$26=".", 0, 'Summary, PPI''s'!D85)+IF(EO$26=".", 0, 'Summary, PPI''s'!N85)+IF(EP$26=".", 0, 'Summary, PPI''s'!O85)+IF(EQ$26=".", 0, 'Summary, PPI''s'!P85)</f>
        <v>1868168.7013345307</v>
      </c>
      <c r="ET85" s="1">
        <f>'Summary, hourly ad costs'!E85+'Summary, hourly ad costs'!F85+'Summary, hourly ad costs'!H85+'Summary, hourly ad costs'!I85+'Summary, hourly ad costs'!J85+'Summary, hourly ad costs'!K85+'Summary, hourly ad costs'!L85+'Summary, hourly ad costs'!M85+'Summary, hourly ad costs'!B85</f>
        <v>1219812.8455050855</v>
      </c>
      <c r="EV85" s="13">
        <f>EV84*IF(EF$26=".", 1, (EF85/EF84)^(('Summary, PPI''s'!$E85+'Summary, PPI''s'!$E84)/('Predicted PPIs'!ES85+'Predicted PPIs'!ES84)))*IF(EG$26=".", 1, (EG85/EG84)^(('Summary, PPI''s'!$F85+'Summary, PPI''s'!$F84)/('Predicted PPIs'!ES85+'Predicted PPIs'!ES84)))*IF(EH$26=".", 1, (EH85/EH84)^(('Summary, PPI''s'!$G85+'Summary, PPI''s'!$G84)/('Predicted PPIs'!ES85+'Predicted PPIs'!ES84)))*IF(EI$26=".", 1, (EI85/EI84)^(('Summary, PPI''s'!$H85+'Summary, PPI''s'!$H84)/('Predicted PPIs'!ES85+'Predicted PPIs'!ES84)))*IF(EJ$26=".", 1, (EJ85/EJ84)^(('Summary, PPI''s'!$I85+'Summary, PPI''s'!$I84)/('Predicted PPIs'!ES85+'Predicted PPIs'!ES84)))*IF(EK$26=".", 1, (EK85/EK84)^(('Summary, PPI''s'!$J85+'Summary, PPI''s'!$J84)/('Predicted PPIs'!ES85+'Predicted PPIs'!ES84)))*IF(EL$26=".", 1, (EL85/EL84)^(('Summary, PPI''s'!$K85+'Summary, PPI''s'!$K84)/('Predicted PPIs'!ES85+'Predicted PPIs'!ES84)))*IF(EM$26=".", 1, (EM85/EM84)^(('Summary, PPI''s'!$L85+'Summary, PPI''s'!$L84)/('Predicted PPIs'!ES85+'Predicted PPIs'!ES84)))*IF(EN$26=".", 1, (EN85/EN84)^(('Summary, PPI''s'!$M85+'Summary, PPI''s'!$M84)/('Predicted PPIs'!ES85+'Predicted PPIs'!ES84)))*IF(EC$26=".", 1, (EC85/EC84)^(('Summary, PPI''s'!$B85+'Summary, PPI''s'!$B84)/('Predicted PPIs'!ES85+'Predicted PPIs'!ES84)))*IF(ED$26=".", 1, (ED85/ED84)^(('Summary, PPI''s'!$C85+'Summary, PPI''s'!$C84)/('Predicted PPIs'!ES85+'Predicted PPIs'!ES84)))*IF(EE$26=".", 1, (EE85/EE84)^(('Summary, PPI''s'!$D85+'Summary, PPI''s'!$D84)/('Predicted PPIs'!ES85+'Predicted PPIs'!ES84)))*IF(EO$26=".", 1, (EO85/EO84)^(('Summary, PPI''s'!$N85+'Summary, PPI''s'!$N84)/('Predicted PPIs'!ES85+'Predicted PPIs'!ES84)))*IF(EP$26=".", 1, (EP85/EP84)^(('Summary, PPI''s'!$O85+'Summary, PPI''s'!$O84)/('Predicted PPIs'!ES85+'Predicted PPIs'!ES84)))*IF(EQ$26=".", 1, (EQ85/EQ84)^(('Summary, PPI''s'!$P85+'Summary, PPI''s'!$P84)/('Predicted PPIs'!ES85+'Predicted PPIs'!ES84)))</f>
        <v>3.9937881149148331</v>
      </c>
      <c r="EW85" s="13">
        <f>EW84*IF(EF$26=".", 1, (EF85/EF84)^(('Summary, PPI''s'!$E85+'Summary, PPI''s'!$E84)/('Predicted PPIs'!ET85+'Predicted PPIs'!ET84)))*IF(EG$26=".", 1, (EG85/EG84)^(('Summary, PPI''s'!$F85+'Summary, PPI''s'!$F84)/('Predicted PPIs'!ET85+'Predicted PPIs'!ET84)))*IF(EH$26=".", 1, (EH85/EH84)^(('Summary, PPI''s'!$G85+'Summary, PPI''s'!$G84)/('Predicted PPIs'!ET85+'Predicted PPIs'!ET84)))*IF(EK$26=".", 1, (EK85/EK84)^(('Summary, PPI''s'!$J85+'Summary, PPI''s'!$J84)/('Predicted PPIs'!ET85+'Predicted PPIs'!ET84)))*IF(EL$26=".", 1, (EL85/EL84)^(('Summary, PPI''s'!$K85+'Summary, PPI''s'!$K84)/('Predicted PPIs'!ET85+'Predicted PPIs'!ET84)))*IF(EM$26=".", 1, (EM85/EM84)^(('Summary, PPI''s'!$L85+'Summary, PPI''s'!$L84)/('Predicted PPIs'!ET85+'Predicted PPIs'!ET84)))*IF(EN$26=".", 1, (EN85/EN84)^(('Summary, PPI''s'!$M85+'Summary, PPI''s'!$M84)/('Predicted PPIs'!ET85+'Predicted PPIs'!ET84)))*IF(EC$26=".", 1, (EC85/EC84)^(('Summary, PPI''s'!$B85+'Summary, PPI''s'!$B84)/('Predicted PPIs'!ET85+'Predicted PPIs'!ET84)))</f>
        <v>6.8379860186386159</v>
      </c>
      <c r="EY85" s="2"/>
    </row>
    <row r="86" spans="1:155" x14ac:dyDescent="0.3">
      <c r="A86" s="4">
        <v>1937</v>
      </c>
      <c r="B86" s="10">
        <f>IF(B85=".", ".", IF('Summary, PPI''s'!R86=".",IF(OR('Summary, hourly ad costs'!R86=-9999,'Summary, hourly ad costs'!R86=0), ".", 'Predicted PPIs'!B85*('Summary, hourly ad costs'!B86/'Summary, hourly ad costs'!R86)/('Summary, hourly ad costs'!B85/'Summary, hourly ad costs'!R85)), 'Summary, PPI''s'!R86))</f>
        <v>26.562105746632142</v>
      </c>
      <c r="C86" s="10" t="str">
        <f>IF(C85=".", ".", IF('Summary, PPI''s'!S86=".",IF(OR('Summary, hourly ad costs'!S86=-9999,'Summary, hourly ad costs'!S86=0), ".", 'Predicted PPIs'!C85*('Summary, hourly ad costs'!C86/'Summary, hourly ad costs'!S86)/('Summary, hourly ad costs'!C85/'Summary, hourly ad costs'!S85)), 'Summary, PPI''s'!S86))</f>
        <v>.</v>
      </c>
      <c r="D86" s="10" t="str">
        <f>IF(D85=".", ".", IF('Summary, PPI''s'!T86=".",IF(OR('Summary, hourly ad costs'!T86=-9999,'Summary, hourly ad costs'!T86=0), ".", 'Predicted PPIs'!D85*('Summary, hourly ad costs'!D86/'Summary, hourly ad costs'!T86)/('Summary, hourly ad costs'!D85/'Summary, hourly ad costs'!T85)), 'Summary, PPI''s'!T86))</f>
        <v>.</v>
      </c>
      <c r="E86" s="10">
        <f>IF(E85=".", ".", IF('Summary, PPI''s'!U86=".",IF(OR('Summary, hourly ad costs'!U86=-9999,'Summary, hourly ad costs'!U86=0), ".", 'Predicted PPIs'!E85*('Summary, hourly ad costs'!E86/'Summary, hourly ad costs'!U86)/('Summary, hourly ad costs'!E85/'Summary, hourly ad costs'!U85)), 'Summary, PPI''s'!U86))</f>
        <v>1.9206695187731551</v>
      </c>
      <c r="F86" s="10">
        <f>IF(F85=".", ".", IF('Summary, PPI''s'!V86=".",IF(OR('Summary, hourly ad costs'!V86=-9999,'Summary, hourly ad costs'!V86=0), ".", 'Predicted PPIs'!F85*('Summary, hourly ad costs'!F86/'Summary, hourly ad costs'!V86)/('Summary, hourly ad costs'!F85/'Summary, hourly ad costs'!V85)), 'Summary, PPI''s'!V86))</f>
        <v>3.4616029857881041</v>
      </c>
      <c r="G86" s="10" t="str">
        <f>IF(G85=".", ".", IF('Summary, PPI''s'!W86=".",IF(OR('Summary, hourly ad costs'!W86=-9999,'Summary, hourly ad costs'!W86=0), ".", 'Predicted PPIs'!G85*('Summary, hourly ad costs'!G86/'Summary, hourly ad costs'!W86)/('Summary, hourly ad costs'!G85/'Summary, hourly ad costs'!W85)), 'Summary, PPI''s'!W86))</f>
        <v>.</v>
      </c>
      <c r="H86" s="10">
        <f>IF(H85=".", ".", IF('Summary, PPI''s'!X86=".",IF(OR('Summary, hourly ad costs'!X86=-9999,'Summary, hourly ad costs'!X86=0), ".", 'Predicted PPIs'!H85*('Summary, hourly ad costs'!H86/'Summary, hourly ad costs'!X86)/('Summary, hourly ad costs'!H85/'Summary, hourly ad costs'!X85)), 'Summary, PPI''s'!X86))</f>
        <v>2.4126811521058107</v>
      </c>
      <c r="I86" s="10">
        <f>IF(I85=".", ".", IF('Summary, PPI''s'!Y86=".",IF(OR('Summary, hourly ad costs'!Y86=-9999,'Summary, hourly ad costs'!Y86=0), ".", 'Predicted PPIs'!I85*('Summary, hourly ad costs'!I86/'Summary, hourly ad costs'!Y86)/('Summary, hourly ad costs'!I85/'Summary, hourly ad costs'!Y85)), 'Summary, PPI''s'!Y86))</f>
        <v>4.328645563782878</v>
      </c>
      <c r="J86" s="10" t="str">
        <f>IF(J85=".", ".", IF('Summary, PPI''s'!Z86=".",IF(OR('Summary, hourly ad costs'!Z86=-9999,'Summary, hourly ad costs'!Z86=0), ".", 'Predicted PPIs'!J85*('Summary, hourly ad costs'!J86/'Summary, hourly ad costs'!Z86)/('Summary, hourly ad costs'!J85/'Summary, hourly ad costs'!Z85)), 'Summary, PPI''s'!Z86))</f>
        <v>.</v>
      </c>
      <c r="K86" s="10" t="str">
        <f>IF(K85=".", ".", IF('Summary, PPI''s'!AA86=".",IF(OR('Summary, hourly ad costs'!AA86=-9999,'Summary, hourly ad costs'!AA86=0), ".", 'Predicted PPIs'!K85*('Summary, hourly ad costs'!K86/'Summary, hourly ad costs'!AA86)/('Summary, hourly ad costs'!K85/'Summary, hourly ad costs'!AA85)), 'Summary, PPI''s'!AA86))</f>
        <v>.</v>
      </c>
      <c r="L86" s="10" t="str">
        <f>IF(L85=".", ".", IF('Summary, PPI''s'!AB86=".",IF(OR('Summary, hourly ad costs'!AB86=-9999,'Summary, hourly ad costs'!AB86=0), ".", 'Predicted PPIs'!L85*('Summary, hourly ad costs'!L86/'Summary, hourly ad costs'!AB86)/('Summary, hourly ad costs'!L85/'Summary, hourly ad costs'!AB85)), 'Summary, PPI''s'!AB86))</f>
        <v>.</v>
      </c>
      <c r="M86" s="10" t="str">
        <f>IF(M85=".", ".", IF('Summary, PPI''s'!AC86=".",IF(OR('Summary, hourly ad costs'!AC86=-9999,'Summary, hourly ad costs'!AC86=0), ".", 'Predicted PPIs'!M85*('Summary, hourly ad costs'!M86/'Summary, hourly ad costs'!AC86)/('Summary, hourly ad costs'!M85/'Summary, hourly ad costs'!AC85)), 'Summary, PPI''s'!AC86))</f>
        <v>.</v>
      </c>
      <c r="N86" s="10" t="str">
        <f>IF(N85=".", ".", IF('Summary, PPI''s'!AD86=".",IF(OR('Summary, hourly ad costs'!AD86=-9999,'Summary, hourly ad costs'!AD86=0), ".", 'Predicted PPIs'!N85*('Summary, hourly ad costs'!N86/'Summary, hourly ad costs'!AD86)/('Summary, hourly ad costs'!N85/'Summary, hourly ad costs'!AD85)), 'Summary, PPI''s'!AD86))</f>
        <v>.</v>
      </c>
      <c r="O86" s="10" t="str">
        <f>IF(O85=".", ".", IF('Summary, PPI''s'!AE86=".",IF(OR('Summary, hourly ad costs'!AE86=-9999,'Summary, hourly ad costs'!AE86=0), ".", 'Predicted PPIs'!O85*('Summary, hourly ad costs'!O86/'Summary, hourly ad costs'!AE86)/('Summary, hourly ad costs'!O85/'Summary, hourly ad costs'!AE85)), 'Summary, PPI''s'!AE86))</f>
        <v>.</v>
      </c>
      <c r="P86" s="10" t="str">
        <f>IF(P85=".", ".", IF('Summary, PPI''s'!AF86=".",IF(OR('Summary, hourly ad costs'!AF86=-9999,'Summary, hourly ad costs'!AF86=0), ".", 'Predicted PPIs'!P85*('Summary, hourly ad costs'!P86/'Summary, hourly ad costs'!AF86)/('Summary, hourly ad costs'!P85/'Summary, hourly ad costs'!AF85)), 'Summary, PPI''s'!AF86))</f>
        <v>.</v>
      </c>
      <c r="R86" s="1">
        <f>IF(E$26=".", 0, 'Summary, PPI''s'!E86)+IF(F$26=".", 0, 'Summary, PPI''s'!F86)+IF(G$26=".", 0, 'Summary, PPI''s'!G86)+IF(H$26=".", 0, 'Summary, PPI''s'!H86)+IF(I$26=".", 0, 'Summary, PPI''s'!I86)+IF(J$26=".", 0, 'Summary, PPI''s'!J86)+IF(K$26=".", 0, 'Summary, PPI''s'!K86)+IF(L$26=".", 0, 'Summary, PPI''s'!L86)+IF(M$26=".", 0, 'Summary, PPI''s'!M86)+IF(B$26=".", 0, 'Summary, PPI''s'!B86)+IF(C$26=".", 0, 'Summary, PPI''s'!C86)+IF(D$26=".", 0, 'Summary, PPI''s'!D86)+IF(N$26=".", 0, 'Summary, PPI''s'!N86)+IF(O$26=".", 0, 'Summary, PPI''s'!O86)+IF(P$26=".", 0, 'Summary, PPI''s'!P86)</f>
        <v>2019570.9926751135</v>
      </c>
      <c r="S86" s="1">
        <f>IF(E$36=".", 0, 'Summary, PPI''s'!E86)+IF(F$36=".", 0, 'Summary, PPI''s'!F86)+IF(G$36=".", 0, 'Summary, PPI''s'!G86)+IF(H$36=".", 0, 'Summary, PPI''s'!H86)+IF(I$36=".", 0, 'Summary, PPI''s'!I86)+IF(J$36=".", 0, 'Summary, PPI''s'!J86)+IF(K$36=".", 0, 'Summary, PPI''s'!K86)+IF(L$36=".", 0, 'Summary, PPI''s'!L86)+IF(M$36=".", 0, 'Summary, PPI''s'!M86)+IF(B$36=".", 0, 'Summary, PPI''s'!B86)+IF(C$36=".", 0, 'Summary, PPI''s'!C86)+IF(D$36=".", 0, 'Summary, PPI''s'!D86)+IF(N$36=".", 0, 'Summary, PPI''s'!N86)+IF(O$36=".", 0, 'Summary, PPI''s'!O86)+IF(P$36=".", 0, 'Summary, PPI''s'!P86)</f>
        <v>2019570.9926751135</v>
      </c>
      <c r="T86" s="1">
        <f>IF(E$46=".", 0, 'Summary, PPI''s'!E86)+IF(F$46=".", 0, 'Summary, PPI''s'!F86)+IF(G$46=".", 0, 'Summary, PPI''s'!G86)+IF(H$46=".", 0, 'Summary, PPI''s'!H86)+IF(I$46=".", 0, 'Summary, PPI''s'!I86)+IF(J$46=".", 0, 'Summary, PPI''s'!J86)+IF(K$46=".", 0, 'Summary, PPI''s'!K86)+IF(L$46=".", 0, 'Summary, PPI''s'!L86)+IF(M$46=".", 0, 'Summary, PPI''s'!M86)+IF(B$46=".", 0, 'Summary, PPI''s'!B86)+IF(C$46=".", 0, 'Summary, PPI''s'!C86)+IF(D$46=".", 0, 'Summary, PPI''s'!D86)+IF(N$46=".", 0, 'Summary, PPI''s'!N86)+IF(O$46=".", 0, 'Summary, PPI''s'!O86)+IF(P$46=".", 0, 'Summary, PPI''s'!P86)</f>
        <v>1692220.9375162825</v>
      </c>
      <c r="U86" s="1">
        <f>IF(E$60=".", 0, 'Summary, PPI''s'!E86)+IF(F$60=".", 0, 'Summary, PPI''s'!F86)+IF(G$60=".", 0, 'Summary, PPI''s'!G86)+IF(H$60=".", 0, 'Summary, PPI''s'!H86)+IF(I$60=".", 0, 'Summary, PPI''s'!I86)+IF(J$60=".", 0, 'Summary, PPI''s'!J86)+IF(K$60=".", 0, 'Summary, PPI''s'!K86)+IF(L$60=".", 0, 'Summary, PPI''s'!L86)+IF(M$60=".", 0, 'Summary, PPI''s'!M86)+IF(B$60=".", 0, 'Summary, PPI''s'!B86)+IF(C$60=".", 0, 'Summary, PPI''s'!C86)+IF(D$60=".", 0, 'Summary, PPI''s'!D86)+IF(N$60=".", 0, 'Summary, PPI''s'!N86)+IF(O$60=".", 0, 'Summary, PPI''s'!O86)+IF(P$60=".", 0, 'Summary, PPI''s'!P86)</f>
        <v>1564535.9803462718</v>
      </c>
      <c r="V86" s="1">
        <f>IF(E$73=".", 0, 'Summary, PPI''s'!E86)+IF(F$73=".", 0, 'Summary, PPI''s'!F86)+IF(G$73=".", 0, 'Summary, PPI''s'!G86)+IF(H$73=".", 0, 'Summary, PPI''s'!H86)+IF(I$73=".", 0, 'Summary, PPI''s'!I86)+IF(J$73=".", 0, 'Summary, PPI''s'!J86)+IF(K$73=".", 0, 'Summary, PPI''s'!K86)+IF(L$73=".", 0, 'Summary, PPI''s'!L86)+IF(M$73=".", 0, 'Summary, PPI''s'!M86)+IF(B$73=".", 0, 'Summary, PPI''s'!B86)+IF(C$73=".", 0, 'Summary, PPI''s'!C86)+IF(D$73=".", 0, 'Summary, PPI''s'!D86)+IF(N$73=".", 0, 'Summary, PPI''s'!N86)+IF(O$73=".", 0, 'Summary, PPI''s'!O86)+IF(P$73=".", 0, 'Summary, PPI''s'!P86)</f>
        <v>1335184.9769428368</v>
      </c>
      <c r="W86" s="1">
        <f>IF(E$94=".",0,'Summary, PPI''s'!E86)+IF(F$94=".",0,'Summary, PPI''s'!F86)+IF(G$94=".",0,'Summary, PPI''s'!G86)+IF(H$94=".",0,'Summary, PPI''s'!H86)+IF(I$94=".",0,'Summary, PPI''s'!I86)+IF(J$94=".",0,'Summary, PPI''s'!J86)+IF(K$94=".",0,'Summary, PPI''s'!K86)+IF(L$94=".",0,'Summary, PPI''s'!L86)+IF(M$94=".",0,'Summary, PPI''s'!M86)+IF(B$94=".",0,'Summary, PPI''s'!B86)+IF(C$94=".",0,'Summary, PPI''s'!C86)+IF(D$94=".",0,'Summary, PPI''s'!D86)+IF(N$94=".",0,'Summary, PPI''s'!N86)+IF(O$94=".",0,'Summary, PPI''s'!O86)+IF(P$94=".",0,'Summary, PPI''s'!P86)</f>
        <v>1335184.9769428368</v>
      </c>
      <c r="X86" s="1">
        <f>IF(E$123=".", 0, 'Summary, PPI''s'!E86)+IF(F$123=".", 0, 'Summary, PPI''s'!F86)+IF(G$123=".", 0, 'Summary, PPI''s'!G86)+IF(H$123=".", 0, 'Summary, PPI''s'!H86)+IF(I$123=".", 0, 'Summary, PPI''s'!I86)+IF(J$123=".", 0, 'Summary, PPI''s'!J86)+IF(K$123=".", 0, 'Summary, PPI''s'!K86)+IF(L$123=".", 0, 'Summary, PPI''s'!L86)+IF(M$123=".", 0, 'Summary, PPI''s'!M86)+IF(B$123=".", 0, 'Summary, PPI''s'!B86)+IF(C$123=".", 0, 'Summary, PPI''s'!C86)+IF(D$123=".", 0, 'Summary, PPI''s'!D86)+IF(N$123=".", 0, 'Summary, PPI''s'!N86)+IF(O$123=".", 0, 'Summary, PPI''s'!O86)+IF(P$123=".", 0, 'Summary, PPI''s'!P86)</f>
        <v>1205881.5998913937</v>
      </c>
      <c r="Z86" s="4" t="e">
        <f>Z85*IF(E$26=".", 1, (E86/E85)^(('Summary, PPI''s'!$E86+'Summary, PPI''s'!$E85)/('Predicted PPIs'!R86+'Predicted PPIs'!R85)))*IF(F$26=".", 1, (F86/F85)^(('Summary, PPI''s'!$F86+'Summary, PPI''s'!$F85)/('Predicted PPIs'!R86+'Predicted PPIs'!R85)))*IF(G$26=".", 1, (G86/G85)^(('Summary, PPI''s'!$G86+'Summary, PPI''s'!$G85)/('Predicted PPIs'!R86+'Predicted PPIs'!R85)))*IF(H$26=".", 1, (H86/H85)^(('Summary, PPI''s'!$H86+'Summary, PPI''s'!$H85)/('Predicted PPIs'!R86+'Predicted PPIs'!R85)))*IF(I$26=".", 1, (I86/I85)^(('Summary, PPI''s'!$I86+'Summary, PPI''s'!$I85)/('Predicted PPIs'!R86+'Predicted PPIs'!R85)))*IF(J$26=".", 1, (J86/J85)^(('Summary, PPI''s'!$J86+'Summary, PPI''s'!$J85)/('Predicted PPIs'!R86+'Predicted PPIs'!R85)))*IF(K$26=".", 1, (K86/K85)^(('Summary, PPI''s'!$K86+'Summary, PPI''s'!$K85)/('Predicted PPIs'!R86+'Predicted PPIs'!R85)))*IF(L$26=".", 1, (L86/L85)^(('Summary, PPI''s'!$L86+'Summary, PPI''s'!$L85)/('Predicted PPIs'!R86+'Predicted PPIs'!R85)))*IF(M$26=".", 1, (M86/M85)^(('Summary, PPI''s'!$M86+'Summary, PPI''s'!$M85)/('Predicted PPIs'!R86+'Predicted PPIs'!R85)))*IF(B$26=".", 1, (B86/B85)^(('Summary, PPI''s'!$B86+'Summary, PPI''s'!$B85)/('Predicted PPIs'!R86+'Predicted PPIs'!R85)))*IF(C$26=".", 1, (C86/C85)^(('Summary, PPI''s'!$C86+'Summary, PPI''s'!$C85)/('Predicted PPIs'!R86+'Predicted PPIs'!R85)))*IF(D$26=".", 1, (D86/D85)^(('Summary, PPI''s'!$D86+'Summary, PPI''s'!$D85)/('Predicted PPIs'!R86+'Predicted PPIs'!R85)))*IF(N$26=".", 1, (N86/N85)^(('Summary, PPI''s'!$N86+'Summary, PPI''s'!$N85)/('Predicted PPIs'!R86+'Predicted PPIs'!R85)))*IF(O$26=".", 1, (O86/O85)^(('Summary, PPI''s'!$O86+'Summary, PPI''s'!$O85)/('Predicted PPIs'!R86+'Predicted PPIs'!R85)))*IF(P$26=".", 1, (P86/P85)^(('Summary, PPI''s'!$P86+'Summary, PPI''s'!$P85)/('Predicted PPIs'!R86+'Predicted PPIs'!R85)))</f>
        <v>#VALUE!</v>
      </c>
      <c r="AA86" s="4" t="e">
        <f>AA85*IF(E$36=".", 1, (E86/E85)^(('Summary, PPI''s'!$E86+'Summary, PPI''s'!$E85)/('Predicted PPIs'!S86+'Predicted PPIs'!S85)))*IF(F$36=".", 1, (F86/F85)^(('Summary, PPI''s'!$F86+'Summary, PPI''s'!$F85)/('Predicted PPIs'!S86+'Predicted PPIs'!S85)))*IF(G$36=".", 1, (G86/G85)^(('Summary, PPI''s'!$G86+'Summary, PPI''s'!$G85)/('Predicted PPIs'!S86+'Predicted PPIs'!S85)))*IF(H$36=".", 1, (H86/H85)^(('Summary, PPI''s'!$H86+'Summary, PPI''s'!$H85)/('Predicted PPIs'!S86+'Predicted PPIs'!S85)))*IF(I$36=".", 1, (I86/I85)^(('Summary, PPI''s'!$I86+'Summary, PPI''s'!$I85)/('Predicted PPIs'!S86+'Predicted PPIs'!S85)))*IF(J$36=".", 1, (J86/J85)^(('Summary, PPI''s'!$J86+'Summary, PPI''s'!$J85)/('Predicted PPIs'!S86+'Predicted PPIs'!S85)))*IF(K$36=".", 1, (K86/K85)^(('Summary, PPI''s'!$K86+'Summary, PPI''s'!$K85)/('Predicted PPIs'!S86+'Predicted PPIs'!S85)))*IF(L$36=".", 1, (L86/L85)^(('Summary, PPI''s'!$L86+'Summary, PPI''s'!$L85)/('Predicted PPIs'!S86+'Predicted PPIs'!S85)))*IF(M$36=".", 1, (M86/M85)^(('Summary, PPI''s'!$M86+'Summary, PPI''s'!$M85)/('Predicted PPIs'!S86+'Predicted PPIs'!S85)))*IF(B$36=".", 1, (B86/B85)^(('Summary, PPI''s'!$B86+'Summary, PPI''s'!$B85)/('Predicted PPIs'!S86+'Predicted PPIs'!S85)))*IF(C$36=".", 1, (C86/C85)^(('Summary, PPI''s'!$C86+'Summary, PPI''s'!$C85)/('Predicted PPIs'!S86+'Predicted PPIs'!S85)))*IF(D$36=".", 1, (D86/D85)^(('Summary, PPI''s'!$D86+'Summary, PPI''s'!$D85)/('Predicted PPIs'!S86+'Predicted PPIs'!S85)))*IF(N$36=".", 1, (N86/N85)^(('Summary, PPI''s'!$N86+'Summary, PPI''s'!$N85)/('Predicted PPIs'!S86+'Predicted PPIs'!S85)))*IF(O$36=".", 1, (O86/O85)^(('Summary, PPI''s'!$O86+'Summary, PPI''s'!$O85)/('Predicted PPIs'!S86+'Predicted PPIs'!S85)))*IF(P$36=".", 1, (P86/P85)^(('Summary, PPI''s'!$P86+'Summary, PPI''s'!$P85)/('Predicted PPIs'!S86+'Predicted PPIs'!S85)))</f>
        <v>#VALUE!</v>
      </c>
      <c r="AB86" s="4" t="e">
        <f>AB85*IF(E$46=".", 1, (E86/E85)^(('Summary, PPI''s'!$E86+'Summary, PPI''s'!$E85)/('Predicted PPIs'!T86+'Predicted PPIs'!T85)))*IF(F$46=".", 1, (F86/F85)^(('Summary, PPI''s'!$F86+'Summary, PPI''s'!$F85)/('Predicted PPIs'!T86+'Predicted PPIs'!T85)))*IF(G$46=".", 1, (G86/G85)^(('Summary, PPI''s'!$G86+'Summary, PPI''s'!$G85)/('Predicted PPIs'!T86+'Predicted PPIs'!T85)))*IF(H$46=".", 1, (H86/H85)^(('Summary, PPI''s'!$H86+'Summary, PPI''s'!$H85)/('Predicted PPIs'!T86+'Predicted PPIs'!T85)))*IF(I$46=".", 1, (I86/I85)^(('Summary, PPI''s'!$I86+'Summary, PPI''s'!$I85)/('Predicted PPIs'!T86+'Predicted PPIs'!T85)))*IF(J$46=".", 1, (J86/J85)^(('Summary, PPI''s'!$J86+'Summary, PPI''s'!$J85)/('Predicted PPIs'!T86+'Predicted PPIs'!T85)))*IF(K$46=".", 1, (K86/K85)^(('Summary, PPI''s'!$K86+'Summary, PPI''s'!$K85)/('Predicted PPIs'!T86+'Predicted PPIs'!T85)))*IF(L$46=".", 1, (L86/L85)^(('Summary, PPI''s'!$L86+'Summary, PPI''s'!$L85)/('Predicted PPIs'!T86+'Predicted PPIs'!T85)))*IF(M$46=".", 1, (M86/M85)^(('Summary, PPI''s'!$M86+'Summary, PPI''s'!$M85)/('Predicted PPIs'!T86+'Predicted PPIs'!T85)))*IF(B$46=".", 1, (B86/B85)^(('Summary, PPI''s'!$B86+'Summary, PPI''s'!$B85)/('Predicted PPIs'!T86+'Predicted PPIs'!T85)))*IF(C$46=".", 1, (C86/C85)^(('Summary, PPI''s'!$C86+'Summary, PPI''s'!$C85)/('Predicted PPIs'!T86+'Predicted PPIs'!T85)))*IF(D$46=".", 1, (D86/D85)^(('Summary, PPI''s'!$D86+'Summary, PPI''s'!$D85)/('Predicted PPIs'!T86+'Predicted PPIs'!T85)))*IF(N$46=".", 1, (N86/N85)^(('Summary, PPI''s'!$N86+'Summary, PPI''s'!$N85)/('Predicted PPIs'!T86+'Predicted PPIs'!T85)))*IF(O$46=".", 1, (O86/O85)^(('Summary, PPI''s'!$O86+'Summary, PPI''s'!$O85)/('Predicted PPIs'!T86+'Predicted PPIs'!T85)))*IF(P$46=".", 1, (P86/P85)^(('Summary, PPI''s'!$P86+'Summary, PPI''s'!$P85)/('Predicted PPIs'!T86+'Predicted PPIs'!T85)))</f>
        <v>#VALUE!</v>
      </c>
      <c r="AC86" s="4" t="e">
        <f>AC85*IF(E$60=".",1,(E86/E85)^(('Summary, PPI''s'!$E86+'Summary, PPI''s'!$E85)/('Predicted PPIs'!U86+'Predicted PPIs'!U85)))*IF(F$60=".",1,(F86/F85)^(('Summary, PPI''s'!$F86+'Summary, PPI''s'!$F85)/('Predicted PPIs'!U86+'Predicted PPIs'!U85)))*IF(G$60=".",1,(G86/G85)^(('Summary, PPI''s'!$G86+'Summary, PPI''s'!$G85)/('Predicted PPIs'!U86+'Predicted PPIs'!U85)))*IF(H$60=".",1,(H86/H85)^(('Summary, PPI''s'!$H86+'Summary, PPI''s'!$H85)/('Predicted PPIs'!U86+'Predicted PPIs'!U85)))*IF(I$60=".",1,(I86/I85)^(('Summary, PPI''s'!$I86+'Summary, PPI''s'!$I85)/('Predicted PPIs'!U86+'Predicted PPIs'!U85)))*IF(J$60=".",1,(J86/J85)^(('Summary, PPI''s'!$J86+'Summary, PPI''s'!$J85)/('Predicted PPIs'!U86+'Predicted PPIs'!U85)))*IF(K$60=".",1,(K86/K85)^(('Summary, PPI''s'!$K86+'Summary, PPI''s'!$K85)/('Predicted PPIs'!U86+'Predicted PPIs'!U85)))*IF(L$60=".",1,(L86/L85)^(('Summary, PPI''s'!$L86+'Summary, PPI''s'!$L85)/('Predicted PPIs'!U86+'Predicted PPIs'!U85)))*IF(M$60=".",1,(M86/M85)^(('Summary, PPI''s'!$M86+'Summary, PPI''s'!$M85)/('Predicted PPIs'!U86+'Predicted PPIs'!U85)))*IF(B$60=".",1,(B86/B85)^(('Summary, PPI''s'!$B86+'Summary, PPI''s'!$B85)/('Predicted PPIs'!U86+'Predicted PPIs'!U85)))*IF(C$60=".",1,(C86/C85)^(('Summary, PPI''s'!$C86+'Summary, PPI''s'!$C85)/('Predicted PPIs'!U86+'Predicted PPIs'!U85)))*IF(D$60=".",1,(D86/D85)^(('Summary, PPI''s'!$D86+'Summary, PPI''s'!$D85)/('Predicted PPIs'!U86+'Predicted PPIs'!U85)))*IF(N$60=".",1,(N86/N85)^(('Summary, PPI''s'!$N86+'Summary, PPI''s'!$N85)/('Predicted PPIs'!U86+'Predicted PPIs'!U85)))*IF(O$60=".",1,(O86/O85)^(('Summary, PPI''s'!$O86+'Summary, PPI''s'!$O85)/('Predicted PPIs'!U86+'Predicted PPIs'!U85)))*IF(P$60=".",1,(P86/P85)^(('Summary, PPI''s'!$P86+'Summary, PPI''s'!$P85)/('Predicted PPIs'!U86+'Predicted PPIs'!U85)))</f>
        <v>#VALUE!</v>
      </c>
      <c r="AD86" s="4" t="e">
        <f>AD85*IF(E$73=".", 1, (E86/E85)^(('Summary, PPI''s'!$E86+'Summary, PPI''s'!$E85)/('Predicted PPIs'!V86+'Predicted PPIs'!V85)))*IF(F$73=".", 1, (F86/F85)^(('Summary, PPI''s'!$F86+'Summary, PPI''s'!$F85)/('Predicted PPIs'!V86+'Predicted PPIs'!V85)))*IF(G$73=".", 1, (G86/G85)^(('Summary, PPI''s'!$G86+'Summary, PPI''s'!$G85)/('Predicted PPIs'!V86+'Predicted PPIs'!V85)))*IF(H$73=".", 1, (H86/H85)^(('Summary, PPI''s'!$H86+'Summary, PPI''s'!$H85)/('Predicted PPIs'!V86+'Predicted PPIs'!V85)))*IF(I$73=".", 1, (I86/I85)^(('Summary, PPI''s'!$I86+'Summary, PPI''s'!$I85)/('Predicted PPIs'!V86+'Predicted PPIs'!V85)))*IF(J$73=".", 1, (J86/J85)^(('Summary, PPI''s'!$J86+'Summary, PPI''s'!$J85)/('Predicted PPIs'!V86+'Predicted PPIs'!V85)))*IF(K$73=".", 1, (K86/K85)^(('Summary, PPI''s'!$K86+'Summary, PPI''s'!$K85)/('Predicted PPIs'!V86+'Predicted PPIs'!V85)))*IF(L$73=".", 1, (L86/L85)^(('Summary, PPI''s'!$L86+'Summary, PPI''s'!$L85)/('Predicted PPIs'!V86+'Predicted PPIs'!V85)))*IF(M$73=".", 1, (M86/M85)^(('Summary, PPI''s'!$M86+'Summary, PPI''s'!$M85)/('Predicted PPIs'!V86+'Predicted PPIs'!V85)))*IF(B$73=".", 1, (B86/B85)^(('Summary, PPI''s'!$B86+'Summary, PPI''s'!$B85)/('Predicted PPIs'!V86+'Predicted PPIs'!V85)))*IF(C$73=".", 1, (C86/C85)^(('Summary, PPI''s'!$C86+'Summary, PPI''s'!$C85)/('Predicted PPIs'!V86+'Predicted PPIs'!V85)))*IF(D$73=".", 1, (D86/D85)^(('Summary, PPI''s'!$D86+'Summary, PPI''s'!$D85)/('Predicted PPIs'!V86+'Predicted PPIs'!V85)))*IF(N$73=".", 1, (N86/N85)^(('Summary, PPI''s'!$N86+'Summary, PPI''s'!$N85)/('Predicted PPIs'!V86+'Predicted PPIs'!V85)))*IF(O$73=".", 1, (O86/O85)^(('Summary, PPI''s'!$O86+'Summary, PPI''s'!$O85)/('Predicted PPIs'!V86+'Predicted PPIs'!V85)))*IF(P$73=".", 1, (P86/P85)^(('Summary, PPI''s'!$P86+'Summary, PPI''s'!$P85)/('Predicted PPIs'!V86+'Predicted PPIs'!V85)))</f>
        <v>#VALUE!</v>
      </c>
      <c r="AE86" s="4">
        <f>AE85*IF(E$94=".", 1, (E86/E85)^(('Summary, PPI''s'!$E86+'Summary, PPI''s'!$E85)/('Predicted PPIs'!W86+'Predicted PPIs'!W85)))*IF(F$94=".", 1, (F86/F85)^(('Summary, PPI''s'!$F86+'Summary, PPI''s'!$F85)/('Predicted PPIs'!W86+'Predicted PPIs'!W85)))*IF(G$94=".", 1, (G86/G85)^(('Summary, PPI''s'!$G86+'Summary, PPI''s'!$G85)/('Predicted PPIs'!W86+'Predicted PPIs'!W85)))*IF(H$94=".", 1, (H86/H85)^(('Summary, PPI''s'!$H86+'Summary, PPI''s'!$H85)/('Predicted PPIs'!W86+'Predicted PPIs'!W85)))*IF(I$94=".", 1, (I86/I85)^(('Summary, PPI''s'!$I86+'Summary, PPI''s'!$I85)/('Predicted PPIs'!W86+'Predicted PPIs'!W85)))*IF(J$94=".", 1, (J86/J85)^(('Summary, PPI''s'!$J86+'Summary, PPI''s'!$J85)/('Predicted PPIs'!W86+'Predicted PPIs'!W85)))*IF(K$94=".", 1, (K86/K85)^(('Summary, PPI''s'!$K86+'Summary, PPI''s'!$K85)/('Predicted PPIs'!W86+'Predicted PPIs'!W85)))*IF(L$94=".", 1, (L86/L85)^(('Summary, PPI''s'!$L86+'Summary, PPI''s'!$L85)/('Predicted PPIs'!W86+'Predicted PPIs'!W85)))*IF(M$94=".", 1, (M86/M85)^(('Summary, PPI''s'!$M86+'Summary, PPI''s'!$M85)/('Predicted PPIs'!W86+'Predicted PPIs'!W85)))*IF(B$94=".", 1, (B86/B85)^(('Summary, PPI''s'!$B86+'Summary, PPI''s'!$B85)/('Predicted PPIs'!W86+'Predicted PPIs'!W85)))*IF(C$94=".", 1, (C86/C85)^(('Summary, PPI''s'!$C86+'Summary, PPI''s'!$C85)/('Predicted PPIs'!W86+'Predicted PPIs'!W85)))*IF(D$94=".", 1, (D86/D85)^(('Summary, PPI''s'!$D86+'Summary, PPI''s'!$D85)/('Predicted PPIs'!W86+'Predicted PPIs'!W85)))*IF(N$94=".", 1, (N86/N85)^(('Summary, PPI''s'!$N86+'Summary, PPI''s'!$N85)/('Predicted PPIs'!W86+'Predicted PPIs'!W85)))*IF(O$94=".", 1, (O86/O85)^(('Summary, PPI''s'!$O86+'Summary, PPI''s'!$O85)/('Predicted PPIs'!W86+'Predicted PPIs'!W85)))*IF(P$94=".", 1, (P86/P85)^(('Summary, PPI''s'!$P86+'Summary, PPI''s'!$P85)/('Predicted PPIs'!W86+'Predicted PPIs'!W85)))</f>
        <v>3.4258490935311365</v>
      </c>
      <c r="AF86" s="4">
        <f>AF85*IF(E$123=".", 1, (E86/E85)^(('Summary, PPI''s'!$E86+'Summary, PPI''s'!$E85)/('Predicted PPIs'!X86+'Predicted PPIs'!X85)))*IF(F$123=".", 1, (F86/F85)^(('Summary, PPI''s'!$F86+'Summary, PPI''s'!$F85)/('Predicted PPIs'!X86+'Predicted PPIs'!X85)))*IF(G$123=".", 1, (G86/G85)^(('Summary, PPI''s'!$G86+'Summary, PPI''s'!$G85)/('Predicted PPIs'!X86+'Predicted PPIs'!X85)))*IF(H$123=".", 1, (H86/H85)^(('Summary, PPI''s'!$H86+'Summary, PPI''s'!$H85)/('Predicted PPIs'!X86+'Predicted PPIs'!X85)))*IF(I$123=".", 1, (I86/I85)^(('Summary, PPI''s'!$I86+'Summary, PPI''s'!$I85)/('Predicted PPIs'!X86+'Predicted PPIs'!X85)))*IF(J$123=".", 1, (J86/J85)^(('Summary, PPI''s'!$J86+'Summary, PPI''s'!$J85)/('Predicted PPIs'!X86+'Predicted PPIs'!X85)))*IF(K$123=".", 1, (K86/K85)^(('Summary, PPI''s'!$K86+'Summary, PPI''s'!$K85)/('Predicted PPIs'!X86+'Predicted PPIs'!X85)))*IF(L$123=".", 1, (L86/L85)^(('Summary, PPI''s'!$L86+'Summary, PPI''s'!$L85)/('Predicted PPIs'!X86+'Predicted PPIs'!X85)))*IF(M$123=".", 1, (M86/M85)^(('Summary, PPI''s'!$M86+'Summary, PPI''s'!$M85)/('Predicted PPIs'!X86+'Predicted PPIs'!X85)))*IF(B$123=".", 1, (B86/B85)^(('Summary, PPI''s'!$B86+'Summary, PPI''s'!$B85)/('Predicted PPIs'!X86+'Predicted PPIs'!X85)))*IF(C$123=".", 1, (C86/C85)^(('Summary, PPI''s'!$C86+'Summary, PPI''s'!$C85)/('Predicted PPIs'!X86+'Predicted PPIs'!X85)))*IF(D$123=".", 1, (D86/D85)^(('Summary, PPI''s'!$D86+'Summary, PPI''s'!$D85)/('Predicted PPIs'!X86+'Predicted PPIs'!X85)))*IF(N$123=".", 1, (N86/N85)^(('Summary, PPI''s'!$N86+'Summary, PPI''s'!$N85)/('Predicted PPIs'!X86+'Predicted PPIs'!X85)))*IF(O$123=".", 1, (O86/O85)^(('Summary, PPI''s'!$O86+'Summary, PPI''s'!$O85)/('Predicted PPIs'!X86+'Predicted PPIs'!X85)))*IF(P$123=".", 1, (P86/P85)^(('Summary, PPI''s'!$P86+'Summary, PPI''s'!$P85)/('Predicted PPIs'!X86+'Predicted PPIs'!X85)))</f>
        <v>3.1468688520276262</v>
      </c>
      <c r="AH86" s="13">
        <f t="shared" si="152"/>
        <v>4.6849570059127599</v>
      </c>
      <c r="AJ86" s="4">
        <v>66.8</v>
      </c>
      <c r="AK86" s="4">
        <v>-1.4339999999999999</v>
      </c>
      <c r="AL86" s="4">
        <v>-3.95</v>
      </c>
      <c r="AM86" s="4">
        <v>-0.73299999999999998</v>
      </c>
      <c r="AN86" s="4">
        <f t="shared" si="176"/>
        <v>89.080420012353301</v>
      </c>
      <c r="AO86" s="4">
        <v>10.6</v>
      </c>
      <c r="AP86" s="4">
        <f t="shared" si="177"/>
        <v>-0.98064171122994659</v>
      </c>
      <c r="AQ86" s="4">
        <f t="shared" si="178"/>
        <v>-1.8538663101604276</v>
      </c>
      <c r="AR86" s="4">
        <f t="shared" si="148"/>
        <v>-9.3416801665628833E-5</v>
      </c>
      <c r="AS86" s="4">
        <v>-0.44400000000000001</v>
      </c>
      <c r="AT86" s="4">
        <v>7.5750000000000002</v>
      </c>
      <c r="AU86" s="4">
        <v>12.391</v>
      </c>
      <c r="AV86" s="4">
        <v>8.49</v>
      </c>
      <c r="AW86" s="4">
        <v>5.4779999999999998</v>
      </c>
      <c r="AX86" s="4">
        <f t="shared" si="179"/>
        <v>7.2154118635926974</v>
      </c>
      <c r="AY86" s="4">
        <v>9.2219999999999995</v>
      </c>
      <c r="AZ86" s="4">
        <v>3.2189999999999999</v>
      </c>
      <c r="BA86" s="4">
        <v>7.8360000000000003</v>
      </c>
      <c r="BB86" s="4">
        <f t="shared" si="150"/>
        <v>44.819988417728162</v>
      </c>
      <c r="BC86" s="4">
        <v>7.72</v>
      </c>
      <c r="BG86" s="4">
        <f t="shared" si="172"/>
        <v>8.851171860801422</v>
      </c>
      <c r="BI86" s="4">
        <f>BI$13*'[2]Ordinary Experience'!$D$340/'[2]Ordinary Experience'!$D$413</f>
        <v>129386057.46906996</v>
      </c>
      <c r="BJ86" s="4">
        <f>'[2]Ordinary Experience'!$E$340</f>
        <v>26.245944443498061</v>
      </c>
      <c r="BL86" s="4">
        <f t="shared" si="151"/>
        <v>23.402546454061007</v>
      </c>
      <c r="BM86" s="4">
        <f t="shared" si="153"/>
        <v>2.8657131257000756E-2</v>
      </c>
      <c r="BO86" s="4" t="str">
        <f>IF(OR('Summary, hourly ad costs'!R86=-9999,'Summary, PPI''s'!R86="."),".",(('Summary, hourly ad costs'!B86/'Summary, hourly ad costs'!R86)*100/('Summary, hourly ad costs'!B$11/'Summary, hourly ad costs'!R$11))/('Summary, PPI''s'!R86))</f>
        <v>.</v>
      </c>
      <c r="BP86" s="4" t="str">
        <f>IF(OR('Summary, hourly ad costs'!S86=-9999,'Summary, PPI''s'!S86="."),".",(('Summary, hourly ad costs'!C86/'Summary, hourly ad costs'!S86)*100/('Summary, hourly ad costs'!C$11/'Summary, hourly ad costs'!S$11))/('Summary, PPI''s'!S86))</f>
        <v>.</v>
      </c>
      <c r="BQ86" s="4" t="str">
        <f>IF(OR('Summary, hourly ad costs'!T86=-9999,'Summary, PPI''s'!T86="."),".",(('Summary, hourly ad costs'!D86/'Summary, hourly ad costs'!T86)*100/('Summary, hourly ad costs'!D$11/'Summary, hourly ad costs'!T$11))/('Summary, PPI''s'!T86))</f>
        <v>.</v>
      </c>
      <c r="BR86" s="4" t="str">
        <f>IF(OR('Summary, hourly ad costs'!U86=-9999,'Summary, PPI''s'!U86="."),".",(('Summary, hourly ad costs'!E86/'Summary, hourly ad costs'!U86)*100/('Summary, hourly ad costs'!E$11/'Summary, hourly ad costs'!U$11))/('Summary, PPI''s'!U86))</f>
        <v>.</v>
      </c>
      <c r="BS86" s="4" t="str">
        <f>IF(OR('Summary, hourly ad costs'!V86=-9999,'Summary, PPI''s'!V86="."),".",(('Summary, hourly ad costs'!F86/'Summary, hourly ad costs'!V86)*100/('Summary, hourly ad costs'!F$11/'Summary, hourly ad costs'!V$11))/('Summary, PPI''s'!V86))</f>
        <v>.</v>
      </c>
      <c r="BT86" s="4" t="str">
        <f>IF(OR('Summary, hourly ad costs'!W86=-9999,'Summary, PPI''s'!W86="."),".",(('Summary, hourly ad costs'!G86/'Summary, hourly ad costs'!W86)*100/('Summary, hourly ad costs'!G$11/'Summary, hourly ad costs'!W$11))/('Summary, PPI''s'!W86))</f>
        <v>.</v>
      </c>
      <c r="BU86" s="4" t="str">
        <f>IF(OR('Summary, hourly ad costs'!X86=-9999,'Summary, PPI''s'!X86="."),".",(('Summary, hourly ad costs'!H86/'Summary, hourly ad costs'!X86)*100/('Summary, hourly ad costs'!H$11/'Summary, hourly ad costs'!X$11))/('Summary, PPI''s'!X86))</f>
        <v>.</v>
      </c>
      <c r="BV86" s="4" t="str">
        <f>IF(OR('Summary, hourly ad costs'!Y86=-9999,'Summary, PPI''s'!Y86="."),".",(('Summary, hourly ad costs'!I86/'Summary, hourly ad costs'!Y86)*100/('Summary, hourly ad costs'!I$11/'Summary, hourly ad costs'!Y$11))/('Summary, PPI''s'!Y86))</f>
        <v>.</v>
      </c>
      <c r="BW86" s="4" t="str">
        <f>IF(OR('Summary, hourly ad costs'!Z86=-9999,'Summary, PPI''s'!Z86="."),".",(('Summary, hourly ad costs'!J86/'Summary, hourly ad costs'!Z86)*100/('Summary, hourly ad costs'!J$11/'Summary, hourly ad costs'!Z$11))/('Summary, PPI''s'!Z86))</f>
        <v>.</v>
      </c>
      <c r="BX86" s="4" t="str">
        <f>IF(OR('Summary, hourly ad costs'!AA86=-9999,'Summary, PPI''s'!AA86="."),".",(('Summary, hourly ad costs'!K86/'Summary, hourly ad costs'!AA86)*100/('Summary, hourly ad costs'!K$11/'Summary, hourly ad costs'!AA$11))/('Summary, PPI''s'!AA86))</f>
        <v>.</v>
      </c>
      <c r="BY86" s="4" t="str">
        <f>IF(OR('Summary, hourly ad costs'!AB86=-9999,'Summary, PPI''s'!AB86="."),".",(('Summary, hourly ad costs'!L86/'Summary, hourly ad costs'!AB86)*100/('Summary, hourly ad costs'!L$11/'Summary, hourly ad costs'!AB$11))/('Summary, PPI''s'!AB86))</f>
        <v>.</v>
      </c>
      <c r="BZ86" s="4" t="str">
        <f>IF(OR('Summary, hourly ad costs'!AC86=-9999,'Summary, PPI''s'!AC86="."),".",(('Summary, hourly ad costs'!M86/'Summary, hourly ad costs'!AC86)*100/('Summary, hourly ad costs'!M$11/'Summary, hourly ad costs'!AC$11))/('Summary, PPI''s'!AC86))</f>
        <v>.</v>
      </c>
      <c r="CA86" s="4" t="str">
        <f>IF(OR('Summary, hourly ad costs'!AD86=-9999,'Summary, PPI''s'!AD86="."),".",(('Summary, hourly ad costs'!N86/'Summary, hourly ad costs'!AD86)*100/('Summary, hourly ad costs'!N$11/'Summary, hourly ad costs'!AD$11))/('Summary, PPI''s'!AD86))</f>
        <v>.</v>
      </c>
      <c r="CB86" s="4" t="str">
        <f>IF(OR('Summary, hourly ad costs'!AE86=-9999,'Summary, PPI''s'!AE86="."),".",(('Summary, hourly ad costs'!O86/'Summary, hourly ad costs'!AE86)*100/('Summary, hourly ad costs'!O$11/'Summary, hourly ad costs'!AE$11))/('Summary, PPI''s'!AE86))</f>
        <v>.</v>
      </c>
      <c r="CC86" s="4" t="str">
        <f>IF(OR('Summary, hourly ad costs'!AF86=-9999,'Summary, PPI''s'!AF86="."),".",(('Summary, hourly ad costs'!P86/'Summary, hourly ad costs'!AF86)*100/('Summary, hourly ad costs'!P$11/'Summary, hourly ad costs'!AF$11))/('Summary, PPI''s'!AF86))</f>
        <v>.</v>
      </c>
      <c r="CE86" s="4">
        <f t="shared" si="134"/>
        <v>-4.8077553353439093E-3</v>
      </c>
      <c r="CF86" s="4" t="str">
        <f t="shared" si="135"/>
        <v>.</v>
      </c>
      <c r="CG86" s="4" t="str">
        <f t="shared" si="136"/>
        <v>.</v>
      </c>
      <c r="CH86" s="4">
        <f t="shared" si="145"/>
        <v>1.5811432760053951E-2</v>
      </c>
      <c r="CI86" s="4">
        <f t="shared" si="145"/>
        <v>1.9661552971405431E-2</v>
      </c>
      <c r="CJ86" s="4" t="str">
        <f t="shared" si="147"/>
        <v>.</v>
      </c>
      <c r="CK86" s="4">
        <f t="shared" si="149"/>
        <v>2.915599447769231E-3</v>
      </c>
      <c r="CL86" s="4">
        <f t="shared" si="130"/>
        <v>1.3464390508921675E-2</v>
      </c>
      <c r="CM86" s="4">
        <f t="shared" si="130"/>
        <v>2.1764697749813051E-2</v>
      </c>
      <c r="CN86" s="4">
        <f t="shared" si="89"/>
        <v>-8.1243267413357023E-4</v>
      </c>
      <c r="CO86" s="4">
        <f t="shared" si="180"/>
        <v>0.18243014876302499</v>
      </c>
      <c r="CP86" s="4">
        <f t="shared" si="180"/>
        <v>0.11500689423199845</v>
      </c>
      <c r="CQ86" s="4" t="str">
        <f t="shared" si="173"/>
        <v>.</v>
      </c>
      <c r="CR86" s="4" t="str">
        <f t="shared" si="174"/>
        <v>.</v>
      </c>
      <c r="CS86" s="4" t="str">
        <f t="shared" si="175"/>
        <v>.</v>
      </c>
      <c r="CU86" s="5">
        <f>IF(CU85=".", ".", IF('Summary, PPI''s'!R86=".",IF(OR('Summary, hourly ad costs'!R86=-9999,'Summary, hourly ad costs'!R86=0), ".", 'Predicted PPIs'!CU85*('Summary, hourly ad costs'!B86/'Summary, hourly ad costs'!R86)/('Summary, hourly ad costs'!B85/'Summary, hourly ad costs'!R85)/(1-CE85)), 'Summary, PPI''s'!R86))</f>
        <v>21.525350470179138</v>
      </c>
      <c r="CV86" s="5" t="str">
        <f>IF(CV85=".", ".", IF('Summary, PPI''s'!S86=".",IF(OR('Summary, hourly ad costs'!S86=-9999,'Summary, hourly ad costs'!S86=0), ".", 'Predicted PPIs'!CV85*('Summary, hourly ad costs'!C86/'Summary, hourly ad costs'!S86)/('Summary, hourly ad costs'!C85/'Summary, hourly ad costs'!S85)/(1-CF85)), 'Summary, PPI''s'!S86))</f>
        <v>.</v>
      </c>
      <c r="CW86" s="5" t="str">
        <f>IF(CW85=".", ".", IF('Summary, PPI''s'!T86=".",IF(OR('Summary, hourly ad costs'!T86=-9999,'Summary, hourly ad costs'!T86=0), ".", 'Predicted PPIs'!CW85*('Summary, hourly ad costs'!D86/'Summary, hourly ad costs'!T86)/('Summary, hourly ad costs'!D85/'Summary, hourly ad costs'!T85)/(1-CG85)), 'Summary, PPI''s'!T86))</f>
        <v>.</v>
      </c>
      <c r="CX86" s="5">
        <f>IF(CX85=".", ".", IF('Summary, PPI''s'!U86=".",IF(OR('Summary, hourly ad costs'!U86=-9999,'Summary, hourly ad costs'!U86=0), ".", 'Predicted PPIs'!CX85*('Summary, hourly ad costs'!E86/'Summary, hourly ad costs'!U86)/('Summary, hourly ad costs'!E85/'Summary, hourly ad costs'!U85)/(1-CH85)), 'Summary, PPI''s'!U86))</f>
        <v>2.611833971245153</v>
      </c>
      <c r="CY86" s="5">
        <f>IF(CY85=".", ".", IF('Summary, PPI''s'!V86=".",IF(OR('Summary, hourly ad costs'!V86=-9999,'Summary, hourly ad costs'!V86=0), ".", 'Predicted PPIs'!CY85*('Summary, hourly ad costs'!F86/'Summary, hourly ad costs'!V86)/('Summary, hourly ad costs'!F85/'Summary, hourly ad costs'!V85)/(1-CI85)), 'Summary, PPI''s'!V86))</f>
        <v>5.1709631840090866</v>
      </c>
      <c r="CZ86" s="5" t="str">
        <f>IF(CZ85=".", ".", IF('Summary, PPI''s'!W86=".",IF(OR('Summary, hourly ad costs'!W86=-9999,'Summary, hourly ad costs'!W86=0), ".", 'Predicted PPIs'!CZ85*('Summary, hourly ad costs'!G86/'Summary, hourly ad costs'!W86)/('Summary, hourly ad costs'!G85/'Summary, hourly ad costs'!W85)/(1-CJ85)), 'Summary, PPI''s'!W86))</f>
        <v>.</v>
      </c>
      <c r="DA86" s="5">
        <f>IF(DA85=".", ".", IF('Summary, PPI''s'!X86=".",IF(OR('Summary, hourly ad costs'!X86=-9999,'Summary, hourly ad costs'!X86=0), ".", 'Predicted PPIs'!DA85*('Summary, hourly ad costs'!H86/'Summary, hourly ad costs'!X86)/('Summary, hourly ad costs'!H85/'Summary, hourly ad costs'!X85)/(1-CK85)), 'Summary, PPI''s'!X86))</f>
        <v>2.5821452643170875</v>
      </c>
      <c r="DB86" s="5">
        <f>IF(DB85=".", ".", IF('Summary, PPI''s'!Y86=".",IF(OR('Summary, hourly ad costs'!Y86=-9999,'Summary, hourly ad costs'!Y86=0), ".", 'Predicted PPIs'!DB85*('Summary, hourly ad costs'!I86/'Summary, hourly ad costs'!Y86)/('Summary, hourly ad costs'!I85/'Summary, hourly ad costs'!Y85)/(1-CL85)), 'Summary, PPI''s'!Y86))</f>
        <v>6.3340700473412799</v>
      </c>
      <c r="DC86" s="5" t="str">
        <f>IF(DC85=".", ".", IF('Summary, PPI''s'!Z86=".",IF(OR('Summary, hourly ad costs'!Z86=-9999,'Summary, hourly ad costs'!Z86=0), ".", 'Predicted PPIs'!DC85*('Summary, hourly ad costs'!J86/'Summary, hourly ad costs'!Z86)/('Summary, hourly ad costs'!J85/'Summary, hourly ad costs'!Z85)/(1-CM85)), 'Summary, PPI''s'!Z86))</f>
        <v>.</v>
      </c>
      <c r="DD86" s="5" t="str">
        <f>IF(DD85=".", ".", IF('Summary, PPI''s'!AA86=".",IF(OR('Summary, hourly ad costs'!AA86=-9999,'Summary, hourly ad costs'!AA86=0), ".", 'Predicted PPIs'!DD85*('Summary, hourly ad costs'!K86/'Summary, hourly ad costs'!AA86)/('Summary, hourly ad costs'!K85/'Summary, hourly ad costs'!AA85)/(1-CN85)), 'Summary, PPI''s'!AA86))</f>
        <v>.</v>
      </c>
      <c r="DE86" s="5" t="str">
        <f>IF(DE85=".", ".", IF('Summary, PPI''s'!AB86=".",IF(OR('Summary, hourly ad costs'!AB86=-9999,'Summary, hourly ad costs'!AB86=0), ".", 'Predicted PPIs'!DE85*('Summary, hourly ad costs'!L86/'Summary, hourly ad costs'!AB86)/('Summary, hourly ad costs'!L85/'Summary, hourly ad costs'!AB85)/(1-CO85)), 'Summary, PPI''s'!AB86))</f>
        <v>.</v>
      </c>
      <c r="DF86" s="5" t="str">
        <f>IF(DF85=".", ".", IF('Summary, PPI''s'!AC86=".",IF(OR('Summary, hourly ad costs'!AC86=-9999,'Summary, hourly ad costs'!AC86=0), ".", 'Predicted PPIs'!DF85*('Summary, hourly ad costs'!M86/'Summary, hourly ad costs'!AC86)/('Summary, hourly ad costs'!M85/'Summary, hourly ad costs'!AC85)/(1-CP85)), 'Summary, PPI''s'!AC86))</f>
        <v>.</v>
      </c>
      <c r="DG86" s="5" t="str">
        <f>IF(DG85=".", ".", IF('Summary, PPI''s'!AD86=".",IF(OR('Summary, hourly ad costs'!AD86=-9999,'Summary, hourly ad costs'!AD86=0), ".", 'Predicted PPIs'!DG85*('Summary, hourly ad costs'!N86/'Summary, hourly ad costs'!AD86)/('Summary, hourly ad costs'!N85/'Summary, hourly ad costs'!AD85)/(1-CQ85)), 'Summary, PPI''s'!AD86))</f>
        <v>.</v>
      </c>
      <c r="DH86" s="5" t="str">
        <f>IF(DH85=".", ".", IF('Summary, PPI''s'!AE86=".",IF(OR('Summary, hourly ad costs'!AE86=-9999,'Summary, hourly ad costs'!AE86=0), ".", 'Predicted PPIs'!DH85*('Summary, hourly ad costs'!O86/'Summary, hourly ad costs'!AE86)/('Summary, hourly ad costs'!O85/'Summary, hourly ad costs'!AE85)/(1-CR85)), 'Summary, PPI''s'!AE86))</f>
        <v>.</v>
      </c>
      <c r="DI86" s="5" t="str">
        <f>IF(DI85=".", ".", IF('Summary, PPI''s'!AF86=".",IF(OR('Summary, hourly ad costs'!AF86=-9999,'Summary, hourly ad costs'!AF86=0), ".", 'Predicted PPIs'!DI85*('Summary, hourly ad costs'!P86/'Summary, hourly ad costs'!AF86)/('Summary, hourly ad costs'!P85/'Summary, hourly ad costs'!AF85)/(1-CS85)), 'Summary, PPI''s'!AF86))</f>
        <v>.</v>
      </c>
      <c r="DK86" s="4">
        <v>2.2879999999999998</v>
      </c>
      <c r="DM86" s="5">
        <f t="shared" si="138"/>
        <v>-9.9794326212245599E-2</v>
      </c>
      <c r="DN86" s="4">
        <f t="shared" si="139"/>
        <v>-2.5197849883835451E-2</v>
      </c>
      <c r="DO86" s="4">
        <f t="shared" si="181"/>
        <v>-2.264673749687518E-2</v>
      </c>
      <c r="DP86" s="5">
        <f t="shared" si="140"/>
        <v>-4.3446377069410347E-2</v>
      </c>
      <c r="DQ86" s="5">
        <f t="shared" si="141"/>
        <v>-2.593528165372283E-3</v>
      </c>
      <c r="DR86" s="4">
        <f t="shared" si="146"/>
        <v>-7.321961220157572E-3</v>
      </c>
      <c r="DS86" s="5">
        <f t="shared" si="169"/>
        <v>2.3740564615356341E-2</v>
      </c>
      <c r="DT86" s="5">
        <f t="shared" si="170"/>
        <v>0.10357308492028516</v>
      </c>
      <c r="DU86" s="4">
        <f t="shared" si="171"/>
        <v>-1.9673092710256208E-2</v>
      </c>
      <c r="DV86" s="4">
        <f t="shared" si="131"/>
        <v>-2.1716927557312142E-4</v>
      </c>
      <c r="DW86" s="4">
        <f t="shared" si="133"/>
        <v>-0.10115261879199469</v>
      </c>
      <c r="DX86" s="4">
        <f t="shared" si="133"/>
        <v>1.1785513016104754E-2</v>
      </c>
      <c r="DY86" s="4">
        <f t="shared" si="108"/>
        <v>-1.6491206224361274E-2</v>
      </c>
      <c r="DZ86" s="4">
        <f t="shared" si="132"/>
        <v>-9.7821738094273879E-3</v>
      </c>
      <c r="EA86" s="4">
        <f t="shared" si="109"/>
        <v>-9.6901583428221569E-3</v>
      </c>
      <c r="EC86" s="1">
        <f t="shared" si="154"/>
        <v>21.525350470179138</v>
      </c>
      <c r="ED86" s="1">
        <f t="shared" si="155"/>
        <v>3.9107009123053378</v>
      </c>
      <c r="EE86" s="1">
        <f t="shared" si="156"/>
        <v>2.2675385387054692</v>
      </c>
      <c r="EF86" s="1">
        <f t="shared" si="157"/>
        <v>2.611833971245153</v>
      </c>
      <c r="EG86" s="1">
        <f t="shared" si="158"/>
        <v>5.1709631840090866</v>
      </c>
      <c r="EH86" s="1">
        <f t="shared" si="159"/>
        <v>2.4655311602755581</v>
      </c>
      <c r="EI86" s="1">
        <f t="shared" si="160"/>
        <v>2.5821452643170875</v>
      </c>
      <c r="EJ86" s="1">
        <f t="shared" si="161"/>
        <v>6.3340700473412799</v>
      </c>
      <c r="EK86" s="1">
        <f t="shared" si="162"/>
        <v>8.699247512760012</v>
      </c>
      <c r="EL86" s="1">
        <f t="shared" si="163"/>
        <v>1.8642745873639996</v>
      </c>
      <c r="EM86" s="1">
        <f t="shared" si="164"/>
        <v>0.14293800326618483</v>
      </c>
      <c r="EN86" s="1">
        <f t="shared" si="165"/>
        <v>3.4328392367591807</v>
      </c>
      <c r="EO86" s="1">
        <f t="shared" si="166"/>
        <v>1.5643915964224213</v>
      </c>
      <c r="EP86" s="1">
        <f t="shared" si="167"/>
        <v>2.4501854823955558</v>
      </c>
      <c r="EQ86" s="1">
        <f t="shared" si="168"/>
        <v>1.8952759727715578</v>
      </c>
      <c r="ES86" s="1">
        <f>IF(EF$26=".", 0, 'Summary, PPI''s'!E86)+IF(EG$26=".", 0, 'Summary, PPI''s'!F86)+IF(EH$26=".", 0, 'Summary, PPI''s'!G86)+IF(EI$26=".", 0, 'Summary, PPI''s'!H86)+IF(EJ$26=".", 0, 'Summary, PPI''s'!I86)+IF(EK$26=".", 0, 'Summary, PPI''s'!J86)+IF(EL$26=".", 0, 'Summary, PPI''s'!K86)+IF(EM$26=".", 0, 'Summary, PPI''s'!L86)+IF(EN$26=".", 0, 'Summary, PPI''s'!M86)+IF(EC$26=".", 0, 'Summary, PPI''s'!B86)+IF(ED$26=".", 0, 'Summary, PPI''s'!C86)+IF(EE$26=".", 0, 'Summary, PPI''s'!D86)+IF(EO$26=".", 0, 'Summary, PPI''s'!N86)+IF(EP$26=".", 0, 'Summary, PPI''s'!O86)+IF(EQ$26=".", 0, 'Summary, PPI''s'!P86)</f>
        <v>2019570.9926751135</v>
      </c>
      <c r="ET86" s="1">
        <f>'Summary, hourly ad costs'!E86+'Summary, hourly ad costs'!F86+'Summary, hourly ad costs'!H86+'Summary, hourly ad costs'!I86+'Summary, hourly ad costs'!J86+'Summary, hourly ad costs'!K86+'Summary, hourly ad costs'!L86+'Summary, hourly ad costs'!M86+'Summary, hourly ad costs'!B86</f>
        <v>1335184.9769428368</v>
      </c>
      <c r="EV86" s="13">
        <f>EV85*IF(EF$26=".", 1, (EF86/EF85)^(('Summary, PPI''s'!$E86+'Summary, PPI''s'!$E85)/('Predicted PPIs'!ES86+'Predicted PPIs'!ES85)))*IF(EG$26=".", 1, (EG86/EG85)^(('Summary, PPI''s'!$F86+'Summary, PPI''s'!$F85)/('Predicted PPIs'!ES86+'Predicted PPIs'!ES85)))*IF(EH$26=".", 1, (EH86/EH85)^(('Summary, PPI''s'!$G86+'Summary, PPI''s'!$G85)/('Predicted PPIs'!ES86+'Predicted PPIs'!ES85)))*IF(EI$26=".", 1, (EI86/EI85)^(('Summary, PPI''s'!$H86+'Summary, PPI''s'!$H85)/('Predicted PPIs'!ES86+'Predicted PPIs'!ES85)))*IF(EJ$26=".", 1, (EJ86/EJ85)^(('Summary, PPI''s'!$I86+'Summary, PPI''s'!$I85)/('Predicted PPIs'!ES86+'Predicted PPIs'!ES85)))*IF(EK$26=".", 1, (EK86/EK85)^(('Summary, PPI''s'!$J86+'Summary, PPI''s'!$J85)/('Predicted PPIs'!ES86+'Predicted PPIs'!ES85)))*IF(EL$26=".", 1, (EL86/EL85)^(('Summary, PPI''s'!$K86+'Summary, PPI''s'!$K85)/('Predicted PPIs'!ES86+'Predicted PPIs'!ES85)))*IF(EM$26=".", 1, (EM86/EM85)^(('Summary, PPI''s'!$L86+'Summary, PPI''s'!$L85)/('Predicted PPIs'!ES86+'Predicted PPIs'!ES85)))*IF(EN$26=".", 1, (EN86/EN85)^(('Summary, PPI''s'!$M86+'Summary, PPI''s'!$M85)/('Predicted PPIs'!ES86+'Predicted PPIs'!ES85)))*IF(EC$26=".", 1, (EC86/EC85)^(('Summary, PPI''s'!$B86+'Summary, PPI''s'!$B85)/('Predicted PPIs'!ES86+'Predicted PPIs'!ES85)))*IF(ED$26=".", 1, (ED86/ED85)^(('Summary, PPI''s'!$C86+'Summary, PPI''s'!$C85)/('Predicted PPIs'!ES86+'Predicted PPIs'!ES85)))*IF(EE$26=".", 1, (EE86/EE85)^(('Summary, PPI''s'!$D86+'Summary, PPI''s'!$D85)/('Predicted PPIs'!ES86+'Predicted PPIs'!ES85)))*IF(EO$26=".", 1, (EO86/EO85)^(('Summary, PPI''s'!$N86+'Summary, PPI''s'!$N85)/('Predicted PPIs'!ES86+'Predicted PPIs'!ES85)))*IF(EP$26=".", 1, (EP86/EP85)^(('Summary, PPI''s'!$O86+'Summary, PPI''s'!$O85)/('Predicted PPIs'!ES86+'Predicted PPIs'!ES85)))*IF(EQ$26=".", 1, (EQ86/EQ85)^(('Summary, PPI''s'!$P86+'Summary, PPI''s'!$P85)/('Predicted PPIs'!ES86+'Predicted PPIs'!ES85)))</f>
        <v>4.1260098507511032</v>
      </c>
      <c r="EW86" s="13">
        <f>EW85*IF(EF$26=".", 1, (EF86/EF85)^(('Summary, PPI''s'!$E86+'Summary, PPI''s'!$E85)/('Predicted PPIs'!ET86+'Predicted PPIs'!ET85)))*IF(EG$26=".", 1, (EG86/EG85)^(('Summary, PPI''s'!$F86+'Summary, PPI''s'!$F85)/('Predicted PPIs'!ET86+'Predicted PPIs'!ET85)))*IF(EH$26=".", 1, (EH86/EH85)^(('Summary, PPI''s'!$G86+'Summary, PPI''s'!$G85)/('Predicted PPIs'!ET86+'Predicted PPIs'!ET85)))*IF(EK$26=".", 1, (EK86/EK85)^(('Summary, PPI''s'!$J86+'Summary, PPI''s'!$J85)/('Predicted PPIs'!ET86+'Predicted PPIs'!ET85)))*IF(EL$26=".", 1, (EL86/EL85)^(('Summary, PPI''s'!$K86+'Summary, PPI''s'!$K85)/('Predicted PPIs'!ET86+'Predicted PPIs'!ET85)))*IF(EM$26=".", 1, (EM86/EM85)^(('Summary, PPI''s'!$L86+'Summary, PPI''s'!$L85)/('Predicted PPIs'!ET86+'Predicted PPIs'!ET85)))*IF(EN$26=".", 1, (EN86/EN85)^(('Summary, PPI''s'!$M86+'Summary, PPI''s'!$M85)/('Predicted PPIs'!ET86+'Predicted PPIs'!ET85)))*IF(EC$26=".", 1, (EC86/EC85)^(('Summary, PPI''s'!$B86+'Summary, PPI''s'!$B85)/('Predicted PPIs'!ET86+'Predicted PPIs'!ET85)))</f>
        <v>7.1964722251116706</v>
      </c>
      <c r="EY86" s="2"/>
    </row>
    <row r="87" spans="1:155" x14ac:dyDescent="0.3">
      <c r="A87" s="4">
        <v>1936</v>
      </c>
      <c r="B87" s="10">
        <f>IF(B86=".", ".", IF('Summary, PPI''s'!R87=".",IF(OR('Summary, hourly ad costs'!R87=-9999,'Summary, hourly ad costs'!R87=0), ".", 'Predicted PPIs'!B86*('Summary, hourly ad costs'!B87/'Summary, hourly ad costs'!R87)/('Summary, hourly ad costs'!B86/'Summary, hourly ad costs'!R86)), 'Summary, PPI''s'!R87))</f>
        <v>28.417531195582804</v>
      </c>
      <c r="C87" s="10" t="str">
        <f>IF(C86=".", ".", IF('Summary, PPI''s'!S87=".",IF(OR('Summary, hourly ad costs'!S87=-9999,'Summary, hourly ad costs'!S87=0), ".", 'Predicted PPIs'!C86*('Summary, hourly ad costs'!C87/'Summary, hourly ad costs'!S87)/('Summary, hourly ad costs'!C86/'Summary, hourly ad costs'!S86)), 'Summary, PPI''s'!S87))</f>
        <v>.</v>
      </c>
      <c r="D87" s="10" t="str">
        <f>IF(D86=".", ".", IF('Summary, PPI''s'!T87=".",IF(OR('Summary, hourly ad costs'!T87=-9999,'Summary, hourly ad costs'!T87=0), ".", 'Predicted PPIs'!D86*('Summary, hourly ad costs'!D87/'Summary, hourly ad costs'!T87)/('Summary, hourly ad costs'!D86/'Summary, hourly ad costs'!T86)), 'Summary, PPI''s'!T87))</f>
        <v>.</v>
      </c>
      <c r="E87" s="10">
        <f>IF(E86=".", ".", IF('Summary, PPI''s'!U87=".",IF(OR('Summary, hourly ad costs'!U87=-9999,'Summary, hourly ad costs'!U87=0), ".", 'Predicted PPIs'!E86*('Summary, hourly ad costs'!E87/'Summary, hourly ad costs'!U87)/('Summary, hourly ad costs'!E86/'Summary, hourly ad costs'!U86)), 'Summary, PPI''s'!U87))</f>
        <v>1.8941058723528132</v>
      </c>
      <c r="F87" s="10">
        <f>IF(F86=".", ".", IF('Summary, PPI''s'!V87=".",IF(OR('Summary, hourly ad costs'!V87=-9999,'Summary, hourly ad costs'!V87=0), ".", 'Predicted PPIs'!F86*('Summary, hourly ad costs'!F87/'Summary, hourly ad costs'!V87)/('Summary, hourly ad costs'!F86/'Summary, hourly ad costs'!V86)), 'Summary, PPI''s'!V87))</f>
        <v>3.2610970355739686</v>
      </c>
      <c r="G87" s="10" t="str">
        <f>IF(G86=".", ".", IF('Summary, PPI''s'!W87=".",IF(OR('Summary, hourly ad costs'!W87=-9999,'Summary, hourly ad costs'!W87=0), ".", 'Predicted PPIs'!G86*('Summary, hourly ad costs'!G87/'Summary, hourly ad costs'!W87)/('Summary, hourly ad costs'!G86/'Summary, hourly ad costs'!W86)), 'Summary, PPI''s'!W87))</f>
        <v>.</v>
      </c>
      <c r="H87" s="10">
        <f>IF(H86=".", ".", IF('Summary, PPI''s'!X87=".",IF(OR('Summary, hourly ad costs'!X87=-9999,'Summary, hourly ad costs'!X87=0), ".", 'Predicted PPIs'!H86*('Summary, hourly ad costs'!H87/'Summary, hourly ad costs'!X87)/('Summary, hourly ad costs'!H86/'Summary, hourly ad costs'!X86)), 'Summary, PPI''s'!X87))</f>
        <v>2.2522912661009338</v>
      </c>
      <c r="I87" s="10">
        <f>IF(I86=".", ".", IF('Summary, PPI''s'!Y87=".",IF(OR('Summary, hourly ad costs'!Y87=-9999,'Summary, hourly ad costs'!Y87=0), ".", 'Predicted PPIs'!I86*('Summary, hourly ad costs'!I87/'Summary, hourly ad costs'!Y87)/('Summary, hourly ad costs'!I86/'Summary, hourly ad costs'!Y86)), 'Summary, PPI''s'!Y87))</f>
        <v>3.7089100788757472</v>
      </c>
      <c r="J87" s="10" t="str">
        <f>IF(J86=".", ".", IF('Summary, PPI''s'!Z87=".",IF(OR('Summary, hourly ad costs'!Z87=-9999,'Summary, hourly ad costs'!Z87=0), ".", 'Predicted PPIs'!J86*('Summary, hourly ad costs'!J87/'Summary, hourly ad costs'!Z87)/('Summary, hourly ad costs'!J86/'Summary, hourly ad costs'!Z86)), 'Summary, PPI''s'!Z87))</f>
        <v>.</v>
      </c>
      <c r="K87" s="10" t="str">
        <f>IF(K86=".", ".", IF('Summary, PPI''s'!AA87=".",IF(OR('Summary, hourly ad costs'!AA87=-9999,'Summary, hourly ad costs'!AA87=0), ".", 'Predicted PPIs'!K86*('Summary, hourly ad costs'!K87/'Summary, hourly ad costs'!AA87)/('Summary, hourly ad costs'!K86/'Summary, hourly ad costs'!AA86)), 'Summary, PPI''s'!AA87))</f>
        <v>.</v>
      </c>
      <c r="L87" s="10" t="str">
        <f>IF(L86=".", ".", IF('Summary, PPI''s'!AB87=".",IF(OR('Summary, hourly ad costs'!AB87=-9999,'Summary, hourly ad costs'!AB87=0), ".", 'Predicted PPIs'!L86*('Summary, hourly ad costs'!L87/'Summary, hourly ad costs'!AB87)/('Summary, hourly ad costs'!L86/'Summary, hourly ad costs'!AB86)), 'Summary, PPI''s'!AB87))</f>
        <v>.</v>
      </c>
      <c r="M87" s="10" t="str">
        <f>IF(M86=".", ".", IF('Summary, PPI''s'!AC87=".",IF(OR('Summary, hourly ad costs'!AC87=-9999,'Summary, hourly ad costs'!AC87=0), ".", 'Predicted PPIs'!M86*('Summary, hourly ad costs'!M87/'Summary, hourly ad costs'!AC87)/('Summary, hourly ad costs'!M86/'Summary, hourly ad costs'!AC86)), 'Summary, PPI''s'!AC87))</f>
        <v>.</v>
      </c>
      <c r="N87" s="10" t="str">
        <f>IF(N86=".", ".", IF('Summary, PPI''s'!AD87=".",IF(OR('Summary, hourly ad costs'!AD87=-9999,'Summary, hourly ad costs'!AD87=0), ".", 'Predicted PPIs'!N86*('Summary, hourly ad costs'!N87/'Summary, hourly ad costs'!AD87)/('Summary, hourly ad costs'!N86/'Summary, hourly ad costs'!AD86)), 'Summary, PPI''s'!AD87))</f>
        <v>.</v>
      </c>
      <c r="O87" s="10" t="str">
        <f>IF(O86=".", ".", IF('Summary, PPI''s'!AE87=".",IF(OR('Summary, hourly ad costs'!AE87=-9999,'Summary, hourly ad costs'!AE87=0), ".", 'Predicted PPIs'!O86*('Summary, hourly ad costs'!O87/'Summary, hourly ad costs'!AE87)/('Summary, hourly ad costs'!O86/'Summary, hourly ad costs'!AE86)), 'Summary, PPI''s'!AE87))</f>
        <v>.</v>
      </c>
      <c r="P87" s="10" t="str">
        <f>IF(P86=".", ".", IF('Summary, PPI''s'!AF87=".",IF(OR('Summary, hourly ad costs'!AF87=-9999,'Summary, hourly ad costs'!AF87=0), ".", 'Predicted PPIs'!P86*('Summary, hourly ad costs'!P87/'Summary, hourly ad costs'!AF87)/('Summary, hourly ad costs'!P86/'Summary, hourly ad costs'!AF86)), 'Summary, PPI''s'!AF87))</f>
        <v>.</v>
      </c>
      <c r="R87" s="1">
        <f>IF(E$26=".", 0, 'Summary, PPI''s'!E87)+IF(F$26=".", 0, 'Summary, PPI''s'!F87)+IF(G$26=".", 0, 'Summary, PPI''s'!G87)+IF(H$26=".", 0, 'Summary, PPI''s'!H87)+IF(I$26=".", 0, 'Summary, PPI''s'!I87)+IF(J$26=".", 0, 'Summary, PPI''s'!J87)+IF(K$26=".", 0, 'Summary, PPI''s'!K87)+IF(L$26=".", 0, 'Summary, PPI''s'!L87)+IF(M$26=".", 0, 'Summary, PPI''s'!M87)+IF(B$26=".", 0, 'Summary, PPI''s'!B87)+IF(C$26=".", 0, 'Summary, PPI''s'!C87)+IF(D$26=".", 0, 'Summary, PPI''s'!D87)+IF(N$26=".", 0, 'Summary, PPI''s'!N87)+IF(O$26=".", 0, 'Summary, PPI''s'!O87)+IF(P$26=".", 0, 'Summary, PPI''s'!P87)</f>
        <v>1845586.7185625641</v>
      </c>
      <c r="S87" s="1">
        <f>IF(E$36=".", 0, 'Summary, PPI''s'!E87)+IF(F$36=".", 0, 'Summary, PPI''s'!F87)+IF(G$36=".", 0, 'Summary, PPI''s'!G87)+IF(H$36=".", 0, 'Summary, PPI''s'!H87)+IF(I$36=".", 0, 'Summary, PPI''s'!I87)+IF(J$36=".", 0, 'Summary, PPI''s'!J87)+IF(K$36=".", 0, 'Summary, PPI''s'!K87)+IF(L$36=".", 0, 'Summary, PPI''s'!L87)+IF(M$36=".", 0, 'Summary, PPI''s'!M87)+IF(B$36=".", 0, 'Summary, PPI''s'!B87)+IF(C$36=".", 0, 'Summary, PPI''s'!C87)+IF(D$36=".", 0, 'Summary, PPI''s'!D87)+IF(N$36=".", 0, 'Summary, PPI''s'!N87)+IF(O$36=".", 0, 'Summary, PPI''s'!O87)+IF(P$36=".", 0, 'Summary, PPI''s'!P87)</f>
        <v>1845586.7185625641</v>
      </c>
      <c r="T87" s="1">
        <f>IF(E$46=".", 0, 'Summary, PPI''s'!E87)+IF(F$46=".", 0, 'Summary, PPI''s'!F87)+IF(G$46=".", 0, 'Summary, PPI''s'!G87)+IF(H$46=".", 0, 'Summary, PPI''s'!H87)+IF(I$46=".", 0, 'Summary, PPI''s'!I87)+IF(J$46=".", 0, 'Summary, PPI''s'!J87)+IF(K$46=".", 0, 'Summary, PPI''s'!K87)+IF(L$46=".", 0, 'Summary, PPI''s'!L87)+IF(M$46=".", 0, 'Summary, PPI''s'!M87)+IF(B$46=".", 0, 'Summary, PPI''s'!B87)+IF(C$46=".", 0, 'Summary, PPI''s'!C87)+IF(D$46=".", 0, 'Summary, PPI''s'!D87)+IF(N$46=".", 0, 'Summary, PPI''s'!N87)+IF(O$46=".", 0, 'Summary, PPI''s'!O87)+IF(P$46=".", 0, 'Summary, PPI''s'!P87)</f>
        <v>1553631.5687927825</v>
      </c>
      <c r="U87" s="1">
        <f>IF(E$60=".", 0, 'Summary, PPI''s'!E87)+IF(F$60=".", 0, 'Summary, PPI''s'!F87)+IF(G$60=".", 0, 'Summary, PPI''s'!G87)+IF(H$60=".", 0, 'Summary, PPI''s'!H87)+IF(I$60=".", 0, 'Summary, PPI''s'!I87)+IF(J$60=".", 0, 'Summary, PPI''s'!J87)+IF(K$60=".", 0, 'Summary, PPI''s'!K87)+IF(L$60=".", 0, 'Summary, PPI''s'!L87)+IF(M$60=".", 0, 'Summary, PPI''s'!M87)+IF(B$60=".", 0, 'Summary, PPI''s'!B87)+IF(C$60=".", 0, 'Summary, PPI''s'!C87)+IF(D$60=".", 0, 'Summary, PPI''s'!D87)+IF(N$60=".", 0, 'Summary, PPI''s'!N87)+IF(O$60=".", 0, 'Summary, PPI''s'!O87)+IF(P$60=".", 0, 'Summary, PPI''s'!P87)</f>
        <v>1437691.6346679993</v>
      </c>
      <c r="V87" s="1">
        <f>IF(E$73=".", 0, 'Summary, PPI''s'!E87)+IF(F$73=".", 0, 'Summary, PPI''s'!F87)+IF(G$73=".", 0, 'Summary, PPI''s'!G87)+IF(H$73=".", 0, 'Summary, PPI''s'!H87)+IF(I$73=".", 0, 'Summary, PPI''s'!I87)+IF(J$73=".", 0, 'Summary, PPI''s'!J87)+IF(K$73=".", 0, 'Summary, PPI''s'!K87)+IF(L$73=".", 0, 'Summary, PPI''s'!L87)+IF(M$73=".", 0, 'Summary, PPI''s'!M87)+IF(B$73=".", 0, 'Summary, PPI''s'!B87)+IF(C$73=".", 0, 'Summary, PPI''s'!C87)+IF(D$73=".", 0, 'Summary, PPI''s'!D87)+IF(N$73=".", 0, 'Summary, PPI''s'!N87)+IF(O$73=".", 0, 'Summary, PPI''s'!O87)+IF(P$73=".", 0, 'Summary, PPI''s'!P87)</f>
        <v>1219968.6021077924</v>
      </c>
      <c r="W87" s="1">
        <f>IF(E$94=".",0,'Summary, PPI''s'!E87)+IF(F$94=".",0,'Summary, PPI''s'!F87)+IF(G$94=".",0,'Summary, PPI''s'!G87)+IF(H$94=".",0,'Summary, PPI''s'!H87)+IF(I$94=".",0,'Summary, PPI''s'!I87)+IF(J$94=".",0,'Summary, PPI''s'!J87)+IF(K$94=".",0,'Summary, PPI''s'!K87)+IF(L$94=".",0,'Summary, PPI''s'!L87)+IF(M$94=".",0,'Summary, PPI''s'!M87)+IF(B$94=".",0,'Summary, PPI''s'!B87)+IF(C$94=".",0,'Summary, PPI''s'!C87)+IF(D$94=".",0,'Summary, PPI''s'!D87)+IF(N$94=".",0,'Summary, PPI''s'!N87)+IF(O$94=".",0,'Summary, PPI''s'!O87)+IF(P$94=".",0,'Summary, PPI''s'!P87)</f>
        <v>1219968.6021077924</v>
      </c>
      <c r="X87" s="1">
        <f>IF(E$123=".", 0, 'Summary, PPI''s'!E87)+IF(F$123=".", 0, 'Summary, PPI''s'!F87)+IF(G$123=".", 0, 'Summary, PPI''s'!G87)+IF(H$123=".", 0, 'Summary, PPI''s'!H87)+IF(I$123=".", 0, 'Summary, PPI''s'!I87)+IF(J$123=".", 0, 'Summary, PPI''s'!J87)+IF(K$123=".", 0, 'Summary, PPI''s'!K87)+IF(L$123=".", 0, 'Summary, PPI''s'!L87)+IF(M$123=".", 0, 'Summary, PPI''s'!M87)+IF(B$123=".", 0, 'Summary, PPI''s'!B87)+IF(C$123=".", 0, 'Summary, PPI''s'!C87)+IF(D$123=".", 0, 'Summary, PPI''s'!D87)+IF(N$123=".", 0, 'Summary, PPI''s'!N87)+IF(O$123=".", 0, 'Summary, PPI''s'!O87)+IF(P$123=".", 0, 'Summary, PPI''s'!P87)</f>
        <v>1122540.4763240325</v>
      </c>
      <c r="Z87" s="4" t="e">
        <f>Z86*IF(E$26=".", 1, (E87/E86)^(('Summary, PPI''s'!$E87+'Summary, PPI''s'!$E86)/('Predicted PPIs'!R87+'Predicted PPIs'!R86)))*IF(F$26=".", 1, (F87/F86)^(('Summary, PPI''s'!$F87+'Summary, PPI''s'!$F86)/('Predicted PPIs'!R87+'Predicted PPIs'!R86)))*IF(G$26=".", 1, (G87/G86)^(('Summary, PPI''s'!$G87+'Summary, PPI''s'!$G86)/('Predicted PPIs'!R87+'Predicted PPIs'!R86)))*IF(H$26=".", 1, (H87/H86)^(('Summary, PPI''s'!$H87+'Summary, PPI''s'!$H86)/('Predicted PPIs'!R87+'Predicted PPIs'!R86)))*IF(I$26=".", 1, (I87/I86)^(('Summary, PPI''s'!$I87+'Summary, PPI''s'!$I86)/('Predicted PPIs'!R87+'Predicted PPIs'!R86)))*IF(J$26=".", 1, (J87/J86)^(('Summary, PPI''s'!$J87+'Summary, PPI''s'!$J86)/('Predicted PPIs'!R87+'Predicted PPIs'!R86)))*IF(K$26=".", 1, (K87/K86)^(('Summary, PPI''s'!$K87+'Summary, PPI''s'!$K86)/('Predicted PPIs'!R87+'Predicted PPIs'!R86)))*IF(L$26=".", 1, (L87/L86)^(('Summary, PPI''s'!$L87+'Summary, PPI''s'!$L86)/('Predicted PPIs'!R87+'Predicted PPIs'!R86)))*IF(M$26=".", 1, (M87/M86)^(('Summary, PPI''s'!$M87+'Summary, PPI''s'!$M86)/('Predicted PPIs'!R87+'Predicted PPIs'!R86)))*IF(B$26=".", 1, (B87/B86)^(('Summary, PPI''s'!$B87+'Summary, PPI''s'!$B86)/('Predicted PPIs'!R87+'Predicted PPIs'!R86)))*IF(C$26=".", 1, (C87/C86)^(('Summary, PPI''s'!$C87+'Summary, PPI''s'!$C86)/('Predicted PPIs'!R87+'Predicted PPIs'!R86)))*IF(D$26=".", 1, (D87/D86)^(('Summary, PPI''s'!$D87+'Summary, PPI''s'!$D86)/('Predicted PPIs'!R87+'Predicted PPIs'!R86)))*IF(N$26=".", 1, (N87/N86)^(('Summary, PPI''s'!$N87+'Summary, PPI''s'!$N86)/('Predicted PPIs'!R87+'Predicted PPIs'!R86)))*IF(O$26=".", 1, (O87/O86)^(('Summary, PPI''s'!$O87+'Summary, PPI''s'!$O86)/('Predicted PPIs'!R87+'Predicted PPIs'!R86)))*IF(P$26=".", 1, (P87/P86)^(('Summary, PPI''s'!$P87+'Summary, PPI''s'!$P86)/('Predicted PPIs'!R87+'Predicted PPIs'!R86)))</f>
        <v>#VALUE!</v>
      </c>
      <c r="AA87" s="4" t="e">
        <f>AA86*IF(E$36=".", 1, (E87/E86)^(('Summary, PPI''s'!$E87+'Summary, PPI''s'!$E86)/('Predicted PPIs'!S87+'Predicted PPIs'!S86)))*IF(F$36=".", 1, (F87/F86)^(('Summary, PPI''s'!$F87+'Summary, PPI''s'!$F86)/('Predicted PPIs'!S87+'Predicted PPIs'!S86)))*IF(G$36=".", 1, (G87/G86)^(('Summary, PPI''s'!$G87+'Summary, PPI''s'!$G86)/('Predicted PPIs'!S87+'Predicted PPIs'!S86)))*IF(H$36=".", 1, (H87/H86)^(('Summary, PPI''s'!$H87+'Summary, PPI''s'!$H86)/('Predicted PPIs'!S87+'Predicted PPIs'!S86)))*IF(I$36=".", 1, (I87/I86)^(('Summary, PPI''s'!$I87+'Summary, PPI''s'!$I86)/('Predicted PPIs'!S87+'Predicted PPIs'!S86)))*IF(J$36=".", 1, (J87/J86)^(('Summary, PPI''s'!$J87+'Summary, PPI''s'!$J86)/('Predicted PPIs'!S87+'Predicted PPIs'!S86)))*IF(K$36=".", 1, (K87/K86)^(('Summary, PPI''s'!$K87+'Summary, PPI''s'!$K86)/('Predicted PPIs'!S87+'Predicted PPIs'!S86)))*IF(L$36=".", 1, (L87/L86)^(('Summary, PPI''s'!$L87+'Summary, PPI''s'!$L86)/('Predicted PPIs'!S87+'Predicted PPIs'!S86)))*IF(M$36=".", 1, (M87/M86)^(('Summary, PPI''s'!$M87+'Summary, PPI''s'!$M86)/('Predicted PPIs'!S87+'Predicted PPIs'!S86)))*IF(B$36=".", 1, (B87/B86)^(('Summary, PPI''s'!$B87+'Summary, PPI''s'!$B86)/('Predicted PPIs'!S87+'Predicted PPIs'!S86)))*IF(C$36=".", 1, (C87/C86)^(('Summary, PPI''s'!$C87+'Summary, PPI''s'!$C86)/('Predicted PPIs'!S87+'Predicted PPIs'!S86)))*IF(D$36=".", 1, (D87/D86)^(('Summary, PPI''s'!$D87+'Summary, PPI''s'!$D86)/('Predicted PPIs'!S87+'Predicted PPIs'!S86)))*IF(N$36=".", 1, (N87/N86)^(('Summary, PPI''s'!$N87+'Summary, PPI''s'!$N86)/('Predicted PPIs'!S87+'Predicted PPIs'!S86)))*IF(O$36=".", 1, (O87/O86)^(('Summary, PPI''s'!$O87+'Summary, PPI''s'!$O86)/('Predicted PPIs'!S87+'Predicted PPIs'!S86)))*IF(P$36=".", 1, (P87/P86)^(('Summary, PPI''s'!$P87+'Summary, PPI''s'!$P86)/('Predicted PPIs'!S87+'Predicted PPIs'!S86)))</f>
        <v>#VALUE!</v>
      </c>
      <c r="AB87" s="4" t="e">
        <f>AB86*IF(E$46=".", 1, (E87/E86)^(('Summary, PPI''s'!$E87+'Summary, PPI''s'!$E86)/('Predicted PPIs'!T87+'Predicted PPIs'!T86)))*IF(F$46=".", 1, (F87/F86)^(('Summary, PPI''s'!$F87+'Summary, PPI''s'!$F86)/('Predicted PPIs'!T87+'Predicted PPIs'!T86)))*IF(G$46=".", 1, (G87/G86)^(('Summary, PPI''s'!$G87+'Summary, PPI''s'!$G86)/('Predicted PPIs'!T87+'Predicted PPIs'!T86)))*IF(H$46=".", 1, (H87/H86)^(('Summary, PPI''s'!$H87+'Summary, PPI''s'!$H86)/('Predicted PPIs'!T87+'Predicted PPIs'!T86)))*IF(I$46=".", 1, (I87/I86)^(('Summary, PPI''s'!$I87+'Summary, PPI''s'!$I86)/('Predicted PPIs'!T87+'Predicted PPIs'!T86)))*IF(J$46=".", 1, (J87/J86)^(('Summary, PPI''s'!$J87+'Summary, PPI''s'!$J86)/('Predicted PPIs'!T87+'Predicted PPIs'!T86)))*IF(K$46=".", 1, (K87/K86)^(('Summary, PPI''s'!$K87+'Summary, PPI''s'!$K86)/('Predicted PPIs'!T87+'Predicted PPIs'!T86)))*IF(L$46=".", 1, (L87/L86)^(('Summary, PPI''s'!$L87+'Summary, PPI''s'!$L86)/('Predicted PPIs'!T87+'Predicted PPIs'!T86)))*IF(M$46=".", 1, (M87/M86)^(('Summary, PPI''s'!$M87+'Summary, PPI''s'!$M86)/('Predicted PPIs'!T87+'Predicted PPIs'!T86)))*IF(B$46=".", 1, (B87/B86)^(('Summary, PPI''s'!$B87+'Summary, PPI''s'!$B86)/('Predicted PPIs'!T87+'Predicted PPIs'!T86)))*IF(C$46=".", 1, (C87/C86)^(('Summary, PPI''s'!$C87+'Summary, PPI''s'!$C86)/('Predicted PPIs'!T87+'Predicted PPIs'!T86)))*IF(D$46=".", 1, (D87/D86)^(('Summary, PPI''s'!$D87+'Summary, PPI''s'!$D86)/('Predicted PPIs'!T87+'Predicted PPIs'!T86)))*IF(N$46=".", 1, (N87/N86)^(('Summary, PPI''s'!$N87+'Summary, PPI''s'!$N86)/('Predicted PPIs'!T87+'Predicted PPIs'!T86)))*IF(O$46=".", 1, (O87/O86)^(('Summary, PPI''s'!$O87+'Summary, PPI''s'!$O86)/('Predicted PPIs'!T87+'Predicted PPIs'!T86)))*IF(P$46=".", 1, (P87/P86)^(('Summary, PPI''s'!$P87+'Summary, PPI''s'!$P86)/('Predicted PPIs'!T87+'Predicted PPIs'!T86)))</f>
        <v>#VALUE!</v>
      </c>
      <c r="AC87" s="4" t="e">
        <f>AC86*IF(E$60=".",1,(E87/E86)^(('Summary, PPI''s'!$E87+'Summary, PPI''s'!$E86)/('Predicted PPIs'!U87+'Predicted PPIs'!U86)))*IF(F$60=".",1,(F87/F86)^(('Summary, PPI''s'!$F87+'Summary, PPI''s'!$F86)/('Predicted PPIs'!U87+'Predicted PPIs'!U86)))*IF(G$60=".",1,(G87/G86)^(('Summary, PPI''s'!$G87+'Summary, PPI''s'!$G86)/('Predicted PPIs'!U87+'Predicted PPIs'!U86)))*IF(H$60=".",1,(H87/H86)^(('Summary, PPI''s'!$H87+'Summary, PPI''s'!$H86)/('Predicted PPIs'!U87+'Predicted PPIs'!U86)))*IF(I$60=".",1,(I87/I86)^(('Summary, PPI''s'!$I87+'Summary, PPI''s'!$I86)/('Predicted PPIs'!U87+'Predicted PPIs'!U86)))*IF(J$60=".",1,(J87/J86)^(('Summary, PPI''s'!$J87+'Summary, PPI''s'!$J86)/('Predicted PPIs'!U87+'Predicted PPIs'!U86)))*IF(K$60=".",1,(K87/K86)^(('Summary, PPI''s'!$K87+'Summary, PPI''s'!$K86)/('Predicted PPIs'!U87+'Predicted PPIs'!U86)))*IF(L$60=".",1,(L87/L86)^(('Summary, PPI''s'!$L87+'Summary, PPI''s'!$L86)/('Predicted PPIs'!U87+'Predicted PPIs'!U86)))*IF(M$60=".",1,(M87/M86)^(('Summary, PPI''s'!$M87+'Summary, PPI''s'!$M86)/('Predicted PPIs'!U87+'Predicted PPIs'!U86)))*IF(B$60=".",1,(B87/B86)^(('Summary, PPI''s'!$B87+'Summary, PPI''s'!$B86)/('Predicted PPIs'!U87+'Predicted PPIs'!U86)))*IF(C$60=".",1,(C87/C86)^(('Summary, PPI''s'!$C87+'Summary, PPI''s'!$C86)/('Predicted PPIs'!U87+'Predicted PPIs'!U86)))*IF(D$60=".",1,(D87/D86)^(('Summary, PPI''s'!$D87+'Summary, PPI''s'!$D86)/('Predicted PPIs'!U87+'Predicted PPIs'!U86)))*IF(N$60=".",1,(N87/N86)^(('Summary, PPI''s'!$N87+'Summary, PPI''s'!$N86)/('Predicted PPIs'!U87+'Predicted PPIs'!U86)))*IF(O$60=".",1,(O87/O86)^(('Summary, PPI''s'!$O87+'Summary, PPI''s'!$O86)/('Predicted PPIs'!U87+'Predicted PPIs'!U86)))*IF(P$60=".",1,(P87/P86)^(('Summary, PPI''s'!$P87+'Summary, PPI''s'!$P86)/('Predicted PPIs'!U87+'Predicted PPIs'!U86)))</f>
        <v>#VALUE!</v>
      </c>
      <c r="AD87" s="4" t="e">
        <f>AD86*IF(E$73=".", 1, (E87/E86)^(('Summary, PPI''s'!$E87+'Summary, PPI''s'!$E86)/('Predicted PPIs'!V87+'Predicted PPIs'!V86)))*IF(F$73=".", 1, (F87/F86)^(('Summary, PPI''s'!$F87+'Summary, PPI''s'!$F86)/('Predicted PPIs'!V87+'Predicted PPIs'!V86)))*IF(G$73=".", 1, (G87/G86)^(('Summary, PPI''s'!$G87+'Summary, PPI''s'!$G86)/('Predicted PPIs'!V87+'Predicted PPIs'!V86)))*IF(H$73=".", 1, (H87/H86)^(('Summary, PPI''s'!$H87+'Summary, PPI''s'!$H86)/('Predicted PPIs'!V87+'Predicted PPIs'!V86)))*IF(I$73=".", 1, (I87/I86)^(('Summary, PPI''s'!$I87+'Summary, PPI''s'!$I86)/('Predicted PPIs'!V87+'Predicted PPIs'!V86)))*IF(J$73=".", 1, (J87/J86)^(('Summary, PPI''s'!$J87+'Summary, PPI''s'!$J86)/('Predicted PPIs'!V87+'Predicted PPIs'!V86)))*IF(K$73=".", 1, (K87/K86)^(('Summary, PPI''s'!$K87+'Summary, PPI''s'!$K86)/('Predicted PPIs'!V87+'Predicted PPIs'!V86)))*IF(L$73=".", 1, (L87/L86)^(('Summary, PPI''s'!$L87+'Summary, PPI''s'!$L86)/('Predicted PPIs'!V87+'Predicted PPIs'!V86)))*IF(M$73=".", 1, (M87/M86)^(('Summary, PPI''s'!$M87+'Summary, PPI''s'!$M86)/('Predicted PPIs'!V87+'Predicted PPIs'!V86)))*IF(B$73=".", 1, (B87/B86)^(('Summary, PPI''s'!$B87+'Summary, PPI''s'!$B86)/('Predicted PPIs'!V87+'Predicted PPIs'!V86)))*IF(C$73=".", 1, (C87/C86)^(('Summary, PPI''s'!$C87+'Summary, PPI''s'!$C86)/('Predicted PPIs'!V87+'Predicted PPIs'!V86)))*IF(D$73=".", 1, (D87/D86)^(('Summary, PPI''s'!$D87+'Summary, PPI''s'!$D86)/('Predicted PPIs'!V87+'Predicted PPIs'!V86)))*IF(N$73=".", 1, (N87/N86)^(('Summary, PPI''s'!$N87+'Summary, PPI''s'!$N86)/('Predicted PPIs'!V87+'Predicted PPIs'!V86)))*IF(O$73=".", 1, (O87/O86)^(('Summary, PPI''s'!$O87+'Summary, PPI''s'!$O86)/('Predicted PPIs'!V87+'Predicted PPIs'!V86)))*IF(P$73=".", 1, (P87/P86)^(('Summary, PPI''s'!$P87+'Summary, PPI''s'!$P86)/('Predicted PPIs'!V87+'Predicted PPIs'!V86)))</f>
        <v>#VALUE!</v>
      </c>
      <c r="AE87" s="4">
        <f>AE86*IF(E$94=".", 1, (E87/E86)^(('Summary, PPI''s'!$E87+'Summary, PPI''s'!$E86)/('Predicted PPIs'!W87+'Predicted PPIs'!W86)))*IF(F$94=".", 1, (F87/F86)^(('Summary, PPI''s'!$F87+'Summary, PPI''s'!$F86)/('Predicted PPIs'!W87+'Predicted PPIs'!W86)))*IF(G$94=".", 1, (G87/G86)^(('Summary, PPI''s'!$G87+'Summary, PPI''s'!$G86)/('Predicted PPIs'!W87+'Predicted PPIs'!W86)))*IF(H$94=".", 1, (H87/H86)^(('Summary, PPI''s'!$H87+'Summary, PPI''s'!$H86)/('Predicted PPIs'!W87+'Predicted PPIs'!W86)))*IF(I$94=".", 1, (I87/I86)^(('Summary, PPI''s'!$I87+'Summary, PPI''s'!$I86)/('Predicted PPIs'!W87+'Predicted PPIs'!W86)))*IF(J$94=".", 1, (J87/J86)^(('Summary, PPI''s'!$J87+'Summary, PPI''s'!$J86)/('Predicted PPIs'!W87+'Predicted PPIs'!W86)))*IF(K$94=".", 1, (K87/K86)^(('Summary, PPI''s'!$K87+'Summary, PPI''s'!$K86)/('Predicted PPIs'!W87+'Predicted PPIs'!W86)))*IF(L$94=".", 1, (L87/L86)^(('Summary, PPI''s'!$L87+'Summary, PPI''s'!$L86)/('Predicted PPIs'!W87+'Predicted PPIs'!W86)))*IF(M$94=".", 1, (M87/M86)^(('Summary, PPI''s'!$M87+'Summary, PPI''s'!$M86)/('Predicted PPIs'!W87+'Predicted PPIs'!W86)))*IF(B$94=".", 1, (B87/B86)^(('Summary, PPI''s'!$B87+'Summary, PPI''s'!$B86)/('Predicted PPIs'!W87+'Predicted PPIs'!W86)))*IF(C$94=".", 1, (C87/C86)^(('Summary, PPI''s'!$C87+'Summary, PPI''s'!$C86)/('Predicted PPIs'!W87+'Predicted PPIs'!W86)))*IF(D$94=".", 1, (D87/D86)^(('Summary, PPI''s'!$D87+'Summary, PPI''s'!$D86)/('Predicted PPIs'!W87+'Predicted PPIs'!W86)))*IF(N$94=".", 1, (N87/N86)^(('Summary, PPI''s'!$N87+'Summary, PPI''s'!$N86)/('Predicted PPIs'!W87+'Predicted PPIs'!W86)))*IF(O$94=".", 1, (O87/O86)^(('Summary, PPI''s'!$O87+'Summary, PPI''s'!$O86)/('Predicted PPIs'!W87+'Predicted PPIs'!W86)))*IF(P$94=".", 1, (P87/P86)^(('Summary, PPI''s'!$P87+'Summary, PPI''s'!$P86)/('Predicted PPIs'!W87+'Predicted PPIs'!W86)))</f>
        <v>3.3432783218816571</v>
      </c>
      <c r="AF87" s="4">
        <f>AF86*IF(E$123=".", 1, (E87/E86)^(('Summary, PPI''s'!$E87+'Summary, PPI''s'!$E86)/('Predicted PPIs'!X87+'Predicted PPIs'!X86)))*IF(F$123=".", 1, (F87/F86)^(('Summary, PPI''s'!$F87+'Summary, PPI''s'!$F86)/('Predicted PPIs'!X87+'Predicted PPIs'!X86)))*IF(G$123=".", 1, (G87/G86)^(('Summary, PPI''s'!$G87+'Summary, PPI''s'!$G86)/('Predicted PPIs'!X87+'Predicted PPIs'!X86)))*IF(H$123=".", 1, (H87/H86)^(('Summary, PPI''s'!$H87+'Summary, PPI''s'!$H86)/('Predicted PPIs'!X87+'Predicted PPIs'!X86)))*IF(I$123=".", 1, (I87/I86)^(('Summary, PPI''s'!$I87+'Summary, PPI''s'!$I86)/('Predicted PPIs'!X87+'Predicted PPIs'!X86)))*IF(J$123=".", 1, (J87/J86)^(('Summary, PPI''s'!$J87+'Summary, PPI''s'!$J86)/('Predicted PPIs'!X87+'Predicted PPIs'!X86)))*IF(K$123=".", 1, (K87/K86)^(('Summary, PPI''s'!$K87+'Summary, PPI''s'!$K86)/('Predicted PPIs'!X87+'Predicted PPIs'!X86)))*IF(L$123=".", 1, (L87/L86)^(('Summary, PPI''s'!$L87+'Summary, PPI''s'!$L86)/('Predicted PPIs'!X87+'Predicted PPIs'!X86)))*IF(M$123=".", 1, (M87/M86)^(('Summary, PPI''s'!$M87+'Summary, PPI''s'!$M86)/('Predicted PPIs'!X87+'Predicted PPIs'!X86)))*IF(B$123=".", 1, (B87/B86)^(('Summary, PPI''s'!$B87+'Summary, PPI''s'!$B86)/('Predicted PPIs'!X87+'Predicted PPIs'!X86)))*IF(C$123=".", 1, (C87/C86)^(('Summary, PPI''s'!$C87+'Summary, PPI''s'!$C86)/('Predicted PPIs'!X87+'Predicted PPIs'!X86)))*IF(D$123=".", 1, (D87/D86)^(('Summary, PPI''s'!$D87+'Summary, PPI''s'!$D86)/('Predicted PPIs'!X87+'Predicted PPIs'!X86)))*IF(N$123=".", 1, (N87/N86)^(('Summary, PPI''s'!$N87+'Summary, PPI''s'!$N86)/('Predicted PPIs'!X87+'Predicted PPIs'!X86)))*IF(O$123=".", 1, (O87/O86)^(('Summary, PPI''s'!$O87+'Summary, PPI''s'!$O86)/('Predicted PPIs'!X87+'Predicted PPIs'!X86)))*IF(P$123=".", 1, (P87/P86)^(('Summary, PPI''s'!$P87+'Summary, PPI''s'!$P86)/('Predicted PPIs'!X87+'Predicted PPIs'!X86)))</f>
        <v>3.1101808662876498</v>
      </c>
      <c r="AH87" s="13">
        <f t="shared" si="152"/>
        <v>4.5720388637058242</v>
      </c>
      <c r="AJ87" s="4">
        <v>62.2</v>
      </c>
      <c r="AK87" s="4">
        <v>-1.3939999999999999</v>
      </c>
      <c r="AL87" s="4">
        <v>-3.7589999999999999</v>
      </c>
      <c r="AM87" s="4">
        <v>-0.69299999999999995</v>
      </c>
      <c r="AN87" s="4">
        <f t="shared" si="176"/>
        <v>82.946139592340955</v>
      </c>
      <c r="AO87" s="4">
        <v>8.5</v>
      </c>
      <c r="AP87" s="4">
        <f t="shared" si="177"/>
        <v>-0.78636363636363649</v>
      </c>
      <c r="AQ87" s="4">
        <f t="shared" si="178"/>
        <v>-1.4865909090909089</v>
      </c>
      <c r="AR87" s="4">
        <f t="shared" si="148"/>
        <v>-8.8226979350871672E-5</v>
      </c>
      <c r="AS87" s="4">
        <v>-0.39800000000000002</v>
      </c>
      <c r="AT87" s="4">
        <v>7.3079999999999998</v>
      </c>
      <c r="AU87" s="4">
        <v>11.993</v>
      </c>
      <c r="AV87" s="4">
        <v>8.1170000000000009</v>
      </c>
      <c r="AW87" s="4">
        <v>5.1970000000000001</v>
      </c>
      <c r="AX87" s="4">
        <f t="shared" si="179"/>
        <v>6.9610864553314098</v>
      </c>
      <c r="AY87" s="4">
        <v>8.5120000000000005</v>
      </c>
      <c r="AZ87" s="4">
        <v>2.8330000000000002</v>
      </c>
      <c r="BA87" s="4">
        <v>7.4660000000000002</v>
      </c>
      <c r="BB87" s="4">
        <f t="shared" si="150"/>
        <v>42.703679623118745</v>
      </c>
      <c r="BC87" s="4">
        <v>7.476</v>
      </c>
      <c r="BG87" s="4">
        <f t="shared" si="172"/>
        <v>8.4917333075003185</v>
      </c>
      <c r="BI87" s="4">
        <f>BI$13*'[2]Ordinary Experience'!$D$339/'[2]Ordinary Experience'!$D$413</f>
        <v>128436063.38394545</v>
      </c>
      <c r="BJ87" s="4">
        <f>'[2]Ordinary Experience'!$E$339</f>
        <v>26.674908437444948</v>
      </c>
      <c r="BL87" s="4">
        <f t="shared" si="151"/>
        <v>22.750580094130598</v>
      </c>
      <c r="BM87" s="4">
        <f t="shared" si="153"/>
        <v>9.8420709511654048E-2</v>
      </c>
      <c r="BO87" s="4" t="str">
        <f>IF(OR('Summary, hourly ad costs'!R87=-9999,'Summary, PPI''s'!R87="."),".",(('Summary, hourly ad costs'!B87/'Summary, hourly ad costs'!R87)*100/('Summary, hourly ad costs'!B$11/'Summary, hourly ad costs'!R$11))/('Summary, PPI''s'!R87))</f>
        <v>.</v>
      </c>
      <c r="BP87" s="4" t="str">
        <f>IF(OR('Summary, hourly ad costs'!S87=-9999,'Summary, PPI''s'!S87="."),".",(('Summary, hourly ad costs'!C87/'Summary, hourly ad costs'!S87)*100/('Summary, hourly ad costs'!C$11/'Summary, hourly ad costs'!S$11))/('Summary, PPI''s'!S87))</f>
        <v>.</v>
      </c>
      <c r="BQ87" s="4" t="str">
        <f>IF(OR('Summary, hourly ad costs'!T87=-9999,'Summary, PPI''s'!T87="."),".",(('Summary, hourly ad costs'!D87/'Summary, hourly ad costs'!T87)*100/('Summary, hourly ad costs'!D$11/'Summary, hourly ad costs'!T$11))/('Summary, PPI''s'!T87))</f>
        <v>.</v>
      </c>
      <c r="BR87" s="4" t="str">
        <f>IF(OR('Summary, hourly ad costs'!U87=-9999,'Summary, PPI''s'!U87="."),".",(('Summary, hourly ad costs'!E87/'Summary, hourly ad costs'!U87)*100/('Summary, hourly ad costs'!E$11/'Summary, hourly ad costs'!U$11))/('Summary, PPI''s'!U87))</f>
        <v>.</v>
      </c>
      <c r="BS87" s="4" t="str">
        <f>IF(OR('Summary, hourly ad costs'!V87=-9999,'Summary, PPI''s'!V87="."),".",(('Summary, hourly ad costs'!F87/'Summary, hourly ad costs'!V87)*100/('Summary, hourly ad costs'!F$11/'Summary, hourly ad costs'!V$11))/('Summary, PPI''s'!V87))</f>
        <v>.</v>
      </c>
      <c r="BT87" s="4" t="str">
        <f>IF(OR('Summary, hourly ad costs'!W87=-9999,'Summary, PPI''s'!W87="."),".",(('Summary, hourly ad costs'!G87/'Summary, hourly ad costs'!W87)*100/('Summary, hourly ad costs'!G$11/'Summary, hourly ad costs'!W$11))/('Summary, PPI''s'!W87))</f>
        <v>.</v>
      </c>
      <c r="BU87" s="4" t="str">
        <f>IF(OR('Summary, hourly ad costs'!X87=-9999,'Summary, PPI''s'!X87="."),".",(('Summary, hourly ad costs'!H87/'Summary, hourly ad costs'!X87)*100/('Summary, hourly ad costs'!H$11/'Summary, hourly ad costs'!X$11))/('Summary, PPI''s'!X87))</f>
        <v>.</v>
      </c>
      <c r="BV87" s="4" t="str">
        <f>IF(OR('Summary, hourly ad costs'!Y87=-9999,'Summary, PPI''s'!Y87="."),".",(('Summary, hourly ad costs'!I87/'Summary, hourly ad costs'!Y87)*100/('Summary, hourly ad costs'!I$11/'Summary, hourly ad costs'!Y$11))/('Summary, PPI''s'!Y87))</f>
        <v>.</v>
      </c>
      <c r="BW87" s="4" t="str">
        <f>IF(OR('Summary, hourly ad costs'!Z87=-9999,'Summary, PPI''s'!Z87="."),".",(('Summary, hourly ad costs'!J87/'Summary, hourly ad costs'!Z87)*100/('Summary, hourly ad costs'!J$11/'Summary, hourly ad costs'!Z$11))/('Summary, PPI''s'!Z87))</f>
        <v>.</v>
      </c>
      <c r="BX87" s="4" t="str">
        <f>IF(OR('Summary, hourly ad costs'!AA87=-9999,'Summary, PPI''s'!AA87="."),".",(('Summary, hourly ad costs'!K87/'Summary, hourly ad costs'!AA87)*100/('Summary, hourly ad costs'!K$11/'Summary, hourly ad costs'!AA$11))/('Summary, PPI''s'!AA87))</f>
        <v>.</v>
      </c>
      <c r="BY87" s="4" t="str">
        <f>IF(OR('Summary, hourly ad costs'!AB87=-9999,'Summary, PPI''s'!AB87="."),".",(('Summary, hourly ad costs'!L87/'Summary, hourly ad costs'!AB87)*100/('Summary, hourly ad costs'!L$11/'Summary, hourly ad costs'!AB$11))/('Summary, PPI''s'!AB87))</f>
        <v>.</v>
      </c>
      <c r="BZ87" s="4" t="str">
        <f>IF(OR('Summary, hourly ad costs'!AC87=-9999,'Summary, PPI''s'!AC87="."),".",(('Summary, hourly ad costs'!M87/'Summary, hourly ad costs'!AC87)*100/('Summary, hourly ad costs'!M$11/'Summary, hourly ad costs'!AC$11))/('Summary, PPI''s'!AC87))</f>
        <v>.</v>
      </c>
      <c r="CA87" s="4" t="str">
        <f>IF(OR('Summary, hourly ad costs'!AD87=-9999,'Summary, PPI''s'!AD87="."),".",(('Summary, hourly ad costs'!N87/'Summary, hourly ad costs'!AD87)*100/('Summary, hourly ad costs'!N$11/'Summary, hourly ad costs'!AD$11))/('Summary, PPI''s'!AD87))</f>
        <v>.</v>
      </c>
      <c r="CB87" s="4" t="str">
        <f>IF(OR('Summary, hourly ad costs'!AE87=-9999,'Summary, PPI''s'!AE87="."),".",(('Summary, hourly ad costs'!O87/'Summary, hourly ad costs'!AE87)*100/('Summary, hourly ad costs'!O$11/'Summary, hourly ad costs'!AE$11))/('Summary, PPI''s'!AE87))</f>
        <v>.</v>
      </c>
      <c r="CC87" s="4" t="str">
        <f>IF(OR('Summary, hourly ad costs'!AF87=-9999,'Summary, PPI''s'!AF87="."),".",(('Summary, hourly ad costs'!P87/'Summary, hourly ad costs'!AF87)*100/('Summary, hourly ad costs'!P$11/'Summary, hourly ad costs'!AF$11))/('Summary, PPI''s'!AF87))</f>
        <v>.</v>
      </c>
      <c r="CE87" s="4">
        <f t="shared" si="134"/>
        <v>6.1166058104138506E-2</v>
      </c>
      <c r="CF87" s="4" t="str">
        <f t="shared" si="135"/>
        <v>.</v>
      </c>
      <c r="CG87" s="4" t="str">
        <f t="shared" si="136"/>
        <v>.</v>
      </c>
      <c r="CH87" s="4">
        <f t="shared" si="145"/>
        <v>0.10596107253539266</v>
      </c>
      <c r="CI87" s="4">
        <f t="shared" si="145"/>
        <v>0.12204685296347674</v>
      </c>
      <c r="CJ87" s="4" t="str">
        <f t="shared" si="147"/>
        <v>.</v>
      </c>
      <c r="CK87" s="4">
        <f t="shared" si="149"/>
        <v>-1.0340617255812957E-3</v>
      </c>
      <c r="CL87" s="4">
        <f t="shared" si="130"/>
        <v>8.5035001776381472E-2</v>
      </c>
      <c r="CM87" s="4">
        <f t="shared" si="130"/>
        <v>5.0501792890236888E-2</v>
      </c>
      <c r="CN87" s="4">
        <f t="shared" si="89"/>
        <v>7.1384003906473661E-2</v>
      </c>
      <c r="CO87" s="4">
        <f t="shared" si="180"/>
        <v>0.64078801257852902</v>
      </c>
      <c r="CP87" s="4">
        <f t="shared" si="180"/>
        <v>-6.9725939896592481E-2</v>
      </c>
      <c r="CQ87" s="4" t="str">
        <f t="shared" si="173"/>
        <v>.</v>
      </c>
      <c r="CR87" s="4" t="str">
        <f t="shared" si="174"/>
        <v>.</v>
      </c>
      <c r="CS87" s="4" t="str">
        <f t="shared" si="175"/>
        <v>.</v>
      </c>
      <c r="CU87" s="5">
        <f>IF(CU86=".", ".", IF('Summary, PPI''s'!R87=".",IF(OR('Summary, hourly ad costs'!R87=-9999,'Summary, hourly ad costs'!R87=0), ".", 'Predicted PPIs'!CU86*('Summary, hourly ad costs'!B87/'Summary, hourly ad costs'!R87)/('Summary, hourly ad costs'!B86/'Summary, hourly ad costs'!R86)/(1-CE86)), 'Summary, PPI''s'!R87))</f>
        <v>22.918758952136994</v>
      </c>
      <c r="CV87" s="5" t="str">
        <f>IF(CV86=".", ".", IF('Summary, PPI''s'!S87=".",IF(OR('Summary, hourly ad costs'!S87=-9999,'Summary, hourly ad costs'!S87=0), ".", 'Predicted PPIs'!CV86*('Summary, hourly ad costs'!C87/'Summary, hourly ad costs'!S87)/('Summary, hourly ad costs'!C86/'Summary, hourly ad costs'!S86)/(1-CF86)), 'Summary, PPI''s'!S87))</f>
        <v>.</v>
      </c>
      <c r="CW87" s="5" t="str">
        <f>IF(CW86=".", ".", IF('Summary, PPI''s'!T87=".",IF(OR('Summary, hourly ad costs'!T87=-9999,'Summary, hourly ad costs'!T87=0), ".", 'Predicted PPIs'!CW86*('Summary, hourly ad costs'!D87/'Summary, hourly ad costs'!T87)/('Summary, hourly ad costs'!D86/'Summary, hourly ad costs'!T86)/(1-CG86)), 'Summary, PPI''s'!T87))</f>
        <v>.</v>
      </c>
      <c r="CX87" s="5">
        <f>IF(CX86=".", ".", IF('Summary, PPI''s'!U87=".",IF(OR('Summary, hourly ad costs'!U87=-9999,'Summary, hourly ad costs'!U87=0), ".", 'Predicted PPIs'!CX86*('Summary, hourly ad costs'!E87/'Summary, hourly ad costs'!U87)/('Summary, hourly ad costs'!E86/'Summary, hourly ad costs'!U86)/(1-CH86)), 'Summary, PPI''s'!U87))</f>
        <v>2.6170911987653995</v>
      </c>
      <c r="CY87" s="5">
        <f>IF(CY86=".", ".", IF('Summary, PPI''s'!V87=".",IF(OR('Summary, hourly ad costs'!V87=-9999,'Summary, hourly ad costs'!V87=0), ".", 'Predicted PPIs'!CY86*('Summary, hourly ad costs'!F87/'Summary, hourly ad costs'!V87)/('Summary, hourly ad costs'!F86/'Summary, hourly ad costs'!V86)/(1-CI86)), 'Summary, PPI''s'!V87))</f>
        <v>4.9691473537474193</v>
      </c>
      <c r="CZ87" s="5" t="str">
        <f>IF(CZ86=".", ".", IF('Summary, PPI''s'!W87=".",IF(OR('Summary, hourly ad costs'!W87=-9999,'Summary, hourly ad costs'!W87=0), ".", 'Predicted PPIs'!CZ86*('Summary, hourly ad costs'!G87/'Summary, hourly ad costs'!W87)/('Summary, hourly ad costs'!G86/'Summary, hourly ad costs'!W86)/(1-CJ86)), 'Summary, PPI''s'!W87))</f>
        <v>.</v>
      </c>
      <c r="DA87" s="5">
        <f>IF(DA86=".", ".", IF('Summary, PPI''s'!X87=".",IF(OR('Summary, hourly ad costs'!X87=-9999,'Summary, hourly ad costs'!X87=0), ".", 'Predicted PPIs'!DA86*('Summary, hourly ad costs'!H87/'Summary, hourly ad costs'!X87)/('Summary, hourly ad costs'!H86/'Summary, hourly ad costs'!X86)/(1-CK86)), 'Summary, PPI''s'!X87))</f>
        <v>2.4175383398020851</v>
      </c>
      <c r="DB87" s="5">
        <f>IF(DB86=".", ".", IF('Summary, PPI''s'!Y87=".",IF(OR('Summary, hourly ad costs'!Y87=-9999,'Summary, hourly ad costs'!Y87=0), ".", 'Predicted PPIs'!DB86*('Summary, hourly ad costs'!I87/'Summary, hourly ad costs'!Y87)/('Summary, hourly ad costs'!I86/'Summary, hourly ad costs'!Y86)/(1-CL86)), 'Summary, PPI''s'!Y87))</f>
        <v>5.501287899049065</v>
      </c>
      <c r="DC87" s="5" t="str">
        <f>IF(DC86=".", ".", IF('Summary, PPI''s'!Z87=".",IF(OR('Summary, hourly ad costs'!Z87=-9999,'Summary, hourly ad costs'!Z87=0), ".", 'Predicted PPIs'!DC86*('Summary, hourly ad costs'!J87/'Summary, hourly ad costs'!Z87)/('Summary, hourly ad costs'!J86/'Summary, hourly ad costs'!Z86)/(1-CM86)), 'Summary, PPI''s'!Z87))</f>
        <v>.</v>
      </c>
      <c r="DD87" s="5" t="str">
        <f>IF(DD86=".", ".", IF('Summary, PPI''s'!AA87=".",IF(OR('Summary, hourly ad costs'!AA87=-9999,'Summary, hourly ad costs'!AA87=0), ".", 'Predicted PPIs'!DD86*('Summary, hourly ad costs'!K87/'Summary, hourly ad costs'!AA87)/('Summary, hourly ad costs'!K86/'Summary, hourly ad costs'!AA86)/(1-CN86)), 'Summary, PPI''s'!AA87))</f>
        <v>.</v>
      </c>
      <c r="DE87" s="5" t="str">
        <f>IF(DE86=".", ".", IF('Summary, PPI''s'!AB87=".",IF(OR('Summary, hourly ad costs'!AB87=-9999,'Summary, hourly ad costs'!AB87=0), ".", 'Predicted PPIs'!DE86*('Summary, hourly ad costs'!L87/'Summary, hourly ad costs'!AB87)/('Summary, hourly ad costs'!L86/'Summary, hourly ad costs'!AB86)/(1-CO86)), 'Summary, PPI''s'!AB87))</f>
        <v>.</v>
      </c>
      <c r="DF87" s="5" t="str">
        <f>IF(DF86=".", ".", IF('Summary, PPI''s'!AC87=".",IF(OR('Summary, hourly ad costs'!AC87=-9999,'Summary, hourly ad costs'!AC87=0), ".", 'Predicted PPIs'!DF86*('Summary, hourly ad costs'!M87/'Summary, hourly ad costs'!AC87)/('Summary, hourly ad costs'!M86/'Summary, hourly ad costs'!AC86)/(1-CP86)), 'Summary, PPI''s'!AC87))</f>
        <v>.</v>
      </c>
      <c r="DG87" s="5" t="str">
        <f>IF(DG86=".", ".", IF('Summary, PPI''s'!AD87=".",IF(OR('Summary, hourly ad costs'!AD87=-9999,'Summary, hourly ad costs'!AD87=0), ".", 'Predicted PPIs'!DG86*('Summary, hourly ad costs'!N87/'Summary, hourly ad costs'!AD87)/('Summary, hourly ad costs'!N86/'Summary, hourly ad costs'!AD86)/(1-CQ86)), 'Summary, PPI''s'!AD87))</f>
        <v>.</v>
      </c>
      <c r="DH87" s="5" t="str">
        <f>IF(DH86=".", ".", IF('Summary, PPI''s'!AE87=".",IF(OR('Summary, hourly ad costs'!AE87=-9999,'Summary, hourly ad costs'!AE87=0), ".", 'Predicted PPIs'!DH86*('Summary, hourly ad costs'!O87/'Summary, hourly ad costs'!AE87)/('Summary, hourly ad costs'!O86/'Summary, hourly ad costs'!AE86)/(1-CR86)), 'Summary, PPI''s'!AE87))</f>
        <v>.</v>
      </c>
      <c r="DI87" s="5" t="str">
        <f>IF(DI86=".", ".", IF('Summary, PPI''s'!AF87=".",IF(OR('Summary, hourly ad costs'!AF87=-9999,'Summary, hourly ad costs'!AF87=0), ".", 'Predicted PPIs'!DI86*('Summary, hourly ad costs'!P87/'Summary, hourly ad costs'!AF87)/('Summary, hourly ad costs'!P86/'Summary, hourly ad costs'!AF86)/(1-CS86)), 'Summary, PPI''s'!AF87))</f>
        <v>.</v>
      </c>
      <c r="DK87" s="4">
        <v>2.1930000000000001</v>
      </c>
      <c r="DM87" s="5">
        <f t="shared" si="138"/>
        <v>-0.11675078551601226</v>
      </c>
      <c r="DN87" s="4">
        <f t="shared" si="139"/>
        <v>-3.8715442853926516E-2</v>
      </c>
      <c r="DO87" s="4">
        <f t="shared" si="181"/>
        <v>-2.2165682456897592E-2</v>
      </c>
      <c r="DP87" s="5">
        <f t="shared" si="140"/>
        <v>-5.7099061838892351E-2</v>
      </c>
      <c r="DQ87" s="5">
        <f t="shared" si="141"/>
        <v>-9.5558607875187662E-2</v>
      </c>
      <c r="DR87" s="4">
        <f t="shared" si="146"/>
        <v>2.3340041042536099E-3</v>
      </c>
      <c r="DS87" s="5">
        <f t="shared" si="169"/>
        <v>0.15477430777653445</v>
      </c>
      <c r="DT87" s="5">
        <f t="shared" si="170"/>
        <v>-0.16508579090717812</v>
      </c>
      <c r="DU87" s="4">
        <f t="shared" si="171"/>
        <v>8.3950572121849268E-3</v>
      </c>
      <c r="DV87" s="4">
        <f t="shared" si="131"/>
        <v>-2.8200290050857699E-3</v>
      </c>
      <c r="DW87" s="4">
        <f t="shared" si="133"/>
        <v>-0.30353988582322783</v>
      </c>
      <c r="DX87" s="4">
        <f t="shared" si="133"/>
        <v>0.38727007721221385</v>
      </c>
      <c r="DY87" s="4">
        <f t="shared" si="108"/>
        <v>-7.5196531240662497E-3</v>
      </c>
      <c r="DZ87" s="4">
        <f t="shared" si="132"/>
        <v>1.1495071914648103E-6</v>
      </c>
      <c r="EA87" s="4">
        <f t="shared" si="109"/>
        <v>-4.0848879280130177E-3</v>
      </c>
      <c r="EC87" s="1">
        <f t="shared" si="154"/>
        <v>22.918758952136994</v>
      </c>
      <c r="ED87" s="1">
        <f t="shared" si="155"/>
        <v>3.656196491431293</v>
      </c>
      <c r="EE87" s="1">
        <f t="shared" si="156"/>
        <v>2.1252579594889283</v>
      </c>
      <c r="EF87" s="1">
        <f t="shared" si="157"/>
        <v>2.6170911987653995</v>
      </c>
      <c r="EG87" s="1">
        <f t="shared" si="158"/>
        <v>4.9691473537474193</v>
      </c>
      <c r="EH87" s="1">
        <f t="shared" si="159"/>
        <v>2.3459826983536809</v>
      </c>
      <c r="EI87" s="1">
        <f t="shared" si="160"/>
        <v>2.4175383398020851</v>
      </c>
      <c r="EJ87" s="1">
        <f t="shared" si="161"/>
        <v>5.501287899049065</v>
      </c>
      <c r="EK87" s="1">
        <f t="shared" si="162"/>
        <v>8.1771758997015009</v>
      </c>
      <c r="EL87" s="1">
        <f t="shared" si="163"/>
        <v>1.7864801127408052</v>
      </c>
      <c r="EM87" s="1">
        <f t="shared" si="164"/>
        <v>0.12441788276503073</v>
      </c>
      <c r="EN87" s="1">
        <f t="shared" si="165"/>
        <v>3.3295447842194315</v>
      </c>
      <c r="EO87" s="1">
        <f t="shared" si="166"/>
        <v>1.4751101795914729</v>
      </c>
      <c r="EP87" s="1">
        <f t="shared" si="167"/>
        <v>2.3257009712539425</v>
      </c>
      <c r="EQ87" s="1">
        <f t="shared" si="168"/>
        <v>1.7991482276589215</v>
      </c>
      <c r="ES87" s="1">
        <f>IF(EF$26=".", 0, 'Summary, PPI''s'!E87)+IF(EG$26=".", 0, 'Summary, PPI''s'!F87)+IF(EH$26=".", 0, 'Summary, PPI''s'!G87)+IF(EI$26=".", 0, 'Summary, PPI''s'!H87)+IF(EJ$26=".", 0, 'Summary, PPI''s'!I87)+IF(EK$26=".", 0, 'Summary, PPI''s'!J87)+IF(EL$26=".", 0, 'Summary, PPI''s'!K87)+IF(EM$26=".", 0, 'Summary, PPI''s'!L87)+IF(EN$26=".", 0, 'Summary, PPI''s'!M87)+IF(EC$26=".", 0, 'Summary, PPI''s'!B87)+IF(ED$26=".", 0, 'Summary, PPI''s'!C87)+IF(EE$26=".", 0, 'Summary, PPI''s'!D87)+IF(EO$26=".", 0, 'Summary, PPI''s'!N87)+IF(EP$26=".", 0, 'Summary, PPI''s'!O87)+IF(EQ$26=".", 0, 'Summary, PPI''s'!P87)</f>
        <v>1845586.7185625641</v>
      </c>
      <c r="ET87" s="1">
        <f>'Summary, hourly ad costs'!E87+'Summary, hourly ad costs'!F87+'Summary, hourly ad costs'!H87+'Summary, hourly ad costs'!I87+'Summary, hourly ad costs'!J87+'Summary, hourly ad costs'!K87+'Summary, hourly ad costs'!L87+'Summary, hourly ad costs'!M87+'Summary, hourly ad costs'!B87</f>
        <v>1219968.6021077924</v>
      </c>
      <c r="EV87" s="13">
        <f>EV86*IF(EF$26=".", 1, (EF87/EF86)^(('Summary, PPI''s'!$E87+'Summary, PPI''s'!$E86)/('Predicted PPIs'!ES87+'Predicted PPIs'!ES86)))*IF(EG$26=".", 1, (EG87/EG86)^(('Summary, PPI''s'!$F87+'Summary, PPI''s'!$F86)/('Predicted PPIs'!ES87+'Predicted PPIs'!ES86)))*IF(EH$26=".", 1, (EH87/EH86)^(('Summary, PPI''s'!$G87+'Summary, PPI''s'!$G86)/('Predicted PPIs'!ES87+'Predicted PPIs'!ES86)))*IF(EI$26=".", 1, (EI87/EI86)^(('Summary, PPI''s'!$H87+'Summary, PPI''s'!$H86)/('Predicted PPIs'!ES87+'Predicted PPIs'!ES86)))*IF(EJ$26=".", 1, (EJ87/EJ86)^(('Summary, PPI''s'!$I87+'Summary, PPI''s'!$I86)/('Predicted PPIs'!ES87+'Predicted PPIs'!ES86)))*IF(EK$26=".", 1, (EK87/EK86)^(('Summary, PPI''s'!$J87+'Summary, PPI''s'!$J86)/('Predicted PPIs'!ES87+'Predicted PPIs'!ES86)))*IF(EL$26=".", 1, (EL87/EL86)^(('Summary, PPI''s'!$K87+'Summary, PPI''s'!$K86)/('Predicted PPIs'!ES87+'Predicted PPIs'!ES86)))*IF(EM$26=".", 1, (EM87/EM86)^(('Summary, PPI''s'!$L87+'Summary, PPI''s'!$L86)/('Predicted PPIs'!ES87+'Predicted PPIs'!ES86)))*IF(EN$26=".", 1, (EN87/EN86)^(('Summary, PPI''s'!$M87+'Summary, PPI''s'!$M86)/('Predicted PPIs'!ES87+'Predicted PPIs'!ES86)))*IF(EC$26=".", 1, (EC87/EC86)^(('Summary, PPI''s'!$B87+'Summary, PPI''s'!$B86)/('Predicted PPIs'!ES87+'Predicted PPIs'!ES86)))*IF(ED$26=".", 1, (ED87/ED86)^(('Summary, PPI''s'!$C87+'Summary, PPI''s'!$C86)/('Predicted PPIs'!ES87+'Predicted PPIs'!ES86)))*IF(EE$26=".", 1, (EE87/EE86)^(('Summary, PPI''s'!$D87+'Summary, PPI''s'!$D86)/('Predicted PPIs'!ES87+'Predicted PPIs'!ES86)))*IF(EO$26=".", 1, (EO87/EO86)^(('Summary, PPI''s'!$N87+'Summary, PPI''s'!$N86)/('Predicted PPIs'!ES87+'Predicted PPIs'!ES86)))*IF(EP$26=".", 1, (EP87/EP86)^(('Summary, PPI''s'!$O87+'Summary, PPI''s'!$O86)/('Predicted PPIs'!ES87+'Predicted PPIs'!ES86)))*IF(EQ$26=".", 1, (EQ87/EQ86)^(('Summary, PPI''s'!$P87+'Summary, PPI''s'!$P86)/('Predicted PPIs'!ES87+'Predicted PPIs'!ES86)))</f>
        <v>4.0116792869649656</v>
      </c>
      <c r="EW87" s="13">
        <f>EW86*IF(EF$26=".", 1, (EF87/EF86)^(('Summary, PPI''s'!$E87+'Summary, PPI''s'!$E86)/('Predicted PPIs'!ET87+'Predicted PPIs'!ET86)))*IF(EG$26=".", 1, (EG87/EG86)^(('Summary, PPI''s'!$F87+'Summary, PPI''s'!$F86)/('Predicted PPIs'!ET87+'Predicted PPIs'!ET86)))*IF(EH$26=".", 1, (EH87/EH86)^(('Summary, PPI''s'!$G87+'Summary, PPI''s'!$G86)/('Predicted PPIs'!ET87+'Predicted PPIs'!ET86)))*IF(EK$26=".", 1, (EK87/EK86)^(('Summary, PPI''s'!$J87+'Summary, PPI''s'!$J86)/('Predicted PPIs'!ET87+'Predicted PPIs'!ET86)))*IF(EL$26=".", 1, (EL87/EL86)^(('Summary, PPI''s'!$K87+'Summary, PPI''s'!$K86)/('Predicted PPIs'!ET87+'Predicted PPIs'!ET86)))*IF(EM$26=".", 1, (EM87/EM86)^(('Summary, PPI''s'!$L87+'Summary, PPI''s'!$L86)/('Predicted PPIs'!ET87+'Predicted PPIs'!ET86)))*IF(EN$26=".", 1, (EN87/EN86)^(('Summary, PPI''s'!$M87+'Summary, PPI''s'!$M86)/('Predicted PPIs'!ET87+'Predicted PPIs'!ET86)))*IF(EC$26=".", 1, (EC87/EC86)^(('Summary, PPI''s'!$B87+'Summary, PPI''s'!$B86)/('Predicted PPIs'!ET87+'Predicted PPIs'!ET86)))</f>
        <v>7.2021453684165619</v>
      </c>
      <c r="EY87" s="2"/>
    </row>
    <row r="88" spans="1:155" x14ac:dyDescent="0.3">
      <c r="A88" s="4">
        <v>1935</v>
      </c>
      <c r="B88" s="10">
        <f>IF(B87=".", ".", IF('Summary, PPI''s'!R88=".",IF(OR('Summary, hourly ad costs'!R88=-9999,'Summary, hourly ad costs'!R88=0), ".", 'Predicted PPIs'!B87*('Summary, hourly ad costs'!B88/'Summary, hourly ad costs'!R88)/('Summary, hourly ad costs'!B87/'Summary, hourly ad costs'!R87)), 'Summary, PPI''s'!R88))</f>
        <v>29.338157766812376</v>
      </c>
      <c r="C88" s="10" t="str">
        <f>IF(C87=".", ".", IF('Summary, PPI''s'!S88=".",IF(OR('Summary, hourly ad costs'!S88=-9999,'Summary, hourly ad costs'!S88=0), ".", 'Predicted PPIs'!C87*('Summary, hourly ad costs'!C88/'Summary, hourly ad costs'!S88)/('Summary, hourly ad costs'!C87/'Summary, hourly ad costs'!S87)), 'Summary, PPI''s'!S88))</f>
        <v>.</v>
      </c>
      <c r="D88" s="10" t="str">
        <f>IF(D87=".", ".", IF('Summary, PPI''s'!T88=".",IF(OR('Summary, hourly ad costs'!T88=-9999,'Summary, hourly ad costs'!T88=0), ".", 'Predicted PPIs'!D87*('Summary, hourly ad costs'!D88/'Summary, hourly ad costs'!T88)/('Summary, hourly ad costs'!D87/'Summary, hourly ad costs'!T87)), 'Summary, PPI''s'!T88))</f>
        <v>.</v>
      </c>
      <c r="E88" s="10">
        <f>IF(E87=".", ".", IF('Summary, PPI''s'!U88=".",IF(OR('Summary, hourly ad costs'!U88=-9999,'Summary, hourly ad costs'!U88=0), ".", 'Predicted PPIs'!E87*('Summary, hourly ad costs'!E88/'Summary, hourly ad costs'!U88)/('Summary, hourly ad costs'!E87/'Summary, hourly ad costs'!U87)), 'Summary, PPI''s'!U88))</f>
        <v>1.7443578472922932</v>
      </c>
      <c r="F88" s="10">
        <f>IF(F87=".", ".", IF('Summary, PPI''s'!V88=".",IF(OR('Summary, hourly ad costs'!V88=-9999,'Summary, hourly ad costs'!V88=0), ".", 'Predicted PPIs'!F87*('Summary, hourly ad costs'!F88/'Summary, hourly ad costs'!V88)/('Summary, hourly ad costs'!F87/'Summary, hourly ad costs'!V87)), 'Summary, PPI''s'!V88))</f>
        <v>3.0746494203260495</v>
      </c>
      <c r="G88" s="10" t="str">
        <f>IF(G87=".", ".", IF('Summary, PPI''s'!W88=".",IF(OR('Summary, hourly ad costs'!W88=-9999,'Summary, hourly ad costs'!W88=0), ".", 'Predicted PPIs'!G87*('Summary, hourly ad costs'!G88/'Summary, hourly ad costs'!W88)/('Summary, hourly ad costs'!G87/'Summary, hourly ad costs'!W87)), 'Summary, PPI''s'!W88))</f>
        <v>.</v>
      </c>
      <c r="H88" s="10">
        <f>IF(H87=".", ".", IF('Summary, PPI''s'!X88=".",IF(OR('Summary, hourly ad costs'!X88=-9999,'Summary, hourly ad costs'!X88=0), ".", 'Predicted PPIs'!H87*('Summary, hourly ad costs'!H88/'Summary, hourly ad costs'!X88)/('Summary, hourly ad costs'!H87/'Summary, hourly ad costs'!X87)), 'Summary, PPI''s'!X88))</f>
        <v>1.8963446332922935</v>
      </c>
      <c r="I88" s="10">
        <f>IF(I87=".", ".", IF('Summary, PPI''s'!Y88=".",IF(OR('Summary, hourly ad costs'!Y88=-9999,'Summary, hourly ad costs'!Y88=0), ".", 'Predicted PPIs'!I87*('Summary, hourly ad costs'!I88/'Summary, hourly ad costs'!Y88)/('Summary, hourly ad costs'!I87/'Summary, hourly ad costs'!Y87)), 'Summary, PPI''s'!Y88))</f>
        <v>3.9477523819361435</v>
      </c>
      <c r="J88" s="10" t="str">
        <f>IF(J87=".", ".", IF('Summary, PPI''s'!Z88=".",IF(OR('Summary, hourly ad costs'!Z88=-9999,'Summary, hourly ad costs'!Z88=0), ".", 'Predicted PPIs'!J87*('Summary, hourly ad costs'!J88/'Summary, hourly ad costs'!Z88)/('Summary, hourly ad costs'!J87/'Summary, hourly ad costs'!Z87)), 'Summary, PPI''s'!Z88))</f>
        <v>.</v>
      </c>
      <c r="K88" s="10" t="str">
        <f>IF(K87=".", ".", IF('Summary, PPI''s'!AA88=".",IF(OR('Summary, hourly ad costs'!AA88=-9999,'Summary, hourly ad costs'!AA88=0), ".", 'Predicted PPIs'!K87*('Summary, hourly ad costs'!K88/'Summary, hourly ad costs'!AA88)/('Summary, hourly ad costs'!K87/'Summary, hourly ad costs'!AA87)), 'Summary, PPI''s'!AA88))</f>
        <v>.</v>
      </c>
      <c r="L88" s="10" t="str">
        <f>IF(L87=".", ".", IF('Summary, PPI''s'!AB88=".",IF(OR('Summary, hourly ad costs'!AB88=-9999,'Summary, hourly ad costs'!AB88=0), ".", 'Predicted PPIs'!L87*('Summary, hourly ad costs'!L88/'Summary, hourly ad costs'!AB88)/('Summary, hourly ad costs'!L87/'Summary, hourly ad costs'!AB87)), 'Summary, PPI''s'!AB88))</f>
        <v>.</v>
      </c>
      <c r="M88" s="10" t="str">
        <f>IF(M87=".", ".", IF('Summary, PPI''s'!AC88=".",IF(OR('Summary, hourly ad costs'!AC88=-9999,'Summary, hourly ad costs'!AC88=0), ".", 'Predicted PPIs'!M87*('Summary, hourly ad costs'!M88/'Summary, hourly ad costs'!AC88)/('Summary, hourly ad costs'!M87/'Summary, hourly ad costs'!AC87)), 'Summary, PPI''s'!AC88))</f>
        <v>.</v>
      </c>
      <c r="N88" s="10" t="str">
        <f>IF(N87=".", ".", IF('Summary, PPI''s'!AD88=".",IF(OR('Summary, hourly ad costs'!AD88=-9999,'Summary, hourly ad costs'!AD88=0), ".", 'Predicted PPIs'!N87*('Summary, hourly ad costs'!N88/'Summary, hourly ad costs'!AD88)/('Summary, hourly ad costs'!N87/'Summary, hourly ad costs'!AD87)), 'Summary, PPI''s'!AD88))</f>
        <v>.</v>
      </c>
      <c r="O88" s="10" t="str">
        <f>IF(O87=".", ".", IF('Summary, PPI''s'!AE88=".",IF(OR('Summary, hourly ad costs'!AE88=-9999,'Summary, hourly ad costs'!AE88=0), ".", 'Predicted PPIs'!O87*('Summary, hourly ad costs'!O88/'Summary, hourly ad costs'!AE88)/('Summary, hourly ad costs'!O87/'Summary, hourly ad costs'!AE87)), 'Summary, PPI''s'!AE88))</f>
        <v>.</v>
      </c>
      <c r="P88" s="10" t="str">
        <f>IF(P87=".", ".", IF('Summary, PPI''s'!AF88=".",IF(OR('Summary, hourly ad costs'!AF88=-9999,'Summary, hourly ad costs'!AF88=0), ".", 'Predicted PPIs'!P87*('Summary, hourly ad costs'!P88/'Summary, hourly ad costs'!AF88)/('Summary, hourly ad costs'!P87/'Summary, hourly ad costs'!AF87)), 'Summary, PPI''s'!AF88))</f>
        <v>.</v>
      </c>
      <c r="R88" s="1">
        <f>IF(E$26=".", 0, 'Summary, PPI''s'!E88)+IF(F$26=".", 0, 'Summary, PPI''s'!F88)+IF(G$26=".", 0, 'Summary, PPI''s'!G88)+IF(H$26=".", 0, 'Summary, PPI''s'!H88)+IF(I$26=".", 0, 'Summary, PPI''s'!I88)+IF(J$26=".", 0, 'Summary, PPI''s'!J88)+IF(K$26=".", 0, 'Summary, PPI''s'!K88)+IF(L$26=".", 0, 'Summary, PPI''s'!L88)+IF(M$26=".", 0, 'Summary, PPI''s'!M88)+IF(B$26=".", 0, 'Summary, PPI''s'!B88)+IF(C$26=".", 0, 'Summary, PPI''s'!C88)+IF(D$26=".", 0, 'Summary, PPI''s'!D88)+IF(N$26=".", 0, 'Summary, PPI''s'!N88)+IF(O$26=".", 0, 'Summary, PPI''s'!O88)+IF(P$26=".", 0, 'Summary, PPI''s'!P88)</f>
        <v>1631864.0247838669</v>
      </c>
      <c r="S88" s="1">
        <f>IF(E$36=".", 0, 'Summary, PPI''s'!E88)+IF(F$36=".", 0, 'Summary, PPI''s'!F88)+IF(G$36=".", 0, 'Summary, PPI''s'!G88)+IF(H$36=".", 0, 'Summary, PPI''s'!H88)+IF(I$36=".", 0, 'Summary, PPI''s'!I88)+IF(J$36=".", 0, 'Summary, PPI''s'!J88)+IF(K$36=".", 0, 'Summary, PPI''s'!K88)+IF(L$36=".", 0, 'Summary, PPI''s'!L88)+IF(M$36=".", 0, 'Summary, PPI''s'!M88)+IF(B$36=".", 0, 'Summary, PPI''s'!B88)+IF(C$36=".", 0, 'Summary, PPI''s'!C88)+IF(D$36=".", 0, 'Summary, PPI''s'!D88)+IF(N$36=".", 0, 'Summary, PPI''s'!N88)+IF(O$36=".", 0, 'Summary, PPI''s'!O88)+IF(P$36=".", 0, 'Summary, PPI''s'!P88)</f>
        <v>1631864.0247838669</v>
      </c>
      <c r="T88" s="1">
        <f>IF(E$46=".", 0, 'Summary, PPI''s'!E88)+IF(F$46=".", 0, 'Summary, PPI''s'!F88)+IF(G$46=".", 0, 'Summary, PPI''s'!G88)+IF(H$46=".", 0, 'Summary, PPI''s'!H88)+IF(I$46=".", 0, 'Summary, PPI''s'!I88)+IF(J$46=".", 0, 'Summary, PPI''s'!J88)+IF(K$46=".", 0, 'Summary, PPI''s'!K88)+IF(L$46=".", 0, 'Summary, PPI''s'!L88)+IF(M$46=".", 0, 'Summary, PPI''s'!M88)+IF(B$46=".", 0, 'Summary, PPI''s'!B88)+IF(C$46=".", 0, 'Summary, PPI''s'!C88)+IF(D$46=".", 0, 'Summary, PPI''s'!D88)+IF(N$46=".", 0, 'Summary, PPI''s'!N88)+IF(O$46=".", 0, 'Summary, PPI''s'!O88)+IF(P$46=".", 0, 'Summary, PPI''s'!P88)</f>
        <v>1382988.0351241473</v>
      </c>
      <c r="U88" s="1">
        <f>IF(E$60=".", 0, 'Summary, PPI''s'!E88)+IF(F$60=".", 0, 'Summary, PPI''s'!F88)+IF(G$60=".", 0, 'Summary, PPI''s'!G88)+IF(H$60=".", 0, 'Summary, PPI''s'!H88)+IF(I$60=".", 0, 'Summary, PPI''s'!I88)+IF(J$60=".", 0, 'Summary, PPI''s'!J88)+IF(K$60=".", 0, 'Summary, PPI''s'!K88)+IF(L$60=".", 0, 'Summary, PPI''s'!L88)+IF(M$60=".", 0, 'Summary, PPI''s'!M88)+IF(B$60=".", 0, 'Summary, PPI''s'!B88)+IF(C$60=".", 0, 'Summary, PPI''s'!C88)+IF(D$60=".", 0, 'Summary, PPI''s'!D88)+IF(N$60=".", 0, 'Summary, PPI''s'!N88)+IF(O$60=".", 0, 'Summary, PPI''s'!O88)+IF(P$60=".", 0, 'Summary, PPI''s'!P88)</f>
        <v>1279858.449008699</v>
      </c>
      <c r="V88" s="1">
        <f>IF(E$73=".", 0, 'Summary, PPI''s'!E88)+IF(F$73=".", 0, 'Summary, PPI''s'!F88)+IF(G$73=".", 0, 'Summary, PPI''s'!G88)+IF(H$73=".", 0, 'Summary, PPI''s'!H88)+IF(I$73=".", 0, 'Summary, PPI''s'!I88)+IF(J$73=".", 0, 'Summary, PPI''s'!J88)+IF(K$73=".", 0, 'Summary, PPI''s'!K88)+IF(L$73=".", 0, 'Summary, PPI''s'!L88)+IF(M$73=".", 0, 'Summary, PPI''s'!M88)+IF(B$73=".", 0, 'Summary, PPI''s'!B88)+IF(C$73=".", 0, 'Summary, PPI''s'!C88)+IF(D$73=".", 0, 'Summary, PPI''s'!D88)+IF(N$73=".", 0, 'Summary, PPI''s'!N88)+IF(O$73=".", 0, 'Summary, PPI''s'!O88)+IF(P$73=".", 0, 'Summary, PPI''s'!P88)</f>
        <v>1087216.0380649976</v>
      </c>
      <c r="W88" s="1">
        <f>IF(E$94=".",0,'Summary, PPI''s'!E88)+IF(F$94=".",0,'Summary, PPI''s'!F88)+IF(G$94=".",0,'Summary, PPI''s'!G88)+IF(H$94=".",0,'Summary, PPI''s'!H88)+IF(I$94=".",0,'Summary, PPI''s'!I88)+IF(J$94=".",0,'Summary, PPI''s'!J88)+IF(K$94=".",0,'Summary, PPI''s'!K88)+IF(L$94=".",0,'Summary, PPI''s'!L88)+IF(M$94=".",0,'Summary, PPI''s'!M88)+IF(B$94=".",0,'Summary, PPI''s'!B88)+IF(C$94=".",0,'Summary, PPI''s'!C88)+IF(D$94=".",0,'Summary, PPI''s'!D88)+IF(N$94=".",0,'Summary, PPI''s'!N88)+IF(O$94=".",0,'Summary, PPI''s'!O88)+IF(P$94=".",0,'Summary, PPI''s'!P88)</f>
        <v>1087216.0380649976</v>
      </c>
      <c r="X88" s="1">
        <f>IF(E$123=".", 0, 'Summary, PPI''s'!E88)+IF(F$123=".", 0, 'Summary, PPI''s'!F88)+IF(G$123=".", 0, 'Summary, PPI''s'!G88)+IF(H$123=".", 0, 'Summary, PPI''s'!H88)+IF(I$123=".", 0, 'Summary, PPI''s'!I88)+IF(J$123=".", 0, 'Summary, PPI''s'!J88)+IF(K$123=".", 0, 'Summary, PPI''s'!K88)+IF(L$123=".", 0, 'Summary, PPI''s'!L88)+IF(M$123=".", 0, 'Summary, PPI''s'!M88)+IF(B$123=".", 0, 'Summary, PPI''s'!B88)+IF(C$123=".", 0, 'Summary, PPI''s'!C88)+IF(D$123=".", 0, 'Summary, PPI''s'!D88)+IF(N$123=".", 0, 'Summary, PPI''s'!N88)+IF(O$123=".", 0, 'Summary, PPI''s'!O88)+IF(P$123=".", 0, 'Summary, PPI''s'!P88)</f>
        <v>992504.126088463</v>
      </c>
      <c r="Z88" s="4" t="e">
        <f>Z87*IF(E$26=".", 1, (E88/E87)^(('Summary, PPI''s'!$E88+'Summary, PPI''s'!$E87)/('Predicted PPIs'!R88+'Predicted PPIs'!R87)))*IF(F$26=".", 1, (F88/F87)^(('Summary, PPI''s'!$F88+'Summary, PPI''s'!$F87)/('Predicted PPIs'!R88+'Predicted PPIs'!R87)))*IF(G$26=".", 1, (G88/G87)^(('Summary, PPI''s'!$G88+'Summary, PPI''s'!$G87)/('Predicted PPIs'!R88+'Predicted PPIs'!R87)))*IF(H$26=".", 1, (H88/H87)^(('Summary, PPI''s'!$H88+'Summary, PPI''s'!$H87)/('Predicted PPIs'!R88+'Predicted PPIs'!R87)))*IF(I$26=".", 1, (I88/I87)^(('Summary, PPI''s'!$I88+'Summary, PPI''s'!$I87)/('Predicted PPIs'!R88+'Predicted PPIs'!R87)))*IF(J$26=".", 1, (J88/J87)^(('Summary, PPI''s'!$J88+'Summary, PPI''s'!$J87)/('Predicted PPIs'!R88+'Predicted PPIs'!R87)))*IF(K$26=".", 1, (K88/K87)^(('Summary, PPI''s'!$K88+'Summary, PPI''s'!$K87)/('Predicted PPIs'!R88+'Predicted PPIs'!R87)))*IF(L$26=".", 1, (L88/L87)^(('Summary, PPI''s'!$L88+'Summary, PPI''s'!$L87)/('Predicted PPIs'!R88+'Predicted PPIs'!R87)))*IF(M$26=".", 1, (M88/M87)^(('Summary, PPI''s'!$M88+'Summary, PPI''s'!$M87)/('Predicted PPIs'!R88+'Predicted PPIs'!R87)))*IF(B$26=".", 1, (B88/B87)^(('Summary, PPI''s'!$B88+'Summary, PPI''s'!$B87)/('Predicted PPIs'!R88+'Predicted PPIs'!R87)))*IF(C$26=".", 1, (C88/C87)^(('Summary, PPI''s'!$C88+'Summary, PPI''s'!$C87)/('Predicted PPIs'!R88+'Predicted PPIs'!R87)))*IF(D$26=".", 1, (D88/D87)^(('Summary, PPI''s'!$D88+'Summary, PPI''s'!$D87)/('Predicted PPIs'!R88+'Predicted PPIs'!R87)))*IF(N$26=".", 1, (N88/N87)^(('Summary, PPI''s'!$N88+'Summary, PPI''s'!$N87)/('Predicted PPIs'!R88+'Predicted PPIs'!R87)))*IF(O$26=".", 1, (O88/O87)^(('Summary, PPI''s'!$O88+'Summary, PPI''s'!$O87)/('Predicted PPIs'!R88+'Predicted PPIs'!R87)))*IF(P$26=".", 1, (P88/P87)^(('Summary, PPI''s'!$P88+'Summary, PPI''s'!$P87)/('Predicted PPIs'!R88+'Predicted PPIs'!R87)))</f>
        <v>#VALUE!</v>
      </c>
      <c r="AA88" s="4" t="e">
        <f>AA87*IF(E$36=".", 1, (E88/E87)^(('Summary, PPI''s'!$E88+'Summary, PPI''s'!$E87)/('Predicted PPIs'!S88+'Predicted PPIs'!S87)))*IF(F$36=".", 1, (F88/F87)^(('Summary, PPI''s'!$F88+'Summary, PPI''s'!$F87)/('Predicted PPIs'!S88+'Predicted PPIs'!S87)))*IF(G$36=".", 1, (G88/G87)^(('Summary, PPI''s'!$G88+'Summary, PPI''s'!$G87)/('Predicted PPIs'!S88+'Predicted PPIs'!S87)))*IF(H$36=".", 1, (H88/H87)^(('Summary, PPI''s'!$H88+'Summary, PPI''s'!$H87)/('Predicted PPIs'!S88+'Predicted PPIs'!S87)))*IF(I$36=".", 1, (I88/I87)^(('Summary, PPI''s'!$I88+'Summary, PPI''s'!$I87)/('Predicted PPIs'!S88+'Predicted PPIs'!S87)))*IF(J$36=".", 1, (J88/J87)^(('Summary, PPI''s'!$J88+'Summary, PPI''s'!$J87)/('Predicted PPIs'!S88+'Predicted PPIs'!S87)))*IF(K$36=".", 1, (K88/K87)^(('Summary, PPI''s'!$K88+'Summary, PPI''s'!$K87)/('Predicted PPIs'!S88+'Predicted PPIs'!S87)))*IF(L$36=".", 1, (L88/L87)^(('Summary, PPI''s'!$L88+'Summary, PPI''s'!$L87)/('Predicted PPIs'!S88+'Predicted PPIs'!S87)))*IF(M$36=".", 1, (M88/M87)^(('Summary, PPI''s'!$M88+'Summary, PPI''s'!$M87)/('Predicted PPIs'!S88+'Predicted PPIs'!S87)))*IF(B$36=".", 1, (B88/B87)^(('Summary, PPI''s'!$B88+'Summary, PPI''s'!$B87)/('Predicted PPIs'!S88+'Predicted PPIs'!S87)))*IF(C$36=".", 1, (C88/C87)^(('Summary, PPI''s'!$C88+'Summary, PPI''s'!$C87)/('Predicted PPIs'!S88+'Predicted PPIs'!S87)))*IF(D$36=".", 1, (D88/D87)^(('Summary, PPI''s'!$D88+'Summary, PPI''s'!$D87)/('Predicted PPIs'!S88+'Predicted PPIs'!S87)))*IF(N$36=".", 1, (N88/N87)^(('Summary, PPI''s'!$N88+'Summary, PPI''s'!$N87)/('Predicted PPIs'!S88+'Predicted PPIs'!S87)))*IF(O$36=".", 1, (O88/O87)^(('Summary, PPI''s'!$O88+'Summary, PPI''s'!$O87)/('Predicted PPIs'!S88+'Predicted PPIs'!S87)))*IF(P$36=".", 1, (P88/P87)^(('Summary, PPI''s'!$P88+'Summary, PPI''s'!$P87)/('Predicted PPIs'!S88+'Predicted PPIs'!S87)))</f>
        <v>#VALUE!</v>
      </c>
      <c r="AB88" s="4" t="e">
        <f>AB87*IF(E$46=".", 1, (E88/E87)^(('Summary, PPI''s'!$E88+'Summary, PPI''s'!$E87)/('Predicted PPIs'!T88+'Predicted PPIs'!T87)))*IF(F$46=".", 1, (F88/F87)^(('Summary, PPI''s'!$F88+'Summary, PPI''s'!$F87)/('Predicted PPIs'!T88+'Predicted PPIs'!T87)))*IF(G$46=".", 1, (G88/G87)^(('Summary, PPI''s'!$G88+'Summary, PPI''s'!$G87)/('Predicted PPIs'!T88+'Predicted PPIs'!T87)))*IF(H$46=".", 1, (H88/H87)^(('Summary, PPI''s'!$H88+'Summary, PPI''s'!$H87)/('Predicted PPIs'!T88+'Predicted PPIs'!T87)))*IF(I$46=".", 1, (I88/I87)^(('Summary, PPI''s'!$I88+'Summary, PPI''s'!$I87)/('Predicted PPIs'!T88+'Predicted PPIs'!T87)))*IF(J$46=".", 1, (J88/J87)^(('Summary, PPI''s'!$J88+'Summary, PPI''s'!$J87)/('Predicted PPIs'!T88+'Predicted PPIs'!T87)))*IF(K$46=".", 1, (K88/K87)^(('Summary, PPI''s'!$K88+'Summary, PPI''s'!$K87)/('Predicted PPIs'!T88+'Predicted PPIs'!T87)))*IF(L$46=".", 1, (L88/L87)^(('Summary, PPI''s'!$L88+'Summary, PPI''s'!$L87)/('Predicted PPIs'!T88+'Predicted PPIs'!T87)))*IF(M$46=".", 1, (M88/M87)^(('Summary, PPI''s'!$M88+'Summary, PPI''s'!$M87)/('Predicted PPIs'!T88+'Predicted PPIs'!T87)))*IF(B$46=".", 1, (B88/B87)^(('Summary, PPI''s'!$B88+'Summary, PPI''s'!$B87)/('Predicted PPIs'!T88+'Predicted PPIs'!T87)))*IF(C$46=".", 1, (C88/C87)^(('Summary, PPI''s'!$C88+'Summary, PPI''s'!$C87)/('Predicted PPIs'!T88+'Predicted PPIs'!T87)))*IF(D$46=".", 1, (D88/D87)^(('Summary, PPI''s'!$D88+'Summary, PPI''s'!$D87)/('Predicted PPIs'!T88+'Predicted PPIs'!T87)))*IF(N$46=".", 1, (N88/N87)^(('Summary, PPI''s'!$N88+'Summary, PPI''s'!$N87)/('Predicted PPIs'!T88+'Predicted PPIs'!T87)))*IF(O$46=".", 1, (O88/O87)^(('Summary, PPI''s'!$O88+'Summary, PPI''s'!$O87)/('Predicted PPIs'!T88+'Predicted PPIs'!T87)))*IF(P$46=".", 1, (P88/P87)^(('Summary, PPI''s'!$P88+'Summary, PPI''s'!$P87)/('Predicted PPIs'!T88+'Predicted PPIs'!T87)))</f>
        <v>#VALUE!</v>
      </c>
      <c r="AC88" s="4" t="e">
        <f>AC87*IF(E$60=".",1,(E88/E87)^(('Summary, PPI''s'!$E88+'Summary, PPI''s'!$E87)/('Predicted PPIs'!U88+'Predicted PPIs'!U87)))*IF(F$60=".",1,(F88/F87)^(('Summary, PPI''s'!$F88+'Summary, PPI''s'!$F87)/('Predicted PPIs'!U88+'Predicted PPIs'!U87)))*IF(G$60=".",1,(G88/G87)^(('Summary, PPI''s'!$G88+'Summary, PPI''s'!$G87)/('Predicted PPIs'!U88+'Predicted PPIs'!U87)))*IF(H$60=".",1,(H88/H87)^(('Summary, PPI''s'!$H88+'Summary, PPI''s'!$H87)/('Predicted PPIs'!U88+'Predicted PPIs'!U87)))*IF(I$60=".",1,(I88/I87)^(('Summary, PPI''s'!$I88+'Summary, PPI''s'!$I87)/('Predicted PPIs'!U88+'Predicted PPIs'!U87)))*IF(J$60=".",1,(J88/J87)^(('Summary, PPI''s'!$J88+'Summary, PPI''s'!$J87)/('Predicted PPIs'!U88+'Predicted PPIs'!U87)))*IF(K$60=".",1,(K88/K87)^(('Summary, PPI''s'!$K88+'Summary, PPI''s'!$K87)/('Predicted PPIs'!U88+'Predicted PPIs'!U87)))*IF(L$60=".",1,(L88/L87)^(('Summary, PPI''s'!$L88+'Summary, PPI''s'!$L87)/('Predicted PPIs'!U88+'Predicted PPIs'!U87)))*IF(M$60=".",1,(M88/M87)^(('Summary, PPI''s'!$M88+'Summary, PPI''s'!$M87)/('Predicted PPIs'!U88+'Predicted PPIs'!U87)))*IF(B$60=".",1,(B88/B87)^(('Summary, PPI''s'!$B88+'Summary, PPI''s'!$B87)/('Predicted PPIs'!U88+'Predicted PPIs'!U87)))*IF(C$60=".",1,(C88/C87)^(('Summary, PPI''s'!$C88+'Summary, PPI''s'!$C87)/('Predicted PPIs'!U88+'Predicted PPIs'!U87)))*IF(D$60=".",1,(D88/D87)^(('Summary, PPI''s'!$D88+'Summary, PPI''s'!$D87)/('Predicted PPIs'!U88+'Predicted PPIs'!U87)))*IF(N$60=".",1,(N88/N87)^(('Summary, PPI''s'!$N88+'Summary, PPI''s'!$N87)/('Predicted PPIs'!U88+'Predicted PPIs'!U87)))*IF(O$60=".",1,(O88/O87)^(('Summary, PPI''s'!$O88+'Summary, PPI''s'!$O87)/('Predicted PPIs'!U88+'Predicted PPIs'!U87)))*IF(P$60=".",1,(P88/P87)^(('Summary, PPI''s'!$P88+'Summary, PPI''s'!$P87)/('Predicted PPIs'!U88+'Predicted PPIs'!U87)))</f>
        <v>#VALUE!</v>
      </c>
      <c r="AD88" s="4" t="e">
        <f>AD87*IF(E$73=".", 1, (E88/E87)^(('Summary, PPI''s'!$E88+'Summary, PPI''s'!$E87)/('Predicted PPIs'!V88+'Predicted PPIs'!V87)))*IF(F$73=".", 1, (F88/F87)^(('Summary, PPI''s'!$F88+'Summary, PPI''s'!$F87)/('Predicted PPIs'!V88+'Predicted PPIs'!V87)))*IF(G$73=".", 1, (G88/G87)^(('Summary, PPI''s'!$G88+'Summary, PPI''s'!$G87)/('Predicted PPIs'!V88+'Predicted PPIs'!V87)))*IF(H$73=".", 1, (H88/H87)^(('Summary, PPI''s'!$H88+'Summary, PPI''s'!$H87)/('Predicted PPIs'!V88+'Predicted PPIs'!V87)))*IF(I$73=".", 1, (I88/I87)^(('Summary, PPI''s'!$I88+'Summary, PPI''s'!$I87)/('Predicted PPIs'!V88+'Predicted PPIs'!V87)))*IF(J$73=".", 1, (J88/J87)^(('Summary, PPI''s'!$J88+'Summary, PPI''s'!$J87)/('Predicted PPIs'!V88+'Predicted PPIs'!V87)))*IF(K$73=".", 1, (K88/K87)^(('Summary, PPI''s'!$K88+'Summary, PPI''s'!$K87)/('Predicted PPIs'!V88+'Predicted PPIs'!V87)))*IF(L$73=".", 1, (L88/L87)^(('Summary, PPI''s'!$L88+'Summary, PPI''s'!$L87)/('Predicted PPIs'!V88+'Predicted PPIs'!V87)))*IF(M$73=".", 1, (M88/M87)^(('Summary, PPI''s'!$M88+'Summary, PPI''s'!$M87)/('Predicted PPIs'!V88+'Predicted PPIs'!V87)))*IF(B$73=".", 1, (B88/B87)^(('Summary, PPI''s'!$B88+'Summary, PPI''s'!$B87)/('Predicted PPIs'!V88+'Predicted PPIs'!V87)))*IF(C$73=".", 1, (C88/C87)^(('Summary, PPI''s'!$C88+'Summary, PPI''s'!$C87)/('Predicted PPIs'!V88+'Predicted PPIs'!V87)))*IF(D$73=".", 1, (D88/D87)^(('Summary, PPI''s'!$D88+'Summary, PPI''s'!$D87)/('Predicted PPIs'!V88+'Predicted PPIs'!V87)))*IF(N$73=".", 1, (N88/N87)^(('Summary, PPI''s'!$N88+'Summary, PPI''s'!$N87)/('Predicted PPIs'!V88+'Predicted PPIs'!V87)))*IF(O$73=".", 1, (O88/O87)^(('Summary, PPI''s'!$O88+'Summary, PPI''s'!$O87)/('Predicted PPIs'!V88+'Predicted PPIs'!V87)))*IF(P$73=".", 1, (P88/P87)^(('Summary, PPI''s'!$P88+'Summary, PPI''s'!$P87)/('Predicted PPIs'!V88+'Predicted PPIs'!V87)))</f>
        <v>#VALUE!</v>
      </c>
      <c r="AE88" s="4">
        <f>AE87*IF(E$94=".", 1, (E88/E87)^(('Summary, PPI''s'!$E88+'Summary, PPI''s'!$E87)/('Predicted PPIs'!W88+'Predicted PPIs'!W87)))*IF(F$94=".", 1, (F88/F87)^(('Summary, PPI''s'!$F88+'Summary, PPI''s'!$F87)/('Predicted PPIs'!W88+'Predicted PPIs'!W87)))*IF(G$94=".", 1, (G88/G87)^(('Summary, PPI''s'!$G88+'Summary, PPI''s'!$G87)/('Predicted PPIs'!W88+'Predicted PPIs'!W87)))*IF(H$94=".", 1, (H88/H87)^(('Summary, PPI''s'!$H88+'Summary, PPI''s'!$H87)/('Predicted PPIs'!W88+'Predicted PPIs'!W87)))*IF(I$94=".", 1, (I88/I87)^(('Summary, PPI''s'!$I88+'Summary, PPI''s'!$I87)/('Predicted PPIs'!W88+'Predicted PPIs'!W87)))*IF(J$94=".", 1, (J88/J87)^(('Summary, PPI''s'!$J88+'Summary, PPI''s'!$J87)/('Predicted PPIs'!W88+'Predicted PPIs'!W87)))*IF(K$94=".", 1, (K88/K87)^(('Summary, PPI''s'!$K88+'Summary, PPI''s'!$K87)/('Predicted PPIs'!W88+'Predicted PPIs'!W87)))*IF(L$94=".", 1, (L88/L87)^(('Summary, PPI''s'!$L88+'Summary, PPI''s'!$L87)/('Predicted PPIs'!W88+'Predicted PPIs'!W87)))*IF(M$94=".", 1, (M88/M87)^(('Summary, PPI''s'!$M88+'Summary, PPI''s'!$M87)/('Predicted PPIs'!W88+'Predicted PPIs'!W87)))*IF(B$94=".", 1, (B88/B87)^(('Summary, PPI''s'!$B88+'Summary, PPI''s'!$B87)/('Predicted PPIs'!W88+'Predicted PPIs'!W87)))*IF(C$94=".", 1, (C88/C87)^(('Summary, PPI''s'!$C88+'Summary, PPI''s'!$C87)/('Predicted PPIs'!W88+'Predicted PPIs'!W87)))*IF(D$94=".", 1, (D88/D87)^(('Summary, PPI''s'!$D88+'Summary, PPI''s'!$D87)/('Predicted PPIs'!W88+'Predicted PPIs'!W87)))*IF(N$94=".", 1, (N88/N87)^(('Summary, PPI''s'!$N88+'Summary, PPI''s'!$N87)/('Predicted PPIs'!W88+'Predicted PPIs'!W87)))*IF(O$94=".", 1, (O88/O87)^(('Summary, PPI''s'!$O88+'Summary, PPI''s'!$O87)/('Predicted PPIs'!W88+'Predicted PPIs'!W87)))*IF(P$94=".", 1, (P88/P87)^(('Summary, PPI''s'!$P88+'Summary, PPI''s'!$P87)/('Predicted PPIs'!W88+'Predicted PPIs'!W87)))</f>
        <v>3.1907737682399131</v>
      </c>
      <c r="AF88" s="4">
        <f>AF87*IF(E$123=".", 1, (E88/E87)^(('Summary, PPI''s'!$E88+'Summary, PPI''s'!$E87)/('Predicted PPIs'!X88+'Predicted PPIs'!X87)))*IF(F$123=".", 1, (F88/F87)^(('Summary, PPI''s'!$F88+'Summary, PPI''s'!$F87)/('Predicted PPIs'!X88+'Predicted PPIs'!X87)))*IF(G$123=".", 1, (G88/G87)^(('Summary, PPI''s'!$G88+'Summary, PPI''s'!$G87)/('Predicted PPIs'!X88+'Predicted PPIs'!X87)))*IF(H$123=".", 1, (H88/H87)^(('Summary, PPI''s'!$H88+'Summary, PPI''s'!$H87)/('Predicted PPIs'!X88+'Predicted PPIs'!X87)))*IF(I$123=".", 1, (I88/I87)^(('Summary, PPI''s'!$I88+'Summary, PPI''s'!$I87)/('Predicted PPIs'!X88+'Predicted PPIs'!X87)))*IF(J$123=".", 1, (J88/J87)^(('Summary, PPI''s'!$J88+'Summary, PPI''s'!$J87)/('Predicted PPIs'!X88+'Predicted PPIs'!X87)))*IF(K$123=".", 1, (K88/K87)^(('Summary, PPI''s'!$K88+'Summary, PPI''s'!$K87)/('Predicted PPIs'!X88+'Predicted PPIs'!X87)))*IF(L$123=".", 1, (L88/L87)^(('Summary, PPI''s'!$L88+'Summary, PPI''s'!$L87)/('Predicted PPIs'!X88+'Predicted PPIs'!X87)))*IF(M$123=".", 1, (M88/M87)^(('Summary, PPI''s'!$M88+'Summary, PPI''s'!$M87)/('Predicted PPIs'!X88+'Predicted PPIs'!X87)))*IF(B$123=".", 1, (B88/B87)^(('Summary, PPI''s'!$B88+'Summary, PPI''s'!$B87)/('Predicted PPIs'!X88+'Predicted PPIs'!X87)))*IF(C$123=".", 1, (C88/C87)^(('Summary, PPI''s'!$C88+'Summary, PPI''s'!$C87)/('Predicted PPIs'!X88+'Predicted PPIs'!X87)))*IF(D$123=".", 1, (D88/D87)^(('Summary, PPI''s'!$D88+'Summary, PPI''s'!$D87)/('Predicted PPIs'!X88+'Predicted PPIs'!X87)))*IF(N$123=".", 1, (N88/N87)^(('Summary, PPI''s'!$N88+'Summary, PPI''s'!$N87)/('Predicted PPIs'!X88+'Predicted PPIs'!X87)))*IF(O$123=".", 1, (O88/O87)^(('Summary, PPI''s'!$O88+'Summary, PPI''s'!$O87)/('Predicted PPIs'!X88+'Predicted PPIs'!X87)))*IF(P$123=".", 1, (P88/P87)^(('Summary, PPI''s'!$P88+'Summary, PPI''s'!$P87)/('Predicted PPIs'!X88+'Predicted PPIs'!X87)))</f>
        <v>2.9390359993429636</v>
      </c>
      <c r="AH88" s="13">
        <f t="shared" si="152"/>
        <v>4.3634840623963917</v>
      </c>
      <c r="AJ88" s="4">
        <v>55.9</v>
      </c>
      <c r="AK88" s="4">
        <v>-1.32</v>
      </c>
      <c r="AL88" s="4">
        <v>-3.6459999999999999</v>
      </c>
      <c r="AM88" s="4">
        <v>-0.68300000000000005</v>
      </c>
      <c r="AN88" s="4">
        <f t="shared" si="176"/>
        <v>74.544842495367504</v>
      </c>
      <c r="AO88" s="4">
        <v>6.6</v>
      </c>
      <c r="AP88" s="4">
        <f t="shared" si="177"/>
        <v>-0.61058823529411765</v>
      </c>
      <c r="AQ88" s="4">
        <f t="shared" si="178"/>
        <v>-1.1542941176470587</v>
      </c>
      <c r="AR88" s="4">
        <f t="shared" si="148"/>
        <v>-5.4933779595825759E-5</v>
      </c>
      <c r="AS88" s="4">
        <v>-0.32900000000000001</v>
      </c>
      <c r="AT88" s="4">
        <v>7.242</v>
      </c>
      <c r="AU88" s="4">
        <v>11.529</v>
      </c>
      <c r="AV88" s="4">
        <v>7.93</v>
      </c>
      <c r="AW88" s="4">
        <v>5.125</v>
      </c>
      <c r="AX88" s="4">
        <f t="shared" si="179"/>
        <v>6.8982195004803053</v>
      </c>
      <c r="AY88" s="4">
        <v>8.4149999999999991</v>
      </c>
      <c r="AZ88" s="4">
        <v>2.8380000000000001</v>
      </c>
      <c r="BA88" s="4">
        <v>7.22</v>
      </c>
      <c r="BB88" s="4">
        <f t="shared" si="150"/>
        <v>41.296620262378418</v>
      </c>
      <c r="BC88" s="4">
        <v>7.3490000000000002</v>
      </c>
      <c r="BG88" s="4">
        <f t="shared" si="172"/>
        <v>7.6284659573927946</v>
      </c>
      <c r="BI88" s="4">
        <f>BI$13*'[2]Ordinary Experience'!$D$338/'[2]Ordinary Experience'!$D$413</f>
        <v>127493044.46121033</v>
      </c>
      <c r="BJ88" s="4">
        <f>'[2]Ordinary Experience'!$E$338</f>
        <v>27.11088342345192</v>
      </c>
      <c r="BL88" s="4">
        <f t="shared" si="151"/>
        <v>20.712082262401317</v>
      </c>
      <c r="BM88" s="4">
        <f t="shared" si="153"/>
        <v>5.4721886371052353E-2</v>
      </c>
      <c r="BO88" s="4" t="str">
        <f>IF(OR('Summary, hourly ad costs'!R88=-9999,'Summary, PPI''s'!R88="."),".",(('Summary, hourly ad costs'!B88/'Summary, hourly ad costs'!R88)*100/('Summary, hourly ad costs'!B$11/'Summary, hourly ad costs'!R$11))/('Summary, PPI''s'!R88))</f>
        <v>.</v>
      </c>
      <c r="BP88" s="4" t="str">
        <f>IF(OR('Summary, hourly ad costs'!S88=-9999,'Summary, PPI''s'!S88="."),".",(('Summary, hourly ad costs'!C88/'Summary, hourly ad costs'!S88)*100/('Summary, hourly ad costs'!C$11/'Summary, hourly ad costs'!S$11))/('Summary, PPI''s'!S88))</f>
        <v>.</v>
      </c>
      <c r="BQ88" s="4" t="str">
        <f>IF(OR('Summary, hourly ad costs'!T88=-9999,'Summary, PPI''s'!T88="."),".",(('Summary, hourly ad costs'!D88/'Summary, hourly ad costs'!T88)*100/('Summary, hourly ad costs'!D$11/'Summary, hourly ad costs'!T$11))/('Summary, PPI''s'!T88))</f>
        <v>.</v>
      </c>
      <c r="BR88" s="4" t="str">
        <f>IF(OR('Summary, hourly ad costs'!U88=-9999,'Summary, PPI''s'!U88="."),".",(('Summary, hourly ad costs'!E88/'Summary, hourly ad costs'!U88)*100/('Summary, hourly ad costs'!E$11/'Summary, hourly ad costs'!U$11))/('Summary, PPI''s'!U88))</f>
        <v>.</v>
      </c>
      <c r="BS88" s="4" t="str">
        <f>IF(OR('Summary, hourly ad costs'!V88=-9999,'Summary, PPI''s'!V88="."),".",(('Summary, hourly ad costs'!F88/'Summary, hourly ad costs'!V88)*100/('Summary, hourly ad costs'!F$11/'Summary, hourly ad costs'!V$11))/('Summary, PPI''s'!V88))</f>
        <v>.</v>
      </c>
      <c r="BT88" s="4" t="str">
        <f>IF(OR('Summary, hourly ad costs'!W88=-9999,'Summary, PPI''s'!W88="."),".",(('Summary, hourly ad costs'!G88/'Summary, hourly ad costs'!W88)*100/('Summary, hourly ad costs'!G$11/'Summary, hourly ad costs'!W$11))/('Summary, PPI''s'!W88))</f>
        <v>.</v>
      </c>
      <c r="BU88" s="4" t="str">
        <f>IF(OR('Summary, hourly ad costs'!X88=-9999,'Summary, PPI''s'!X88="."),".",(('Summary, hourly ad costs'!H88/'Summary, hourly ad costs'!X88)*100/('Summary, hourly ad costs'!H$11/'Summary, hourly ad costs'!X$11))/('Summary, PPI''s'!X88))</f>
        <v>.</v>
      </c>
      <c r="BV88" s="4" t="str">
        <f>IF(OR('Summary, hourly ad costs'!Y88=-9999,'Summary, PPI''s'!Y88="."),".",(('Summary, hourly ad costs'!I88/'Summary, hourly ad costs'!Y88)*100/('Summary, hourly ad costs'!I$11/'Summary, hourly ad costs'!Y$11))/('Summary, PPI''s'!Y88))</f>
        <v>.</v>
      </c>
      <c r="BW88" s="4" t="str">
        <f>IF(OR('Summary, hourly ad costs'!Z88=-9999,'Summary, PPI''s'!Z88="."),".",(('Summary, hourly ad costs'!J88/'Summary, hourly ad costs'!Z88)*100/('Summary, hourly ad costs'!J$11/'Summary, hourly ad costs'!Z$11))/('Summary, PPI''s'!Z88))</f>
        <v>.</v>
      </c>
      <c r="BX88" s="4" t="str">
        <f>IF(OR('Summary, hourly ad costs'!AA88=-9999,'Summary, PPI''s'!AA88="."),".",(('Summary, hourly ad costs'!K88/'Summary, hourly ad costs'!AA88)*100/('Summary, hourly ad costs'!K$11/'Summary, hourly ad costs'!AA$11))/('Summary, PPI''s'!AA88))</f>
        <v>.</v>
      </c>
      <c r="BY88" s="4" t="str">
        <f>IF(OR('Summary, hourly ad costs'!AB88=-9999,'Summary, PPI''s'!AB88="."),".",(('Summary, hourly ad costs'!L88/'Summary, hourly ad costs'!AB88)*100/('Summary, hourly ad costs'!L$11/'Summary, hourly ad costs'!AB$11))/('Summary, PPI''s'!AB88))</f>
        <v>.</v>
      </c>
      <c r="BZ88" s="4" t="str">
        <f>IF(OR('Summary, hourly ad costs'!AC88=-9999,'Summary, PPI''s'!AC88="."),".",(('Summary, hourly ad costs'!M88/'Summary, hourly ad costs'!AC88)*100/('Summary, hourly ad costs'!M$11/'Summary, hourly ad costs'!AC$11))/('Summary, PPI''s'!AC88))</f>
        <v>.</v>
      </c>
      <c r="CA88" s="4" t="str">
        <f>IF(OR('Summary, hourly ad costs'!AD88=-9999,'Summary, PPI''s'!AD88="."),".",(('Summary, hourly ad costs'!N88/'Summary, hourly ad costs'!AD88)*100/('Summary, hourly ad costs'!N$11/'Summary, hourly ad costs'!AD$11))/('Summary, PPI''s'!AD88))</f>
        <v>.</v>
      </c>
      <c r="CB88" s="4" t="str">
        <f>IF(OR('Summary, hourly ad costs'!AE88=-9999,'Summary, PPI''s'!AE88="."),".",(('Summary, hourly ad costs'!O88/'Summary, hourly ad costs'!AE88)*100/('Summary, hourly ad costs'!O$11/'Summary, hourly ad costs'!AE$11))/('Summary, PPI''s'!AE88))</f>
        <v>.</v>
      </c>
      <c r="CC88" s="4" t="str">
        <f>IF(OR('Summary, hourly ad costs'!AF88=-9999,'Summary, PPI''s'!AF88="."),".",(('Summary, hourly ad costs'!P88/'Summary, hourly ad costs'!AF88)*100/('Summary, hourly ad costs'!P$11/'Summary, hourly ad costs'!AF$11))/('Summary, PPI''s'!AF88))</f>
        <v>.</v>
      </c>
      <c r="CE88" s="4">
        <f t="shared" si="134"/>
        <v>1.9841084851197656E-2</v>
      </c>
      <c r="CF88" s="4" t="str">
        <f t="shared" si="135"/>
        <v>.</v>
      </c>
      <c r="CG88" s="4" t="str">
        <f t="shared" si="136"/>
        <v>.</v>
      </c>
      <c r="CH88" s="4">
        <f t="shared" si="145"/>
        <v>4.9492736717645036E-2</v>
      </c>
      <c r="CI88" s="4">
        <f t="shared" si="145"/>
        <v>5.7914289404030234E-2</v>
      </c>
      <c r="CJ88" s="4" t="str">
        <f t="shared" si="147"/>
        <v>.</v>
      </c>
      <c r="CK88" s="4">
        <f t="shared" si="149"/>
        <v>1.4399447602891986E-3</v>
      </c>
      <c r="CL88" s="4">
        <f t="shared" si="130"/>
        <v>4.020428118998623E-2</v>
      </c>
      <c r="CM88" s="4">
        <f t="shared" si="130"/>
        <v>3.2501322307547639E-2</v>
      </c>
      <c r="CN88" s="4">
        <f t="shared" si="89"/>
        <v>2.6161276052671413E-2</v>
      </c>
      <c r="CO88" s="4">
        <f t="shared" si="180"/>
        <v>0.35367975742474889</v>
      </c>
      <c r="CP88" s="4">
        <f t="shared" si="180"/>
        <v>4.598784154650537E-2</v>
      </c>
      <c r="CQ88" s="4" t="str">
        <f t="shared" si="173"/>
        <v>.</v>
      </c>
      <c r="CR88" s="4" t="str">
        <f t="shared" si="174"/>
        <v>.</v>
      </c>
      <c r="CS88" s="4" t="str">
        <f t="shared" si="175"/>
        <v>.</v>
      </c>
      <c r="CU88" s="5">
        <f>IF(CU87=".", ".", IF('Summary, PPI''s'!R88=".",IF(OR('Summary, hourly ad costs'!R88=-9999,'Summary, hourly ad costs'!R88=0), ".", 'Predicted PPIs'!CU87*('Summary, hourly ad costs'!B88/'Summary, hourly ad costs'!R88)/('Summary, hourly ad costs'!B87/'Summary, hourly ad costs'!R87)/(1-CE87)), 'Summary, PPI''s'!R88))</f>
        <v>25.202800916391048</v>
      </c>
      <c r="CV88" s="5" t="str">
        <f>IF(CV87=".", ".", IF('Summary, PPI''s'!S88=".",IF(OR('Summary, hourly ad costs'!S88=-9999,'Summary, hourly ad costs'!S88=0), ".", 'Predicted PPIs'!CV87*('Summary, hourly ad costs'!C88/'Summary, hourly ad costs'!S88)/('Summary, hourly ad costs'!C87/'Summary, hourly ad costs'!S87)/(1-CF87)), 'Summary, PPI''s'!S88))</f>
        <v>.</v>
      </c>
      <c r="CW88" s="5" t="str">
        <f>IF(CW87=".", ".", IF('Summary, PPI''s'!T88=".",IF(OR('Summary, hourly ad costs'!T88=-9999,'Summary, hourly ad costs'!T88=0), ".", 'Predicted PPIs'!CW87*('Summary, hourly ad costs'!D88/'Summary, hourly ad costs'!T88)/('Summary, hourly ad costs'!D87/'Summary, hourly ad costs'!T87)/(1-CG87)), 'Summary, PPI''s'!T88))</f>
        <v>.</v>
      </c>
      <c r="CX88" s="5">
        <f>IF(CX87=".", ".", IF('Summary, PPI''s'!U88=".",IF(OR('Summary, hourly ad costs'!U88=-9999,'Summary, hourly ad costs'!U88=0), ".", 'Predicted PPIs'!CX87*('Summary, hourly ad costs'!E88/'Summary, hourly ad costs'!U88)/('Summary, hourly ad costs'!E87/'Summary, hourly ad costs'!U87)/(1-CH87)), 'Summary, PPI''s'!U88))</f>
        <v>2.6958378143415347</v>
      </c>
      <c r="CY88" s="5">
        <f>IF(CY87=".", ".", IF('Summary, PPI''s'!V88=".",IF(OR('Summary, hourly ad costs'!V88=-9999,'Summary, hourly ad costs'!V88=0), ".", 'Predicted PPIs'!CY87*('Summary, hourly ad costs'!F88/'Summary, hourly ad costs'!V88)/('Summary, hourly ad costs'!F87/'Summary, hourly ad costs'!V87)/(1-CI87)), 'Summary, PPI''s'!V88))</f>
        <v>5.336326789788397</v>
      </c>
      <c r="CZ88" s="5" t="str">
        <f>IF(CZ87=".", ".", IF('Summary, PPI''s'!W88=".",IF(OR('Summary, hourly ad costs'!W88=-9999,'Summary, hourly ad costs'!W88=0), ".", 'Predicted PPIs'!CZ87*('Summary, hourly ad costs'!G88/'Summary, hourly ad costs'!W88)/('Summary, hourly ad costs'!G87/'Summary, hourly ad costs'!W87)/(1-CJ87)), 'Summary, PPI''s'!W88))</f>
        <v>.</v>
      </c>
      <c r="DA88" s="5">
        <f>IF(DA87=".", ".", IF('Summary, PPI''s'!X88=".",IF(OR('Summary, hourly ad costs'!X88=-9999,'Summary, hourly ad costs'!X88=0), ".", 'Predicted PPIs'!DA87*('Summary, hourly ad costs'!H88/'Summary, hourly ad costs'!X88)/('Summary, hourly ad costs'!H87/'Summary, hourly ad costs'!X87)/(1-CK87)), 'Summary, PPI''s'!X88))</f>
        <v>2.033373827394267</v>
      </c>
      <c r="DB88" s="5">
        <f>IF(DB87=".", ".", IF('Summary, PPI''s'!Y88=".",IF(OR('Summary, hourly ad costs'!Y88=-9999,'Summary, hourly ad costs'!Y88=0), ".", 'Predicted PPIs'!DB87*('Summary, hourly ad costs'!I88/'Summary, hourly ad costs'!Y88)/('Summary, hourly ad costs'!I87/'Summary, hourly ad costs'!Y87)/(1-CL87)), 'Summary, PPI''s'!Y88))</f>
        <v>6.3997571324229563</v>
      </c>
      <c r="DC88" s="5" t="str">
        <f>IF(DC87=".", ".", IF('Summary, PPI''s'!Z88=".",IF(OR('Summary, hourly ad costs'!Z88=-9999,'Summary, hourly ad costs'!Z88=0), ".", 'Predicted PPIs'!DC87*('Summary, hourly ad costs'!J88/'Summary, hourly ad costs'!Z88)/('Summary, hourly ad costs'!J87/'Summary, hourly ad costs'!Z87)/(1-CM87)), 'Summary, PPI''s'!Z88))</f>
        <v>.</v>
      </c>
      <c r="DD88" s="5" t="str">
        <f>IF(DD87=".", ".", IF('Summary, PPI''s'!AA88=".",IF(OR('Summary, hourly ad costs'!AA88=-9999,'Summary, hourly ad costs'!AA88=0), ".", 'Predicted PPIs'!DD87*('Summary, hourly ad costs'!K88/'Summary, hourly ad costs'!AA88)/('Summary, hourly ad costs'!K87/'Summary, hourly ad costs'!AA87)/(1-CN87)), 'Summary, PPI''s'!AA88))</f>
        <v>.</v>
      </c>
      <c r="DE88" s="5" t="str">
        <f>IF(DE87=".", ".", IF('Summary, PPI''s'!AB88=".",IF(OR('Summary, hourly ad costs'!AB88=-9999,'Summary, hourly ad costs'!AB88=0), ".", 'Predicted PPIs'!DE87*('Summary, hourly ad costs'!L88/'Summary, hourly ad costs'!AB88)/('Summary, hourly ad costs'!L87/'Summary, hourly ad costs'!AB87)/(1-CO87)), 'Summary, PPI''s'!AB88))</f>
        <v>.</v>
      </c>
      <c r="DF88" s="5" t="str">
        <f>IF(DF87=".", ".", IF('Summary, PPI''s'!AC88=".",IF(OR('Summary, hourly ad costs'!AC88=-9999,'Summary, hourly ad costs'!AC88=0), ".", 'Predicted PPIs'!DF87*('Summary, hourly ad costs'!M88/'Summary, hourly ad costs'!AC88)/('Summary, hourly ad costs'!M87/'Summary, hourly ad costs'!AC87)/(1-CP87)), 'Summary, PPI''s'!AC88))</f>
        <v>.</v>
      </c>
      <c r="DG88" s="5" t="str">
        <f>IF(DG87=".", ".", IF('Summary, PPI''s'!AD88=".",IF(OR('Summary, hourly ad costs'!AD88=-9999,'Summary, hourly ad costs'!AD88=0), ".", 'Predicted PPIs'!DG87*('Summary, hourly ad costs'!N88/'Summary, hourly ad costs'!AD88)/('Summary, hourly ad costs'!N87/'Summary, hourly ad costs'!AD87)/(1-CQ87)), 'Summary, PPI''s'!AD88))</f>
        <v>.</v>
      </c>
      <c r="DH88" s="5" t="str">
        <f>IF(DH87=".", ".", IF('Summary, PPI''s'!AE88=".",IF(OR('Summary, hourly ad costs'!AE88=-9999,'Summary, hourly ad costs'!AE88=0), ".", 'Predicted PPIs'!DH87*('Summary, hourly ad costs'!O88/'Summary, hourly ad costs'!AE88)/('Summary, hourly ad costs'!O87/'Summary, hourly ad costs'!AE87)/(1-CR87)), 'Summary, PPI''s'!AE88))</f>
        <v>.</v>
      </c>
      <c r="DI88" s="5" t="str">
        <f>IF(DI87=".", ".", IF('Summary, PPI''s'!AF88=".",IF(OR('Summary, hourly ad costs'!AF88=-9999,'Summary, hourly ad costs'!AF88=0), ".", 'Predicted PPIs'!DI87*('Summary, hourly ad costs'!P88/'Summary, hourly ad costs'!AF88)/('Summary, hourly ad costs'!P87/'Summary, hourly ad costs'!AF87)/(1-CS87)), 'Summary, PPI''s'!AF88))</f>
        <v>.</v>
      </c>
      <c r="DK88" s="4">
        <v>2.13</v>
      </c>
      <c r="DM88" s="5">
        <f t="shared" si="138"/>
        <v>-0.14172157519441975</v>
      </c>
      <c r="DN88" s="4">
        <f t="shared" si="139"/>
        <v>-3.0248232322803138E-2</v>
      </c>
      <c r="DO88" s="4">
        <f t="shared" si="181"/>
        <v>-2.2467007871086384E-2</v>
      </c>
      <c r="DP88" s="5">
        <f t="shared" si="140"/>
        <v>1.6622089875240054E-3</v>
      </c>
      <c r="DQ88" s="5">
        <f t="shared" si="141"/>
        <v>-5.4000981198660591E-2</v>
      </c>
      <c r="DR88" s="4">
        <f t="shared" si="146"/>
        <v>-3.714342777022971E-3</v>
      </c>
      <c r="DS88" s="5">
        <f t="shared" si="169"/>
        <v>6.3172852248437605E-2</v>
      </c>
      <c r="DT88" s="5">
        <f t="shared" si="170"/>
        <v>4.9313537987978329E-2</v>
      </c>
      <c r="DU88" s="4">
        <f t="shared" si="171"/>
        <v>-9.1863964636496667E-3</v>
      </c>
      <c r="DV88" s="4">
        <f t="shared" si="131"/>
        <v>-1.189638050014871E-3</v>
      </c>
      <c r="DW88" s="4">
        <f t="shared" si="133"/>
        <v>-0.17676764149217278</v>
      </c>
      <c r="DX88" s="4">
        <f t="shared" si="133"/>
        <v>0.15207237128408896</v>
      </c>
      <c r="DY88" s="4">
        <f t="shared" si="108"/>
        <v>-1.3139294805793768E-2</v>
      </c>
      <c r="DZ88" s="4">
        <f t="shared" si="132"/>
        <v>-6.1269724446342518E-3</v>
      </c>
      <c r="EA88" s="4">
        <f t="shared" si="109"/>
        <v>-7.595942358419241E-3</v>
      </c>
      <c r="EC88" s="1">
        <f t="shared" si="154"/>
        <v>25.202800916391048</v>
      </c>
      <c r="ED88" s="1">
        <f t="shared" si="155"/>
        <v>3.4188016971649384</v>
      </c>
      <c r="EE88" s="1">
        <f t="shared" si="156"/>
        <v>2.0194417330647867</v>
      </c>
      <c r="EF88" s="1">
        <f t="shared" si="157"/>
        <v>2.6958378143415347</v>
      </c>
      <c r="EG88" s="1">
        <f t="shared" si="158"/>
        <v>5.336326789788397</v>
      </c>
      <c r="EH88" s="1">
        <f t="shared" si="159"/>
        <v>2.2839185217577542</v>
      </c>
      <c r="EI88" s="1">
        <f t="shared" si="160"/>
        <v>2.033373827394267</v>
      </c>
      <c r="EJ88" s="1">
        <f t="shared" si="161"/>
        <v>6.3997571324229563</v>
      </c>
      <c r="EK88" s="1">
        <f t="shared" si="162"/>
        <v>8.0095041150380908</v>
      </c>
      <c r="EL88" s="1">
        <f t="shared" si="163"/>
        <v>1.730279085426911</v>
      </c>
      <c r="EM88" s="1">
        <f t="shared" si="164"/>
        <v>9.2704209312802863E-2</v>
      </c>
      <c r="EN88" s="1">
        <f t="shared" si="165"/>
        <v>5.2778463505553104</v>
      </c>
      <c r="EO88" s="1">
        <f t="shared" si="166"/>
        <v>1.4220403035540108</v>
      </c>
      <c r="EP88" s="1">
        <f t="shared" si="167"/>
        <v>2.2588913648612521</v>
      </c>
      <c r="EQ88" s="1">
        <f t="shared" si="168"/>
        <v>1.7403535616045971</v>
      </c>
      <c r="ES88" s="1">
        <f>IF(EF$26=".", 0, 'Summary, PPI''s'!E88)+IF(EG$26=".", 0, 'Summary, PPI''s'!F88)+IF(EH$26=".", 0, 'Summary, PPI''s'!G88)+IF(EI$26=".", 0, 'Summary, PPI''s'!H88)+IF(EJ$26=".", 0, 'Summary, PPI''s'!I88)+IF(EK$26=".", 0, 'Summary, PPI''s'!J88)+IF(EL$26=".", 0, 'Summary, PPI''s'!K88)+IF(EM$26=".", 0, 'Summary, PPI''s'!L88)+IF(EN$26=".", 0, 'Summary, PPI''s'!M88)+IF(EC$26=".", 0, 'Summary, PPI''s'!B88)+IF(ED$26=".", 0, 'Summary, PPI''s'!C88)+IF(EE$26=".", 0, 'Summary, PPI''s'!D88)+IF(EO$26=".", 0, 'Summary, PPI''s'!N88)+IF(EP$26=".", 0, 'Summary, PPI''s'!O88)+IF(EQ$26=".", 0, 'Summary, PPI''s'!P88)</f>
        <v>1631864.0247838669</v>
      </c>
      <c r="ET88" s="1">
        <f>'Summary, hourly ad costs'!E88+'Summary, hourly ad costs'!F88+'Summary, hourly ad costs'!H88+'Summary, hourly ad costs'!I88+'Summary, hourly ad costs'!J88+'Summary, hourly ad costs'!K88+'Summary, hourly ad costs'!L88+'Summary, hourly ad costs'!M88+'Summary, hourly ad costs'!B88</f>
        <v>1087216.0380649976</v>
      </c>
      <c r="EV88" s="13">
        <f>EV87*IF(EF$26=".", 1, (EF88/EF87)^(('Summary, PPI''s'!$E88+'Summary, PPI''s'!$E87)/('Predicted PPIs'!ES88+'Predicted PPIs'!ES87)))*IF(EG$26=".", 1, (EG88/EG87)^(('Summary, PPI''s'!$F88+'Summary, PPI''s'!$F87)/('Predicted PPIs'!ES88+'Predicted PPIs'!ES87)))*IF(EH$26=".", 1, (EH88/EH87)^(('Summary, PPI''s'!$G88+'Summary, PPI''s'!$G87)/('Predicted PPIs'!ES88+'Predicted PPIs'!ES87)))*IF(EI$26=".", 1, (EI88/EI87)^(('Summary, PPI''s'!$H88+'Summary, PPI''s'!$H87)/('Predicted PPIs'!ES88+'Predicted PPIs'!ES87)))*IF(EJ$26=".", 1, (EJ88/EJ87)^(('Summary, PPI''s'!$I88+'Summary, PPI''s'!$I87)/('Predicted PPIs'!ES88+'Predicted PPIs'!ES87)))*IF(EK$26=".", 1, (EK88/EK87)^(('Summary, PPI''s'!$J88+'Summary, PPI''s'!$J87)/('Predicted PPIs'!ES88+'Predicted PPIs'!ES87)))*IF(EL$26=".", 1, (EL88/EL87)^(('Summary, PPI''s'!$K88+'Summary, PPI''s'!$K87)/('Predicted PPIs'!ES88+'Predicted PPIs'!ES87)))*IF(EM$26=".", 1, (EM88/EM87)^(('Summary, PPI''s'!$L88+'Summary, PPI''s'!$L87)/('Predicted PPIs'!ES88+'Predicted PPIs'!ES87)))*IF(EN$26=".", 1, (EN88/EN87)^(('Summary, PPI''s'!$M88+'Summary, PPI''s'!$M87)/('Predicted PPIs'!ES88+'Predicted PPIs'!ES87)))*IF(EC$26=".", 1, (EC88/EC87)^(('Summary, PPI''s'!$B88+'Summary, PPI''s'!$B87)/('Predicted PPIs'!ES88+'Predicted PPIs'!ES87)))*IF(ED$26=".", 1, (ED88/ED87)^(('Summary, PPI''s'!$C88+'Summary, PPI''s'!$C87)/('Predicted PPIs'!ES88+'Predicted PPIs'!ES87)))*IF(EE$26=".", 1, (EE88/EE87)^(('Summary, PPI''s'!$D88+'Summary, PPI''s'!$D87)/('Predicted PPIs'!ES88+'Predicted PPIs'!ES87)))*IF(EO$26=".", 1, (EO88/EO87)^(('Summary, PPI''s'!$N88+'Summary, PPI''s'!$N87)/('Predicted PPIs'!ES88+'Predicted PPIs'!ES87)))*IF(EP$26=".", 1, (EP88/EP87)^(('Summary, PPI''s'!$O88+'Summary, PPI''s'!$O87)/('Predicted PPIs'!ES88+'Predicted PPIs'!ES87)))*IF(EQ$26=".", 1, (EQ88/EQ87)^(('Summary, PPI''s'!$P88+'Summary, PPI''s'!$P87)/('Predicted PPIs'!ES88+'Predicted PPIs'!ES87)))</f>
        <v>4.1058499782361642</v>
      </c>
      <c r="EW88" s="13">
        <f>EW87*IF(EF$26=".", 1, (EF88/EF87)^(('Summary, PPI''s'!$E88+'Summary, PPI''s'!$E87)/('Predicted PPIs'!ET88+'Predicted PPIs'!ET87)))*IF(EG$26=".", 1, (EG88/EG87)^(('Summary, PPI''s'!$F88+'Summary, PPI''s'!$F87)/('Predicted PPIs'!ET88+'Predicted PPIs'!ET87)))*IF(EH$26=".", 1, (EH88/EH87)^(('Summary, PPI''s'!$G88+'Summary, PPI''s'!$G87)/('Predicted PPIs'!ET88+'Predicted PPIs'!ET87)))*IF(EK$26=".", 1, (EK88/EK87)^(('Summary, PPI''s'!$J88+'Summary, PPI''s'!$J87)/('Predicted PPIs'!ET88+'Predicted PPIs'!ET87)))*IF(EL$26=".", 1, (EL88/EL87)^(('Summary, PPI''s'!$K88+'Summary, PPI''s'!$K87)/('Predicted PPIs'!ET88+'Predicted PPIs'!ET87)))*IF(EM$26=".", 1, (EM88/EM87)^(('Summary, PPI''s'!$L88+'Summary, PPI''s'!$L87)/('Predicted PPIs'!ET88+'Predicted PPIs'!ET87)))*IF(EN$26=".", 1, (EN88/EN87)^(('Summary, PPI''s'!$M88+'Summary, PPI''s'!$M87)/('Predicted PPIs'!ET88+'Predicted PPIs'!ET87)))*IF(EC$26=".", 1, (EC88/EC87)^(('Summary, PPI''s'!$B88+'Summary, PPI''s'!$B87)/('Predicted PPIs'!ET88+'Predicted PPIs'!ET87)))</f>
        <v>7.5454192480229354</v>
      </c>
      <c r="EY88" s="2"/>
    </row>
    <row r="89" spans="1:155" x14ac:dyDescent="0.3">
      <c r="A89" s="4">
        <v>1934</v>
      </c>
      <c r="B89" s="10">
        <f>IF(B88=".", ".", IF('Summary, PPI''s'!R89=".",IF(OR('Summary, hourly ad costs'!R89=-9999,'Summary, hourly ad costs'!R89=0), ".", 'Predicted PPIs'!B88*('Summary, hourly ad costs'!B89/'Summary, hourly ad costs'!R89)/('Summary, hourly ad costs'!B88/'Summary, hourly ad costs'!R88)), 'Summary, PPI''s'!R89))</f>
        <v>32.5605611302502</v>
      </c>
      <c r="C89" s="10" t="str">
        <f>IF(C88=".", ".", IF('Summary, PPI''s'!S89=".",IF(OR('Summary, hourly ad costs'!S89=-9999,'Summary, hourly ad costs'!S89=0), ".", 'Predicted PPIs'!C88*('Summary, hourly ad costs'!C89/'Summary, hourly ad costs'!S89)/('Summary, hourly ad costs'!C88/'Summary, hourly ad costs'!S88)), 'Summary, PPI''s'!S89))</f>
        <v>.</v>
      </c>
      <c r="D89" s="10" t="str">
        <f>IF(D88=".", ".", IF('Summary, PPI''s'!T89=".",IF(OR('Summary, hourly ad costs'!T89=-9999,'Summary, hourly ad costs'!T89=0), ".", 'Predicted PPIs'!D88*('Summary, hourly ad costs'!D89/'Summary, hourly ad costs'!T89)/('Summary, hourly ad costs'!D88/'Summary, hourly ad costs'!T88)), 'Summary, PPI''s'!T89))</f>
        <v>.</v>
      </c>
      <c r="E89" s="10">
        <f>IF(E88=".", ".", IF('Summary, PPI''s'!U89=".",IF(OR('Summary, hourly ad costs'!U89=-9999,'Summary, hourly ad costs'!U89=0), ".", 'Predicted PPIs'!E88*('Summary, hourly ad costs'!E89/'Summary, hourly ad costs'!U89)/('Summary, hourly ad costs'!E88/'Summary, hourly ad costs'!U88)), 'Summary, PPI''s'!U89))</f>
        <v>1.6086459737740562</v>
      </c>
      <c r="F89" s="10">
        <f>IF(F88=".", ".", IF('Summary, PPI''s'!V89=".",IF(OR('Summary, hourly ad costs'!V89=-9999,'Summary, hourly ad costs'!V89=0), ".", 'Predicted PPIs'!F88*('Summary, hourly ad costs'!F89/'Summary, hourly ad costs'!V89)/('Summary, hourly ad costs'!F88/'Summary, hourly ad costs'!V88)), 'Summary, PPI''s'!V89))</f>
        <v>2.9756789729282844</v>
      </c>
      <c r="G89" s="10" t="str">
        <f>IF(G88=".", ".", IF('Summary, PPI''s'!W89=".",IF(OR('Summary, hourly ad costs'!W89=-9999,'Summary, hourly ad costs'!W89=0), ".", 'Predicted PPIs'!G88*('Summary, hourly ad costs'!G89/'Summary, hourly ad costs'!W89)/('Summary, hourly ad costs'!G88/'Summary, hourly ad costs'!W88)), 'Summary, PPI''s'!W89))</f>
        <v>.</v>
      </c>
      <c r="H89" s="10">
        <f>IF(H88=".", ".", IF('Summary, PPI''s'!X89=".",IF(OR('Summary, hourly ad costs'!X89=-9999,'Summary, hourly ad costs'!X89=0), ".", 'Predicted PPIs'!H88*('Summary, hourly ad costs'!H89/'Summary, hourly ad costs'!X89)/('Summary, hourly ad costs'!H88/'Summary, hourly ad costs'!X88)), 'Summary, PPI''s'!X89))</f>
        <v>1.7309252755988043</v>
      </c>
      <c r="I89" s="10">
        <f>IF(I88=".", ".", IF('Summary, PPI''s'!Y89=".",IF(OR('Summary, hourly ad costs'!Y89=-9999,'Summary, hourly ad costs'!Y89=0), ".", 'Predicted PPIs'!I88*('Summary, hourly ad costs'!I89/'Summary, hourly ad costs'!Y89)/('Summary, hourly ad costs'!I88/'Summary, hourly ad costs'!Y88)), 'Summary, PPI''s'!Y89))</f>
        <v>3.5092489498984971</v>
      </c>
      <c r="J89" s="10" t="str">
        <f>IF(J88=".", ".", IF('Summary, PPI''s'!Z89=".",IF(OR('Summary, hourly ad costs'!Z89=-9999,'Summary, hourly ad costs'!Z89=0), ".", 'Predicted PPIs'!J88*('Summary, hourly ad costs'!J89/'Summary, hourly ad costs'!Z89)/('Summary, hourly ad costs'!J88/'Summary, hourly ad costs'!Z88)), 'Summary, PPI''s'!Z89))</f>
        <v>.</v>
      </c>
      <c r="K89" s="10" t="str">
        <f>IF(K88=".", ".", IF('Summary, PPI''s'!AA89=".",IF(OR('Summary, hourly ad costs'!AA89=-9999,'Summary, hourly ad costs'!AA89=0), ".", 'Predicted PPIs'!K88*('Summary, hourly ad costs'!K89/'Summary, hourly ad costs'!AA89)/('Summary, hourly ad costs'!K88/'Summary, hourly ad costs'!AA88)), 'Summary, PPI''s'!AA89))</f>
        <v>.</v>
      </c>
      <c r="L89" s="10" t="str">
        <f>IF(L88=".", ".", IF('Summary, PPI''s'!AB89=".",IF(OR('Summary, hourly ad costs'!AB89=-9999,'Summary, hourly ad costs'!AB89=0), ".", 'Predicted PPIs'!L88*('Summary, hourly ad costs'!L89/'Summary, hourly ad costs'!AB89)/('Summary, hourly ad costs'!L88/'Summary, hourly ad costs'!AB88)), 'Summary, PPI''s'!AB89))</f>
        <v>.</v>
      </c>
      <c r="M89" s="10" t="str">
        <f>IF(M88=".", ".", IF('Summary, PPI''s'!AC89=".",IF(OR('Summary, hourly ad costs'!AC89=-9999,'Summary, hourly ad costs'!AC89=0), ".", 'Predicted PPIs'!M88*('Summary, hourly ad costs'!M89/'Summary, hourly ad costs'!AC89)/('Summary, hourly ad costs'!M88/'Summary, hourly ad costs'!AC88)), 'Summary, PPI''s'!AC89))</f>
        <v>.</v>
      </c>
      <c r="N89" s="10" t="str">
        <f>IF(N88=".", ".", IF('Summary, PPI''s'!AD89=".",IF(OR('Summary, hourly ad costs'!AD89=-9999,'Summary, hourly ad costs'!AD89=0), ".", 'Predicted PPIs'!N88*('Summary, hourly ad costs'!N89/'Summary, hourly ad costs'!AD89)/('Summary, hourly ad costs'!N88/'Summary, hourly ad costs'!AD88)), 'Summary, PPI''s'!AD89))</f>
        <v>.</v>
      </c>
      <c r="O89" s="10" t="str">
        <f>IF(O88=".", ".", IF('Summary, PPI''s'!AE89=".",IF(OR('Summary, hourly ad costs'!AE89=-9999,'Summary, hourly ad costs'!AE89=0), ".", 'Predicted PPIs'!O88*('Summary, hourly ad costs'!O89/'Summary, hourly ad costs'!AE89)/('Summary, hourly ad costs'!O88/'Summary, hourly ad costs'!AE88)), 'Summary, PPI''s'!AE89))</f>
        <v>.</v>
      </c>
      <c r="P89" s="10" t="str">
        <f>IF(P88=".", ".", IF('Summary, PPI''s'!AF89=".",IF(OR('Summary, hourly ad costs'!AF89=-9999,'Summary, hourly ad costs'!AF89=0), ".", 'Predicted PPIs'!P88*('Summary, hourly ad costs'!P89/'Summary, hourly ad costs'!AF89)/('Summary, hourly ad costs'!P88/'Summary, hourly ad costs'!AF88)), 'Summary, PPI''s'!AF89))</f>
        <v>.</v>
      </c>
      <c r="R89" s="1">
        <f>IF(E$26=".", 0, 'Summary, PPI''s'!E89)+IF(F$26=".", 0, 'Summary, PPI''s'!F89)+IF(G$26=".", 0, 'Summary, PPI''s'!G89)+IF(H$26=".", 0, 'Summary, PPI''s'!H89)+IF(I$26=".", 0, 'Summary, PPI''s'!I89)+IF(J$26=".", 0, 'Summary, PPI''s'!J89)+IF(K$26=".", 0, 'Summary, PPI''s'!K89)+IF(L$26=".", 0, 'Summary, PPI''s'!L89)+IF(M$26=".", 0, 'Summary, PPI''s'!M89)+IF(B$26=".", 0, 'Summary, PPI''s'!B89)+IF(C$26=".", 0, 'Summary, PPI''s'!C89)+IF(D$26=".", 0, 'Summary, PPI''s'!D89)+IF(N$26=".", 0, 'Summary, PPI''s'!N89)+IF(O$26=".", 0, 'Summary, PPI''s'!O89)+IF(P$26=".", 0, 'Summary, PPI''s'!P89)</f>
        <v>1542134.9804295406</v>
      </c>
      <c r="S89" s="1">
        <f>IF(E$36=".", 0, 'Summary, PPI''s'!E89)+IF(F$36=".", 0, 'Summary, PPI''s'!F89)+IF(G$36=".", 0, 'Summary, PPI''s'!G89)+IF(H$36=".", 0, 'Summary, PPI''s'!H89)+IF(I$36=".", 0, 'Summary, PPI''s'!I89)+IF(J$36=".", 0, 'Summary, PPI''s'!J89)+IF(K$36=".", 0, 'Summary, PPI''s'!K89)+IF(L$36=".", 0, 'Summary, PPI''s'!L89)+IF(M$36=".", 0, 'Summary, PPI''s'!M89)+IF(B$36=".", 0, 'Summary, PPI''s'!B89)+IF(C$36=".", 0, 'Summary, PPI''s'!C89)+IF(D$36=".", 0, 'Summary, PPI''s'!D89)+IF(N$36=".", 0, 'Summary, PPI''s'!N89)+IF(O$36=".", 0, 'Summary, PPI''s'!O89)+IF(P$36=".", 0, 'Summary, PPI''s'!P89)</f>
        <v>1542134.9804295406</v>
      </c>
      <c r="T89" s="1">
        <f>IF(E$46=".", 0, 'Summary, PPI''s'!E89)+IF(F$46=".", 0, 'Summary, PPI''s'!F89)+IF(G$46=".", 0, 'Summary, PPI''s'!G89)+IF(H$46=".", 0, 'Summary, PPI''s'!H89)+IF(I$46=".", 0, 'Summary, PPI''s'!I89)+IF(J$46=".", 0, 'Summary, PPI''s'!J89)+IF(K$46=".", 0, 'Summary, PPI''s'!K89)+IF(L$46=".", 0, 'Summary, PPI''s'!L89)+IF(M$46=".", 0, 'Summary, PPI''s'!M89)+IF(B$46=".", 0, 'Summary, PPI''s'!B89)+IF(C$46=".", 0, 'Summary, PPI''s'!C89)+IF(D$46=".", 0, 'Summary, PPI''s'!D89)+IF(N$46=".", 0, 'Summary, PPI''s'!N89)+IF(O$46=".", 0, 'Summary, PPI''s'!O89)+IF(P$46=".", 0, 'Summary, PPI''s'!P89)</f>
        <v>1311589.9290444823</v>
      </c>
      <c r="U89" s="1">
        <f>IF(E$60=".", 0, 'Summary, PPI''s'!E89)+IF(F$60=".", 0, 'Summary, PPI''s'!F89)+IF(G$60=".", 0, 'Summary, PPI''s'!G89)+IF(H$60=".", 0, 'Summary, PPI''s'!H89)+IF(I$60=".", 0, 'Summary, PPI''s'!I89)+IF(J$60=".", 0, 'Summary, PPI''s'!J89)+IF(K$60=".", 0, 'Summary, PPI''s'!K89)+IF(L$60=".", 0, 'Summary, PPI''s'!L89)+IF(M$60=".", 0, 'Summary, PPI''s'!M89)+IF(B$60=".", 0, 'Summary, PPI''s'!B89)+IF(C$60=".", 0, 'Summary, PPI''s'!C89)+IF(D$60=".", 0, 'Summary, PPI''s'!D89)+IF(N$60=".", 0, 'Summary, PPI''s'!N89)+IF(O$60=".", 0, 'Summary, PPI''s'!O89)+IF(P$60=".", 0, 'Summary, PPI''s'!P89)</f>
        <v>1215741.7237662605</v>
      </c>
      <c r="V89" s="1">
        <f>IF(E$73=".", 0, 'Summary, PPI''s'!E89)+IF(F$73=".", 0, 'Summary, PPI''s'!F89)+IF(G$73=".", 0, 'Summary, PPI''s'!G89)+IF(H$73=".", 0, 'Summary, PPI''s'!H89)+IF(I$73=".", 0, 'Summary, PPI''s'!I89)+IF(J$73=".", 0, 'Summary, PPI''s'!J89)+IF(K$73=".", 0, 'Summary, PPI''s'!K89)+IF(L$73=".", 0, 'Summary, PPI''s'!L89)+IF(M$73=".", 0, 'Summary, PPI''s'!M89)+IF(B$73=".", 0, 'Summary, PPI''s'!B89)+IF(C$73=".", 0, 'Summary, PPI''s'!C89)+IF(D$73=".", 0, 'Summary, PPI''s'!D89)+IF(N$73=".", 0, 'Summary, PPI''s'!N89)+IF(O$73=".", 0, 'Summary, PPI''s'!O89)+IF(P$73=".", 0, 'Summary, PPI''s'!P89)</f>
        <v>1020664.9149262569</v>
      </c>
      <c r="W89" s="1">
        <f>IF(E$94=".",0,'Summary, PPI''s'!E89)+IF(F$94=".",0,'Summary, PPI''s'!F89)+IF(G$94=".",0,'Summary, PPI''s'!G89)+IF(H$94=".",0,'Summary, PPI''s'!H89)+IF(I$94=".",0,'Summary, PPI''s'!I89)+IF(J$94=".",0,'Summary, PPI''s'!J89)+IF(K$94=".",0,'Summary, PPI''s'!K89)+IF(L$94=".",0,'Summary, PPI''s'!L89)+IF(M$94=".",0,'Summary, PPI''s'!M89)+IF(B$94=".",0,'Summary, PPI''s'!B89)+IF(C$94=".",0,'Summary, PPI''s'!C89)+IF(D$94=".",0,'Summary, PPI''s'!D89)+IF(N$94=".",0,'Summary, PPI''s'!N89)+IF(O$94=".",0,'Summary, PPI''s'!O89)+IF(P$94=".",0,'Summary, PPI''s'!P89)</f>
        <v>1020664.9149262569</v>
      </c>
      <c r="X89" s="1">
        <f>IF(E$123=".", 0, 'Summary, PPI''s'!E89)+IF(F$123=".", 0, 'Summary, PPI''s'!F89)+IF(G$123=".", 0, 'Summary, PPI''s'!G89)+IF(H$123=".", 0, 'Summary, PPI''s'!H89)+IF(I$123=".", 0, 'Summary, PPI''s'!I89)+IF(J$123=".", 0, 'Summary, PPI''s'!J89)+IF(K$123=".", 0, 'Summary, PPI''s'!K89)+IF(L$123=".", 0, 'Summary, PPI''s'!L89)+IF(M$123=".", 0, 'Summary, PPI''s'!M89)+IF(B$123=".", 0, 'Summary, PPI''s'!B89)+IF(C$123=".", 0, 'Summary, PPI''s'!C89)+IF(D$123=".", 0, 'Summary, PPI''s'!D89)+IF(N$123=".", 0, 'Summary, PPI''s'!N89)+IF(O$123=".", 0, 'Summary, PPI''s'!O89)+IF(P$123=".", 0, 'Summary, PPI''s'!P89)</f>
        <v>942758.82452569692</v>
      </c>
      <c r="Z89" s="4" t="e">
        <f>Z88*IF(E$26=".", 1, (E89/E88)^(('Summary, PPI''s'!$E89+'Summary, PPI''s'!$E88)/('Predicted PPIs'!R89+'Predicted PPIs'!R88)))*IF(F$26=".", 1, (F89/F88)^(('Summary, PPI''s'!$F89+'Summary, PPI''s'!$F88)/('Predicted PPIs'!R89+'Predicted PPIs'!R88)))*IF(G$26=".", 1, (G89/G88)^(('Summary, PPI''s'!$G89+'Summary, PPI''s'!$G88)/('Predicted PPIs'!R89+'Predicted PPIs'!R88)))*IF(H$26=".", 1, (H89/H88)^(('Summary, PPI''s'!$H89+'Summary, PPI''s'!$H88)/('Predicted PPIs'!R89+'Predicted PPIs'!R88)))*IF(I$26=".", 1, (I89/I88)^(('Summary, PPI''s'!$I89+'Summary, PPI''s'!$I88)/('Predicted PPIs'!R89+'Predicted PPIs'!R88)))*IF(J$26=".", 1, (J89/J88)^(('Summary, PPI''s'!$J89+'Summary, PPI''s'!$J88)/('Predicted PPIs'!R89+'Predicted PPIs'!R88)))*IF(K$26=".", 1, (K89/K88)^(('Summary, PPI''s'!$K89+'Summary, PPI''s'!$K88)/('Predicted PPIs'!R89+'Predicted PPIs'!R88)))*IF(L$26=".", 1, (L89/L88)^(('Summary, PPI''s'!$L89+'Summary, PPI''s'!$L88)/('Predicted PPIs'!R89+'Predicted PPIs'!R88)))*IF(M$26=".", 1, (M89/M88)^(('Summary, PPI''s'!$M89+'Summary, PPI''s'!$M88)/('Predicted PPIs'!R89+'Predicted PPIs'!R88)))*IF(B$26=".", 1, (B89/B88)^(('Summary, PPI''s'!$B89+'Summary, PPI''s'!$B88)/('Predicted PPIs'!R89+'Predicted PPIs'!R88)))*IF(C$26=".", 1, (C89/C88)^(('Summary, PPI''s'!$C89+'Summary, PPI''s'!$C88)/('Predicted PPIs'!R89+'Predicted PPIs'!R88)))*IF(D$26=".", 1, (D89/D88)^(('Summary, PPI''s'!$D89+'Summary, PPI''s'!$D88)/('Predicted PPIs'!R89+'Predicted PPIs'!R88)))*IF(N$26=".", 1, (N89/N88)^(('Summary, PPI''s'!$N89+'Summary, PPI''s'!$N88)/('Predicted PPIs'!R89+'Predicted PPIs'!R88)))*IF(O$26=".", 1, (O89/O88)^(('Summary, PPI''s'!$O89+'Summary, PPI''s'!$O88)/('Predicted PPIs'!R89+'Predicted PPIs'!R88)))*IF(P$26=".", 1, (P89/P88)^(('Summary, PPI''s'!$P89+'Summary, PPI''s'!$P88)/('Predicted PPIs'!R89+'Predicted PPIs'!R88)))</f>
        <v>#VALUE!</v>
      </c>
      <c r="AA89" s="4" t="e">
        <f>AA88*IF(E$36=".", 1, (E89/E88)^(('Summary, PPI''s'!$E89+'Summary, PPI''s'!$E88)/('Predicted PPIs'!S89+'Predicted PPIs'!S88)))*IF(F$36=".", 1, (F89/F88)^(('Summary, PPI''s'!$F89+'Summary, PPI''s'!$F88)/('Predicted PPIs'!S89+'Predicted PPIs'!S88)))*IF(G$36=".", 1, (G89/G88)^(('Summary, PPI''s'!$G89+'Summary, PPI''s'!$G88)/('Predicted PPIs'!S89+'Predicted PPIs'!S88)))*IF(H$36=".", 1, (H89/H88)^(('Summary, PPI''s'!$H89+'Summary, PPI''s'!$H88)/('Predicted PPIs'!S89+'Predicted PPIs'!S88)))*IF(I$36=".", 1, (I89/I88)^(('Summary, PPI''s'!$I89+'Summary, PPI''s'!$I88)/('Predicted PPIs'!S89+'Predicted PPIs'!S88)))*IF(J$36=".", 1, (J89/J88)^(('Summary, PPI''s'!$J89+'Summary, PPI''s'!$J88)/('Predicted PPIs'!S89+'Predicted PPIs'!S88)))*IF(K$36=".", 1, (K89/K88)^(('Summary, PPI''s'!$K89+'Summary, PPI''s'!$K88)/('Predicted PPIs'!S89+'Predicted PPIs'!S88)))*IF(L$36=".", 1, (L89/L88)^(('Summary, PPI''s'!$L89+'Summary, PPI''s'!$L88)/('Predicted PPIs'!S89+'Predicted PPIs'!S88)))*IF(M$36=".", 1, (M89/M88)^(('Summary, PPI''s'!$M89+'Summary, PPI''s'!$M88)/('Predicted PPIs'!S89+'Predicted PPIs'!S88)))*IF(B$36=".", 1, (B89/B88)^(('Summary, PPI''s'!$B89+'Summary, PPI''s'!$B88)/('Predicted PPIs'!S89+'Predicted PPIs'!S88)))*IF(C$36=".", 1, (C89/C88)^(('Summary, PPI''s'!$C89+'Summary, PPI''s'!$C88)/('Predicted PPIs'!S89+'Predicted PPIs'!S88)))*IF(D$36=".", 1, (D89/D88)^(('Summary, PPI''s'!$D89+'Summary, PPI''s'!$D88)/('Predicted PPIs'!S89+'Predicted PPIs'!S88)))*IF(N$36=".", 1, (N89/N88)^(('Summary, PPI''s'!$N89+'Summary, PPI''s'!$N88)/('Predicted PPIs'!S89+'Predicted PPIs'!S88)))*IF(O$36=".", 1, (O89/O88)^(('Summary, PPI''s'!$O89+'Summary, PPI''s'!$O88)/('Predicted PPIs'!S89+'Predicted PPIs'!S88)))*IF(P$36=".", 1, (P89/P88)^(('Summary, PPI''s'!$P89+'Summary, PPI''s'!$P88)/('Predicted PPIs'!S89+'Predicted PPIs'!S88)))</f>
        <v>#VALUE!</v>
      </c>
      <c r="AB89" s="4" t="e">
        <f>AB88*IF(E$46=".", 1, (E89/E88)^(('Summary, PPI''s'!$E89+'Summary, PPI''s'!$E88)/('Predicted PPIs'!T89+'Predicted PPIs'!T88)))*IF(F$46=".", 1, (F89/F88)^(('Summary, PPI''s'!$F89+'Summary, PPI''s'!$F88)/('Predicted PPIs'!T89+'Predicted PPIs'!T88)))*IF(G$46=".", 1, (G89/G88)^(('Summary, PPI''s'!$G89+'Summary, PPI''s'!$G88)/('Predicted PPIs'!T89+'Predicted PPIs'!T88)))*IF(H$46=".", 1, (H89/H88)^(('Summary, PPI''s'!$H89+'Summary, PPI''s'!$H88)/('Predicted PPIs'!T89+'Predicted PPIs'!T88)))*IF(I$46=".", 1, (I89/I88)^(('Summary, PPI''s'!$I89+'Summary, PPI''s'!$I88)/('Predicted PPIs'!T89+'Predicted PPIs'!T88)))*IF(J$46=".", 1, (J89/J88)^(('Summary, PPI''s'!$J89+'Summary, PPI''s'!$J88)/('Predicted PPIs'!T89+'Predicted PPIs'!T88)))*IF(K$46=".", 1, (K89/K88)^(('Summary, PPI''s'!$K89+'Summary, PPI''s'!$K88)/('Predicted PPIs'!T89+'Predicted PPIs'!T88)))*IF(L$46=".", 1, (L89/L88)^(('Summary, PPI''s'!$L89+'Summary, PPI''s'!$L88)/('Predicted PPIs'!T89+'Predicted PPIs'!T88)))*IF(M$46=".", 1, (M89/M88)^(('Summary, PPI''s'!$M89+'Summary, PPI''s'!$M88)/('Predicted PPIs'!T89+'Predicted PPIs'!T88)))*IF(B$46=".", 1, (B89/B88)^(('Summary, PPI''s'!$B89+'Summary, PPI''s'!$B88)/('Predicted PPIs'!T89+'Predicted PPIs'!T88)))*IF(C$46=".", 1, (C89/C88)^(('Summary, PPI''s'!$C89+'Summary, PPI''s'!$C88)/('Predicted PPIs'!T89+'Predicted PPIs'!T88)))*IF(D$46=".", 1, (D89/D88)^(('Summary, PPI''s'!$D89+'Summary, PPI''s'!$D88)/('Predicted PPIs'!T89+'Predicted PPIs'!T88)))*IF(N$46=".", 1, (N89/N88)^(('Summary, PPI''s'!$N89+'Summary, PPI''s'!$N88)/('Predicted PPIs'!T89+'Predicted PPIs'!T88)))*IF(O$46=".", 1, (O89/O88)^(('Summary, PPI''s'!$O89+'Summary, PPI''s'!$O88)/('Predicted PPIs'!T89+'Predicted PPIs'!T88)))*IF(P$46=".", 1, (P89/P88)^(('Summary, PPI''s'!$P89+'Summary, PPI''s'!$P88)/('Predicted PPIs'!T89+'Predicted PPIs'!T88)))</f>
        <v>#VALUE!</v>
      </c>
      <c r="AC89" s="4" t="e">
        <f>AC88*IF(E$60=".",1,(E89/E88)^(('Summary, PPI''s'!$E89+'Summary, PPI''s'!$E88)/('Predicted PPIs'!U89+'Predicted PPIs'!U88)))*IF(F$60=".",1,(F89/F88)^(('Summary, PPI''s'!$F89+'Summary, PPI''s'!$F88)/('Predicted PPIs'!U89+'Predicted PPIs'!U88)))*IF(G$60=".",1,(G89/G88)^(('Summary, PPI''s'!$G89+'Summary, PPI''s'!$G88)/('Predicted PPIs'!U89+'Predicted PPIs'!U88)))*IF(H$60=".",1,(H89/H88)^(('Summary, PPI''s'!$H89+'Summary, PPI''s'!$H88)/('Predicted PPIs'!U89+'Predicted PPIs'!U88)))*IF(I$60=".",1,(I89/I88)^(('Summary, PPI''s'!$I89+'Summary, PPI''s'!$I88)/('Predicted PPIs'!U89+'Predicted PPIs'!U88)))*IF(J$60=".",1,(J89/J88)^(('Summary, PPI''s'!$J89+'Summary, PPI''s'!$J88)/('Predicted PPIs'!U89+'Predicted PPIs'!U88)))*IF(K$60=".",1,(K89/K88)^(('Summary, PPI''s'!$K89+'Summary, PPI''s'!$K88)/('Predicted PPIs'!U89+'Predicted PPIs'!U88)))*IF(L$60=".",1,(L89/L88)^(('Summary, PPI''s'!$L89+'Summary, PPI''s'!$L88)/('Predicted PPIs'!U89+'Predicted PPIs'!U88)))*IF(M$60=".",1,(M89/M88)^(('Summary, PPI''s'!$M89+'Summary, PPI''s'!$M88)/('Predicted PPIs'!U89+'Predicted PPIs'!U88)))*IF(B$60=".",1,(B89/B88)^(('Summary, PPI''s'!$B89+'Summary, PPI''s'!$B88)/('Predicted PPIs'!U89+'Predicted PPIs'!U88)))*IF(C$60=".",1,(C89/C88)^(('Summary, PPI''s'!$C89+'Summary, PPI''s'!$C88)/('Predicted PPIs'!U89+'Predicted PPIs'!U88)))*IF(D$60=".",1,(D89/D88)^(('Summary, PPI''s'!$D89+'Summary, PPI''s'!$D88)/('Predicted PPIs'!U89+'Predicted PPIs'!U88)))*IF(N$60=".",1,(N89/N88)^(('Summary, PPI''s'!$N89+'Summary, PPI''s'!$N88)/('Predicted PPIs'!U89+'Predicted PPIs'!U88)))*IF(O$60=".",1,(O89/O88)^(('Summary, PPI''s'!$O89+'Summary, PPI''s'!$O88)/('Predicted PPIs'!U89+'Predicted PPIs'!U88)))*IF(P$60=".",1,(P89/P88)^(('Summary, PPI''s'!$P89+'Summary, PPI''s'!$P88)/('Predicted PPIs'!U89+'Predicted PPIs'!U88)))</f>
        <v>#VALUE!</v>
      </c>
      <c r="AD89" s="4" t="e">
        <f>AD88*IF(E$73=".", 1, (E89/E88)^(('Summary, PPI''s'!$E89+'Summary, PPI''s'!$E88)/('Predicted PPIs'!V89+'Predicted PPIs'!V88)))*IF(F$73=".", 1, (F89/F88)^(('Summary, PPI''s'!$F89+'Summary, PPI''s'!$F88)/('Predicted PPIs'!V89+'Predicted PPIs'!V88)))*IF(G$73=".", 1, (G89/G88)^(('Summary, PPI''s'!$G89+'Summary, PPI''s'!$G88)/('Predicted PPIs'!V89+'Predicted PPIs'!V88)))*IF(H$73=".", 1, (H89/H88)^(('Summary, PPI''s'!$H89+'Summary, PPI''s'!$H88)/('Predicted PPIs'!V89+'Predicted PPIs'!V88)))*IF(I$73=".", 1, (I89/I88)^(('Summary, PPI''s'!$I89+'Summary, PPI''s'!$I88)/('Predicted PPIs'!V89+'Predicted PPIs'!V88)))*IF(J$73=".", 1, (J89/J88)^(('Summary, PPI''s'!$J89+'Summary, PPI''s'!$J88)/('Predicted PPIs'!V89+'Predicted PPIs'!V88)))*IF(K$73=".", 1, (K89/K88)^(('Summary, PPI''s'!$K89+'Summary, PPI''s'!$K88)/('Predicted PPIs'!V89+'Predicted PPIs'!V88)))*IF(L$73=".", 1, (L89/L88)^(('Summary, PPI''s'!$L89+'Summary, PPI''s'!$L88)/('Predicted PPIs'!V89+'Predicted PPIs'!V88)))*IF(M$73=".", 1, (M89/M88)^(('Summary, PPI''s'!$M89+'Summary, PPI''s'!$M88)/('Predicted PPIs'!V89+'Predicted PPIs'!V88)))*IF(B$73=".", 1, (B89/B88)^(('Summary, PPI''s'!$B89+'Summary, PPI''s'!$B88)/('Predicted PPIs'!V89+'Predicted PPIs'!V88)))*IF(C$73=".", 1, (C89/C88)^(('Summary, PPI''s'!$C89+'Summary, PPI''s'!$C88)/('Predicted PPIs'!V89+'Predicted PPIs'!V88)))*IF(D$73=".", 1, (D89/D88)^(('Summary, PPI''s'!$D89+'Summary, PPI''s'!$D88)/('Predicted PPIs'!V89+'Predicted PPIs'!V88)))*IF(N$73=".", 1, (N89/N88)^(('Summary, PPI''s'!$N89+'Summary, PPI''s'!$N88)/('Predicted PPIs'!V89+'Predicted PPIs'!V88)))*IF(O$73=".", 1, (O89/O88)^(('Summary, PPI''s'!$O89+'Summary, PPI''s'!$O88)/('Predicted PPIs'!V89+'Predicted PPIs'!V88)))*IF(P$73=".", 1, (P89/P88)^(('Summary, PPI''s'!$P89+'Summary, PPI''s'!$P88)/('Predicted PPIs'!V89+'Predicted PPIs'!V88)))</f>
        <v>#VALUE!</v>
      </c>
      <c r="AE89" s="4">
        <f>AE88*IF(E$94=".", 1, (E89/E88)^(('Summary, PPI''s'!$E89+'Summary, PPI''s'!$E88)/('Predicted PPIs'!W89+'Predicted PPIs'!W88)))*IF(F$94=".", 1, (F89/F88)^(('Summary, PPI''s'!$F89+'Summary, PPI''s'!$F88)/('Predicted PPIs'!W89+'Predicted PPIs'!W88)))*IF(G$94=".", 1, (G89/G88)^(('Summary, PPI''s'!$G89+'Summary, PPI''s'!$G88)/('Predicted PPIs'!W89+'Predicted PPIs'!W88)))*IF(H$94=".", 1, (H89/H88)^(('Summary, PPI''s'!$H89+'Summary, PPI''s'!$H88)/('Predicted PPIs'!W89+'Predicted PPIs'!W88)))*IF(I$94=".", 1, (I89/I88)^(('Summary, PPI''s'!$I89+'Summary, PPI''s'!$I88)/('Predicted PPIs'!W89+'Predicted PPIs'!W88)))*IF(J$94=".", 1, (J89/J88)^(('Summary, PPI''s'!$J89+'Summary, PPI''s'!$J88)/('Predicted PPIs'!W89+'Predicted PPIs'!W88)))*IF(K$94=".", 1, (K89/K88)^(('Summary, PPI''s'!$K89+'Summary, PPI''s'!$K88)/('Predicted PPIs'!W89+'Predicted PPIs'!W88)))*IF(L$94=".", 1, (L89/L88)^(('Summary, PPI''s'!$L89+'Summary, PPI''s'!$L88)/('Predicted PPIs'!W89+'Predicted PPIs'!W88)))*IF(M$94=".", 1, (M89/M88)^(('Summary, PPI''s'!$M89+'Summary, PPI''s'!$M88)/('Predicted PPIs'!W89+'Predicted PPIs'!W88)))*IF(B$94=".", 1, (B89/B88)^(('Summary, PPI''s'!$B89+'Summary, PPI''s'!$B88)/('Predicted PPIs'!W89+'Predicted PPIs'!W88)))*IF(C$94=".", 1, (C89/C88)^(('Summary, PPI''s'!$C89+'Summary, PPI''s'!$C88)/('Predicted PPIs'!W89+'Predicted PPIs'!W88)))*IF(D$94=".", 1, (D89/D88)^(('Summary, PPI''s'!$D89+'Summary, PPI''s'!$D88)/('Predicted PPIs'!W89+'Predicted PPIs'!W88)))*IF(N$94=".", 1, (N89/N88)^(('Summary, PPI''s'!$N89+'Summary, PPI''s'!$N88)/('Predicted PPIs'!W89+'Predicted PPIs'!W88)))*IF(O$94=".", 1, (O89/O88)^(('Summary, PPI''s'!$O89+'Summary, PPI''s'!$O88)/('Predicted PPIs'!W89+'Predicted PPIs'!W88)))*IF(P$94=".", 1, (P89/P88)^(('Summary, PPI''s'!$P89+'Summary, PPI''s'!$P88)/('Predicted PPIs'!W89+'Predicted PPIs'!W88)))</f>
        <v>3.0603169411175375</v>
      </c>
      <c r="AF89" s="4">
        <f>AF88*IF(E$123=".", 1, (E89/E88)^(('Summary, PPI''s'!$E89+'Summary, PPI''s'!$E88)/('Predicted PPIs'!X89+'Predicted PPIs'!X88)))*IF(F$123=".", 1, (F89/F88)^(('Summary, PPI''s'!$F89+'Summary, PPI''s'!$F88)/('Predicted PPIs'!X89+'Predicted PPIs'!X88)))*IF(G$123=".", 1, (G89/G88)^(('Summary, PPI''s'!$G89+'Summary, PPI''s'!$G88)/('Predicted PPIs'!X89+'Predicted PPIs'!X88)))*IF(H$123=".", 1, (H89/H88)^(('Summary, PPI''s'!$H89+'Summary, PPI''s'!$H88)/('Predicted PPIs'!X89+'Predicted PPIs'!X88)))*IF(I$123=".", 1, (I89/I88)^(('Summary, PPI''s'!$I89+'Summary, PPI''s'!$I88)/('Predicted PPIs'!X89+'Predicted PPIs'!X88)))*IF(J$123=".", 1, (J89/J88)^(('Summary, PPI''s'!$J89+'Summary, PPI''s'!$J88)/('Predicted PPIs'!X89+'Predicted PPIs'!X88)))*IF(K$123=".", 1, (K89/K88)^(('Summary, PPI''s'!$K89+'Summary, PPI''s'!$K88)/('Predicted PPIs'!X89+'Predicted PPIs'!X88)))*IF(L$123=".", 1, (L89/L88)^(('Summary, PPI''s'!$L89+'Summary, PPI''s'!$L88)/('Predicted PPIs'!X89+'Predicted PPIs'!X88)))*IF(M$123=".", 1, (M89/M88)^(('Summary, PPI''s'!$M89+'Summary, PPI''s'!$M88)/('Predicted PPIs'!X89+'Predicted PPIs'!X88)))*IF(B$123=".", 1, (B89/B88)^(('Summary, PPI''s'!$B89+'Summary, PPI''s'!$B88)/('Predicted PPIs'!X89+'Predicted PPIs'!X88)))*IF(C$123=".", 1, (C89/C88)^(('Summary, PPI''s'!$C89+'Summary, PPI''s'!$C88)/('Predicted PPIs'!X89+'Predicted PPIs'!X88)))*IF(D$123=".", 1, (D89/D88)^(('Summary, PPI''s'!$D89+'Summary, PPI''s'!$D88)/('Predicted PPIs'!X89+'Predicted PPIs'!X88)))*IF(N$123=".", 1, (N89/N88)^(('Summary, PPI''s'!$N89+'Summary, PPI''s'!$N88)/('Predicted PPIs'!X89+'Predicted PPIs'!X88)))*IF(O$123=".", 1, (O89/O88)^(('Summary, PPI''s'!$O89+'Summary, PPI''s'!$O88)/('Predicted PPIs'!X89+'Predicted PPIs'!X88)))*IF(P$123=".", 1, (P89/P88)^(('Summary, PPI''s'!$P89+'Summary, PPI''s'!$P88)/('Predicted PPIs'!X89+'Predicted PPIs'!X88)))</f>
        <v>2.8380452642767793</v>
      </c>
      <c r="AH89" s="13">
        <f t="shared" si="152"/>
        <v>4.1850802245419478</v>
      </c>
      <c r="AJ89" s="4">
        <v>51.5</v>
      </c>
      <c r="AK89" s="4">
        <v>-1.125</v>
      </c>
      <c r="AL89" s="4">
        <v>-3.6429999999999998</v>
      </c>
      <c r="AM89" s="4">
        <v>-0.64</v>
      </c>
      <c r="AN89" s="4">
        <f t="shared" si="176"/>
        <v>68.677269919703519</v>
      </c>
      <c r="AO89" s="4">
        <v>5.3</v>
      </c>
      <c r="AP89" s="4">
        <f t="shared" si="177"/>
        <v>-0.49032085561497329</v>
      </c>
      <c r="AQ89" s="4">
        <f t="shared" si="178"/>
        <v>-0.9269331550802139</v>
      </c>
      <c r="AR89" s="4">
        <f t="shared" si="148"/>
        <v>-3.4252827277397238E-5</v>
      </c>
      <c r="AS89" s="4">
        <v>-0.28999999999999998</v>
      </c>
      <c r="AT89" s="4">
        <v>7.0679999999999996</v>
      </c>
      <c r="AU89" s="4">
        <v>9.0120000000000005</v>
      </c>
      <c r="AV89" s="4">
        <v>7.9480000000000004</v>
      </c>
      <c r="AW89" s="4">
        <v>4.8</v>
      </c>
      <c r="AX89" s="4">
        <f t="shared" si="179"/>
        <v>6.7324793467819379</v>
      </c>
      <c r="AY89" s="4">
        <v>8.3689999999999998</v>
      </c>
      <c r="AZ89" s="4">
        <v>2.7109999999999999</v>
      </c>
      <c r="BA89" s="4">
        <v>6.992</v>
      </c>
      <c r="BB89" s="4">
        <f t="shared" si="150"/>
        <v>39.992516464619101</v>
      </c>
      <c r="BC89" s="4">
        <v>7.3150000000000004</v>
      </c>
      <c r="BG89" s="4">
        <f t="shared" si="172"/>
        <v>7.1359300056280421</v>
      </c>
      <c r="BI89" s="4">
        <f>BI$13*'[2]Ordinary Experience'!$D$337/'[2]Ordinary Experience'!$D$413</f>
        <v>126556949.48697697</v>
      </c>
      <c r="BJ89" s="4">
        <f>'[2]Ordinary Experience'!$E$337</f>
        <v>27.553983989247463</v>
      </c>
      <c r="BL89" s="4">
        <f t="shared" si="151"/>
        <v>19.637482193210868</v>
      </c>
      <c r="BM89" s="4">
        <f t="shared" si="153"/>
        <v>6.5900631609357996E-2</v>
      </c>
      <c r="BO89" s="4" t="str">
        <f>IF(OR('Summary, hourly ad costs'!R89=-9999,'Summary, PPI''s'!R89="."),".",(('Summary, hourly ad costs'!B89/'Summary, hourly ad costs'!R89)*100/('Summary, hourly ad costs'!B$11/'Summary, hourly ad costs'!R$11))/('Summary, PPI''s'!R89))</f>
        <v>.</v>
      </c>
      <c r="BP89" s="4" t="str">
        <f>IF(OR('Summary, hourly ad costs'!S89=-9999,'Summary, PPI''s'!S89="."),".",(('Summary, hourly ad costs'!C89/'Summary, hourly ad costs'!S89)*100/('Summary, hourly ad costs'!C$11/'Summary, hourly ad costs'!S$11))/('Summary, PPI''s'!S89))</f>
        <v>.</v>
      </c>
      <c r="BQ89" s="4" t="str">
        <f>IF(OR('Summary, hourly ad costs'!T89=-9999,'Summary, PPI''s'!T89="."),".",(('Summary, hourly ad costs'!D89/'Summary, hourly ad costs'!T89)*100/('Summary, hourly ad costs'!D$11/'Summary, hourly ad costs'!T$11))/('Summary, PPI''s'!T89))</f>
        <v>.</v>
      </c>
      <c r="BR89" s="4" t="str">
        <f>IF(OR('Summary, hourly ad costs'!U89=-9999,'Summary, PPI''s'!U89="."),".",(('Summary, hourly ad costs'!E89/'Summary, hourly ad costs'!U89)*100/('Summary, hourly ad costs'!E$11/'Summary, hourly ad costs'!U$11))/('Summary, PPI''s'!U89))</f>
        <v>.</v>
      </c>
      <c r="BS89" s="4" t="str">
        <f>IF(OR('Summary, hourly ad costs'!V89=-9999,'Summary, PPI''s'!V89="."),".",(('Summary, hourly ad costs'!F89/'Summary, hourly ad costs'!V89)*100/('Summary, hourly ad costs'!F$11/'Summary, hourly ad costs'!V$11))/('Summary, PPI''s'!V89))</f>
        <v>.</v>
      </c>
      <c r="BT89" s="4" t="str">
        <f>IF(OR('Summary, hourly ad costs'!W89=-9999,'Summary, PPI''s'!W89="."),".",(('Summary, hourly ad costs'!G89/'Summary, hourly ad costs'!W89)*100/('Summary, hourly ad costs'!G$11/'Summary, hourly ad costs'!W$11))/('Summary, PPI''s'!W89))</f>
        <v>.</v>
      </c>
      <c r="BU89" s="4" t="str">
        <f>IF(OR('Summary, hourly ad costs'!X89=-9999,'Summary, PPI''s'!X89="."),".",(('Summary, hourly ad costs'!H89/'Summary, hourly ad costs'!X89)*100/('Summary, hourly ad costs'!H$11/'Summary, hourly ad costs'!X$11))/('Summary, PPI''s'!X89))</f>
        <v>.</v>
      </c>
      <c r="BV89" s="4" t="str">
        <f>IF(OR('Summary, hourly ad costs'!Y89=-9999,'Summary, PPI''s'!Y89="."),".",(('Summary, hourly ad costs'!I89/'Summary, hourly ad costs'!Y89)*100/('Summary, hourly ad costs'!I$11/'Summary, hourly ad costs'!Y$11))/('Summary, PPI''s'!Y89))</f>
        <v>.</v>
      </c>
      <c r="BW89" s="4" t="str">
        <f>IF(OR('Summary, hourly ad costs'!Z89=-9999,'Summary, PPI''s'!Z89="."),".",(('Summary, hourly ad costs'!J89/'Summary, hourly ad costs'!Z89)*100/('Summary, hourly ad costs'!J$11/'Summary, hourly ad costs'!Z$11))/('Summary, PPI''s'!Z89))</f>
        <v>.</v>
      </c>
      <c r="BX89" s="4" t="str">
        <f>IF(OR('Summary, hourly ad costs'!AA89=-9999,'Summary, PPI''s'!AA89="."),".",(('Summary, hourly ad costs'!K89/'Summary, hourly ad costs'!AA89)*100/('Summary, hourly ad costs'!K$11/'Summary, hourly ad costs'!AA$11))/('Summary, PPI''s'!AA89))</f>
        <v>.</v>
      </c>
      <c r="BY89" s="4" t="str">
        <f>IF(OR('Summary, hourly ad costs'!AB89=-9999,'Summary, PPI''s'!AB89="."),".",(('Summary, hourly ad costs'!L89/'Summary, hourly ad costs'!AB89)*100/('Summary, hourly ad costs'!L$11/'Summary, hourly ad costs'!AB$11))/('Summary, PPI''s'!AB89))</f>
        <v>.</v>
      </c>
      <c r="BZ89" s="4" t="str">
        <f>IF(OR('Summary, hourly ad costs'!AC89=-9999,'Summary, PPI''s'!AC89="."),".",(('Summary, hourly ad costs'!M89/'Summary, hourly ad costs'!AC89)*100/('Summary, hourly ad costs'!M$11/'Summary, hourly ad costs'!AC$11))/('Summary, PPI''s'!AC89))</f>
        <v>.</v>
      </c>
      <c r="CA89" s="4" t="str">
        <f>IF(OR('Summary, hourly ad costs'!AD89=-9999,'Summary, PPI''s'!AD89="."),".",(('Summary, hourly ad costs'!N89/'Summary, hourly ad costs'!AD89)*100/('Summary, hourly ad costs'!N$11/'Summary, hourly ad costs'!AD$11))/('Summary, PPI''s'!AD89))</f>
        <v>.</v>
      </c>
      <c r="CB89" s="4" t="str">
        <f>IF(OR('Summary, hourly ad costs'!AE89=-9999,'Summary, PPI''s'!AE89="."),".",(('Summary, hourly ad costs'!O89/'Summary, hourly ad costs'!AE89)*100/('Summary, hourly ad costs'!O$11/'Summary, hourly ad costs'!AE$11))/('Summary, PPI''s'!AE89))</f>
        <v>.</v>
      </c>
      <c r="CC89" s="4" t="str">
        <f>IF(OR('Summary, hourly ad costs'!AF89=-9999,'Summary, PPI''s'!AF89="."),".",(('Summary, hourly ad costs'!P89/'Summary, hourly ad costs'!AF89)*100/('Summary, hourly ad costs'!P$11/'Summary, hourly ad costs'!AF$11))/('Summary, PPI''s'!AF89))</f>
        <v>.</v>
      </c>
      <c r="CE89" s="4">
        <f t="shared" si="134"/>
        <v>3.041256743982601E-2</v>
      </c>
      <c r="CF89" s="4" t="str">
        <f t="shared" si="135"/>
        <v>.</v>
      </c>
      <c r="CG89" s="4" t="str">
        <f t="shared" si="136"/>
        <v>.</v>
      </c>
      <c r="CH89" s="4">
        <f t="shared" si="145"/>
        <v>6.3938094619084354E-2</v>
      </c>
      <c r="CI89" s="4">
        <f t="shared" si="145"/>
        <v>7.4320259587799017E-2</v>
      </c>
      <c r="CJ89" s="4" t="str">
        <f t="shared" si="147"/>
        <v>.</v>
      </c>
      <c r="CK89" s="4">
        <f t="shared" si="149"/>
        <v>8.0706070905336774E-4</v>
      </c>
      <c r="CL89" s="4">
        <f t="shared" si="130"/>
        <v>5.1672580980864219E-2</v>
      </c>
      <c r="CM89" s="4">
        <f t="shared" si="130"/>
        <v>3.7106084183309393E-2</v>
      </c>
      <c r="CN89" s="4">
        <f t="shared" si="89"/>
        <v>3.7729856561860911E-2</v>
      </c>
      <c r="CO89" s="4">
        <f t="shared" si="180"/>
        <v>0.42712590103946158</v>
      </c>
      <c r="CP89" s="4">
        <f t="shared" si="180"/>
        <v>1.6386703796149954E-2</v>
      </c>
      <c r="CQ89" s="4" t="str">
        <f t="shared" si="173"/>
        <v>.</v>
      </c>
      <c r="CR89" s="4" t="str">
        <f t="shared" si="174"/>
        <v>.</v>
      </c>
      <c r="CS89" s="4" t="str">
        <f t="shared" si="175"/>
        <v>.</v>
      </c>
      <c r="CU89" s="5">
        <f>IF(CU88=".", ".", IF('Summary, PPI''s'!R89=".",IF(OR('Summary, hourly ad costs'!R89=-9999,'Summary, hourly ad costs'!R89=0), ".", 'Predicted PPIs'!CU88*('Summary, hourly ad costs'!B89/'Summary, hourly ad costs'!R89)/('Summary, hourly ad costs'!B88/'Summary, hourly ad costs'!R88)/(1-CE88)), 'Summary, PPI''s'!R89))</f>
        <v>28.537199764699196</v>
      </c>
      <c r="CV89" s="5" t="str">
        <f>IF(CV88=".", ".", IF('Summary, PPI''s'!S89=".",IF(OR('Summary, hourly ad costs'!S89=-9999,'Summary, hourly ad costs'!S89=0), ".", 'Predicted PPIs'!CV88*('Summary, hourly ad costs'!C89/'Summary, hourly ad costs'!S89)/('Summary, hourly ad costs'!C88/'Summary, hourly ad costs'!S88)/(1-CF88)), 'Summary, PPI''s'!S89))</f>
        <v>.</v>
      </c>
      <c r="CW89" s="5" t="str">
        <f>IF(CW88=".", ".", IF('Summary, PPI''s'!T89=".",IF(OR('Summary, hourly ad costs'!T89=-9999,'Summary, hourly ad costs'!T89=0), ".", 'Predicted PPIs'!CW88*('Summary, hourly ad costs'!D89/'Summary, hourly ad costs'!T89)/('Summary, hourly ad costs'!D88/'Summary, hourly ad costs'!T88)/(1-CG88)), 'Summary, PPI''s'!T89))</f>
        <v>.</v>
      </c>
      <c r="CX89" s="5">
        <f>IF(CX88=".", ".", IF('Summary, PPI''s'!U89=".",IF(OR('Summary, hourly ad costs'!U89=-9999,'Summary, hourly ad costs'!U89=0), ".", 'Predicted PPIs'!CX88*('Summary, hourly ad costs'!E89/'Summary, hourly ad costs'!U89)/('Summary, hourly ad costs'!E88/'Summary, hourly ad costs'!U88)/(1-CH88)), 'Summary, PPI''s'!U89))</f>
        <v>2.6155511283868682</v>
      </c>
      <c r="CY89" s="5">
        <f>IF(CY88=".", ".", IF('Summary, PPI''s'!V89=".",IF(OR('Summary, hourly ad costs'!V89=-9999,'Summary, hourly ad costs'!V89=0), ".", 'Predicted PPIs'!CY88*('Summary, hourly ad costs'!F89/'Summary, hourly ad costs'!V89)/('Summary, hourly ad costs'!F88/'Summary, hourly ad costs'!V88)/(1-CI88)), 'Summary, PPI''s'!V89))</f>
        <v>5.4820434505930296</v>
      </c>
      <c r="CZ89" s="5" t="str">
        <f>IF(CZ88=".", ".", IF('Summary, PPI''s'!W89=".",IF(OR('Summary, hourly ad costs'!W89=-9999,'Summary, hourly ad costs'!W89=0), ".", 'Predicted PPIs'!CZ88*('Summary, hourly ad costs'!G89/'Summary, hourly ad costs'!W89)/('Summary, hourly ad costs'!G88/'Summary, hourly ad costs'!W88)/(1-CJ88)), 'Summary, PPI''s'!W89))</f>
        <v>.</v>
      </c>
      <c r="DA89" s="5">
        <f>IF(DA88=".", ".", IF('Summary, PPI''s'!X89=".",IF(OR('Summary, hourly ad costs'!X89=-9999,'Summary, hourly ad costs'!X89=0), ".", 'Predicted PPIs'!DA88*('Summary, hourly ad costs'!H89/'Summary, hourly ad costs'!X89)/('Summary, hourly ad costs'!H88/'Summary, hourly ad costs'!X88)/(1-CK88)), 'Summary, PPI''s'!X89))</f>
        <v>1.8586777185216956</v>
      </c>
      <c r="DB89" s="5">
        <f>IF(DB88=".", ".", IF('Summary, PPI''s'!Y89=".",IF(OR('Summary, hourly ad costs'!Y89=-9999,'Summary, hourly ad costs'!Y89=0), ".", 'Predicted PPIs'!DB88*('Summary, hourly ad costs'!I89/'Summary, hourly ad costs'!Y89)/('Summary, hourly ad costs'!I88/'Summary, hourly ad costs'!Y88)/(1-CL88)), 'Summary, PPI''s'!Y89))</f>
        <v>5.9271915004050628</v>
      </c>
      <c r="DC89" s="5" t="str">
        <f>IF(DC88=".", ".", IF('Summary, PPI''s'!Z89=".",IF(OR('Summary, hourly ad costs'!Z89=-9999,'Summary, hourly ad costs'!Z89=0), ".", 'Predicted PPIs'!DC88*('Summary, hourly ad costs'!J89/'Summary, hourly ad costs'!Z89)/('Summary, hourly ad costs'!J88/'Summary, hourly ad costs'!Z88)/(1-CM88)), 'Summary, PPI''s'!Z89))</f>
        <v>.</v>
      </c>
      <c r="DD89" s="5" t="str">
        <f>IF(DD88=".", ".", IF('Summary, PPI''s'!AA89=".",IF(OR('Summary, hourly ad costs'!AA89=-9999,'Summary, hourly ad costs'!AA89=0), ".", 'Predicted PPIs'!DD88*('Summary, hourly ad costs'!K89/'Summary, hourly ad costs'!AA89)/('Summary, hourly ad costs'!K88/'Summary, hourly ad costs'!AA88)/(1-CN88)), 'Summary, PPI''s'!AA89))</f>
        <v>.</v>
      </c>
      <c r="DE89" s="5" t="str">
        <f>IF(DE88=".", ".", IF('Summary, PPI''s'!AB89=".",IF(OR('Summary, hourly ad costs'!AB89=-9999,'Summary, hourly ad costs'!AB89=0), ".", 'Predicted PPIs'!DE88*('Summary, hourly ad costs'!L89/'Summary, hourly ad costs'!AB89)/('Summary, hourly ad costs'!L88/'Summary, hourly ad costs'!AB88)/(1-CO88)), 'Summary, PPI''s'!AB89))</f>
        <v>.</v>
      </c>
      <c r="DF89" s="5" t="str">
        <f>IF(DF88=".", ".", IF('Summary, PPI''s'!AC89=".",IF(OR('Summary, hourly ad costs'!AC89=-9999,'Summary, hourly ad costs'!AC89=0), ".", 'Predicted PPIs'!DF88*('Summary, hourly ad costs'!M89/'Summary, hourly ad costs'!AC89)/('Summary, hourly ad costs'!M88/'Summary, hourly ad costs'!AC88)/(1-CP88)), 'Summary, PPI''s'!AC89))</f>
        <v>.</v>
      </c>
      <c r="DG89" s="5" t="str">
        <f>IF(DG88=".", ".", IF('Summary, PPI''s'!AD89=".",IF(OR('Summary, hourly ad costs'!AD89=-9999,'Summary, hourly ad costs'!AD89=0), ".", 'Predicted PPIs'!DG88*('Summary, hourly ad costs'!N89/'Summary, hourly ad costs'!AD89)/('Summary, hourly ad costs'!N88/'Summary, hourly ad costs'!AD88)/(1-CQ88)), 'Summary, PPI''s'!AD89))</f>
        <v>.</v>
      </c>
      <c r="DH89" s="5" t="str">
        <f>IF(DH88=".", ".", IF('Summary, PPI''s'!AE89=".",IF(OR('Summary, hourly ad costs'!AE89=-9999,'Summary, hourly ad costs'!AE89=0), ".", 'Predicted PPIs'!DH88*('Summary, hourly ad costs'!O89/'Summary, hourly ad costs'!AE89)/('Summary, hourly ad costs'!O88/'Summary, hourly ad costs'!AE88)/(1-CR88)), 'Summary, PPI''s'!AE89))</f>
        <v>.</v>
      </c>
      <c r="DI89" s="5" t="str">
        <f>IF(DI88=".", ".", IF('Summary, PPI''s'!AF89=".",IF(OR('Summary, hourly ad costs'!AF89=-9999,'Summary, hourly ad costs'!AF89=0), ".", 'Predicted PPIs'!DI88*('Summary, hourly ad costs'!P89/'Summary, hourly ad costs'!AF89)/('Summary, hourly ad costs'!P88/'Summary, hourly ad costs'!AF88)/(1-CS88)), 'Summary, PPI''s'!AF89))</f>
        <v>.</v>
      </c>
      <c r="DK89" s="4">
        <v>2.0699999999999998</v>
      </c>
      <c r="DM89" s="5">
        <f t="shared" si="138"/>
        <v>0.48845192223501521</v>
      </c>
      <c r="DN89" s="4">
        <f t="shared" si="139"/>
        <v>-3.2414258375769826E-2</v>
      </c>
      <c r="DO89" s="4">
        <f t="shared" si="181"/>
        <v>-2.2389924787448057E-2</v>
      </c>
      <c r="DP89" s="5">
        <f t="shared" si="140"/>
        <v>1.0931951693662345E-3</v>
      </c>
      <c r="DQ89" s="5">
        <f t="shared" si="141"/>
        <v>9.3726012784949519E-2</v>
      </c>
      <c r="DR89" s="4">
        <f t="shared" si="146"/>
        <v>-2.1670944980213686E-3</v>
      </c>
      <c r="DS89" s="5">
        <f t="shared" si="169"/>
        <v>7.1226827367484757E-2</v>
      </c>
      <c r="DT89" s="5">
        <f t="shared" si="170"/>
        <v>3.5082653837272604E-2</v>
      </c>
      <c r="DU89" s="4">
        <f t="shared" si="171"/>
        <v>-4.6888247343410509E-3</v>
      </c>
      <c r="DV89" s="4">
        <f t="shared" si="131"/>
        <v>-1.6067139302264233E-3</v>
      </c>
      <c r="DW89" s="4">
        <f t="shared" si="133"/>
        <v>-0.2091976824135354</v>
      </c>
      <c r="DX89" s="4">
        <f t="shared" si="133"/>
        <v>0.21223909995650408</v>
      </c>
      <c r="DY89" s="4">
        <f t="shared" si="108"/>
        <v>-1.1701715068498115E-2</v>
      </c>
      <c r="DZ89" s="4">
        <f t="shared" si="132"/>
        <v>-4.5593166322954858E-3</v>
      </c>
      <c r="EA89" s="4">
        <f t="shared" si="109"/>
        <v>-6.6977675295674301E-3</v>
      </c>
      <c r="EC89" s="1">
        <f t="shared" si="154"/>
        <v>28.537199764699196</v>
      </c>
      <c r="ED89" s="1">
        <f t="shared" si="155"/>
        <v>3.2249484345286792</v>
      </c>
      <c r="EE89" s="1">
        <f t="shared" si="156"/>
        <v>1.9194321531503968</v>
      </c>
      <c r="EF89" s="1">
        <f t="shared" si="157"/>
        <v>2.6155511283868682</v>
      </c>
      <c r="EG89" s="1">
        <f t="shared" si="158"/>
        <v>5.4820434505930296</v>
      </c>
      <c r="EH89" s="1">
        <f t="shared" si="159"/>
        <v>2.2113690062547788</v>
      </c>
      <c r="EI89" s="1">
        <f t="shared" si="160"/>
        <v>1.8586777185216956</v>
      </c>
      <c r="EJ89" s="1">
        <f t="shared" si="161"/>
        <v>5.9271915004050628</v>
      </c>
      <c r="EK89" s="1">
        <f t="shared" si="162"/>
        <v>7.7130293354009121</v>
      </c>
      <c r="EL89" s="1">
        <f t="shared" si="163"/>
        <v>1.679540783876341</v>
      </c>
      <c r="EM89" s="1">
        <f t="shared" si="164"/>
        <v>7.6559568735878325E-2</v>
      </c>
      <c r="EN89" s="1">
        <f t="shared" si="165"/>
        <v>6.0490712280931325</v>
      </c>
      <c r="EO89" s="1">
        <f t="shared" si="166"/>
        <v>1.3640600431743892</v>
      </c>
      <c r="EP89" s="1">
        <f t="shared" si="167"/>
        <v>2.1818922286271438</v>
      </c>
      <c r="EQ89" s="1">
        <f t="shared" si="168"/>
        <v>1.6785791273205624</v>
      </c>
      <c r="ES89" s="1">
        <f>IF(EF$26=".", 0, 'Summary, PPI''s'!E89)+IF(EG$26=".", 0, 'Summary, PPI''s'!F89)+IF(EH$26=".", 0, 'Summary, PPI''s'!G89)+IF(EI$26=".", 0, 'Summary, PPI''s'!H89)+IF(EJ$26=".", 0, 'Summary, PPI''s'!I89)+IF(EK$26=".", 0, 'Summary, PPI''s'!J89)+IF(EL$26=".", 0, 'Summary, PPI''s'!K89)+IF(EM$26=".", 0, 'Summary, PPI''s'!L89)+IF(EN$26=".", 0, 'Summary, PPI''s'!M89)+IF(EC$26=".", 0, 'Summary, PPI''s'!B89)+IF(ED$26=".", 0, 'Summary, PPI''s'!C89)+IF(EE$26=".", 0, 'Summary, PPI''s'!D89)+IF(EO$26=".", 0, 'Summary, PPI''s'!N89)+IF(EP$26=".", 0, 'Summary, PPI''s'!O89)+IF(EQ$26=".", 0, 'Summary, PPI''s'!P89)</f>
        <v>1542134.9804295406</v>
      </c>
      <c r="ET89" s="1">
        <f>'Summary, hourly ad costs'!E89+'Summary, hourly ad costs'!F89+'Summary, hourly ad costs'!H89+'Summary, hourly ad costs'!I89+'Summary, hourly ad costs'!J89+'Summary, hourly ad costs'!K89+'Summary, hourly ad costs'!L89+'Summary, hourly ad costs'!M89+'Summary, hourly ad costs'!B89</f>
        <v>1020664.9149262569</v>
      </c>
      <c r="EV89" s="13">
        <f>EV88*IF(EF$26=".", 1, (EF89/EF88)^(('Summary, PPI''s'!$E89+'Summary, PPI''s'!$E88)/('Predicted PPIs'!ES89+'Predicted PPIs'!ES88)))*IF(EG$26=".", 1, (EG89/EG88)^(('Summary, PPI''s'!$F89+'Summary, PPI''s'!$F88)/('Predicted PPIs'!ES89+'Predicted PPIs'!ES88)))*IF(EH$26=".", 1, (EH89/EH88)^(('Summary, PPI''s'!$G89+'Summary, PPI''s'!$G88)/('Predicted PPIs'!ES89+'Predicted PPIs'!ES88)))*IF(EI$26=".", 1, (EI89/EI88)^(('Summary, PPI''s'!$H89+'Summary, PPI''s'!$H88)/('Predicted PPIs'!ES89+'Predicted PPIs'!ES88)))*IF(EJ$26=".", 1, (EJ89/EJ88)^(('Summary, PPI''s'!$I89+'Summary, PPI''s'!$I88)/('Predicted PPIs'!ES89+'Predicted PPIs'!ES88)))*IF(EK$26=".", 1, (EK89/EK88)^(('Summary, PPI''s'!$J89+'Summary, PPI''s'!$J88)/('Predicted PPIs'!ES89+'Predicted PPIs'!ES88)))*IF(EL$26=".", 1, (EL89/EL88)^(('Summary, PPI''s'!$K89+'Summary, PPI''s'!$K88)/('Predicted PPIs'!ES89+'Predicted PPIs'!ES88)))*IF(EM$26=".", 1, (EM89/EM88)^(('Summary, PPI''s'!$L89+'Summary, PPI''s'!$L88)/('Predicted PPIs'!ES89+'Predicted PPIs'!ES88)))*IF(EN$26=".", 1, (EN89/EN88)^(('Summary, PPI''s'!$M89+'Summary, PPI''s'!$M88)/('Predicted PPIs'!ES89+'Predicted PPIs'!ES88)))*IF(EC$26=".", 1, (EC89/EC88)^(('Summary, PPI''s'!$B89+'Summary, PPI''s'!$B88)/('Predicted PPIs'!ES89+'Predicted PPIs'!ES88)))*IF(ED$26=".", 1, (ED89/ED88)^(('Summary, PPI''s'!$C89+'Summary, PPI''s'!$C88)/('Predicted PPIs'!ES89+'Predicted PPIs'!ES88)))*IF(EE$26=".", 1, (EE89/EE88)^(('Summary, PPI''s'!$D89+'Summary, PPI''s'!$D88)/('Predicted PPIs'!ES89+'Predicted PPIs'!ES88)))*IF(EO$26=".", 1, (EO89/EO88)^(('Summary, PPI''s'!$N89+'Summary, PPI''s'!$N88)/('Predicted PPIs'!ES89+'Predicted PPIs'!ES88)))*IF(EP$26=".", 1, (EP89/EP88)^(('Summary, PPI''s'!$O89+'Summary, PPI''s'!$O88)/('Predicted PPIs'!ES89+'Predicted PPIs'!ES88)))*IF(EQ$26=".", 1, (EQ89/EQ88)^(('Summary, PPI''s'!$P89+'Summary, PPI''s'!$P88)/('Predicted PPIs'!ES89+'Predicted PPIs'!ES88)))</f>
        <v>4.0536877030027982</v>
      </c>
      <c r="EW89" s="13">
        <f>EW88*IF(EF$26=".", 1, (EF89/EF88)^(('Summary, PPI''s'!$E89+'Summary, PPI''s'!$E88)/('Predicted PPIs'!ET89+'Predicted PPIs'!ET88)))*IF(EG$26=".", 1, (EG89/EG88)^(('Summary, PPI''s'!$F89+'Summary, PPI''s'!$F88)/('Predicted PPIs'!ET89+'Predicted PPIs'!ET88)))*IF(EH$26=".", 1, (EH89/EH88)^(('Summary, PPI''s'!$G89+'Summary, PPI''s'!$G88)/('Predicted PPIs'!ET89+'Predicted PPIs'!ET88)))*IF(EK$26=".", 1, (EK89/EK88)^(('Summary, PPI''s'!$J89+'Summary, PPI''s'!$J88)/('Predicted PPIs'!ET89+'Predicted PPIs'!ET88)))*IF(EL$26=".", 1, (EL89/EL88)^(('Summary, PPI''s'!$K89+'Summary, PPI''s'!$K88)/('Predicted PPIs'!ET89+'Predicted PPIs'!ET88)))*IF(EM$26=".", 1, (EM89/EM88)^(('Summary, PPI''s'!$L89+'Summary, PPI''s'!$L88)/('Predicted PPIs'!ET89+'Predicted PPIs'!ET88)))*IF(EN$26=".", 1, (EN89/EN88)^(('Summary, PPI''s'!$M89+'Summary, PPI''s'!$M88)/('Predicted PPIs'!ET89+'Predicted PPIs'!ET88)))*IF(EC$26=".", 1, (EC89/EC88)^(('Summary, PPI''s'!$B89+'Summary, PPI''s'!$B88)/('Predicted PPIs'!ET89+'Predicted PPIs'!ET88)))</f>
        <v>7.6271122021285951</v>
      </c>
      <c r="EY89" s="2"/>
    </row>
    <row r="90" spans="1:155" x14ac:dyDescent="0.3">
      <c r="A90" s="4">
        <v>1933</v>
      </c>
      <c r="B90" s="10">
        <f>IF(B89=".", ".", IF('Summary, PPI''s'!R90=".",IF(OR('Summary, hourly ad costs'!R90=-9999,'Summary, hourly ad costs'!R90=0), ".", 'Predicted PPIs'!B89*('Summary, hourly ad costs'!B90/'Summary, hourly ad costs'!R90)/('Summary, hourly ad costs'!B89/'Summary, hourly ad costs'!R89)), 'Summary, PPI''s'!R90))</f>
        <v>20.964250046018947</v>
      </c>
      <c r="C90" s="10" t="str">
        <f>IF(C89=".", ".", IF('Summary, PPI''s'!S90=".",IF(OR('Summary, hourly ad costs'!S90=-9999,'Summary, hourly ad costs'!S90=0), ".", 'Predicted PPIs'!C89*('Summary, hourly ad costs'!C90/'Summary, hourly ad costs'!S90)/('Summary, hourly ad costs'!C89/'Summary, hourly ad costs'!S89)), 'Summary, PPI''s'!S90))</f>
        <v>.</v>
      </c>
      <c r="D90" s="10" t="str">
        <f>IF(D89=".", ".", IF('Summary, PPI''s'!T90=".",IF(OR('Summary, hourly ad costs'!T90=-9999,'Summary, hourly ad costs'!T90=0), ".", 'Predicted PPIs'!D89*('Summary, hourly ad costs'!D90/'Summary, hourly ad costs'!T90)/('Summary, hourly ad costs'!D89/'Summary, hourly ad costs'!T89)), 'Summary, PPI''s'!T90))</f>
        <v>.</v>
      </c>
      <c r="E90" s="10">
        <f>IF(E89=".", ".", IF('Summary, PPI''s'!U90=".",IF(OR('Summary, hourly ad costs'!U90=-9999,'Summary, hourly ad costs'!U90=0), ".", 'Predicted PPIs'!E89*('Summary, hourly ad costs'!E90/'Summary, hourly ad costs'!U90)/('Summary, hourly ad costs'!E89/'Summary, hourly ad costs'!U89)), 'Summary, PPI''s'!U90))</f>
        <v>1.4867084922850793</v>
      </c>
      <c r="F90" s="10">
        <f>IF(F89=".", ".", IF('Summary, PPI''s'!V90=".",IF(OR('Summary, hourly ad costs'!V90=-9999,'Summary, hourly ad costs'!V90=0), ".", 'Predicted PPIs'!F89*('Summary, hourly ad costs'!F90/'Summary, hourly ad costs'!V90)/('Summary, hourly ad costs'!F89/'Summary, hourly ad costs'!V89)), 'Summary, PPI''s'!V90))</f>
        <v>2.4892790123626098</v>
      </c>
      <c r="G90" s="10" t="str">
        <f>IF(G89=".", ".", IF('Summary, PPI''s'!W90=".",IF(OR('Summary, hourly ad costs'!W90=-9999,'Summary, hourly ad costs'!W90=0), ".", 'Predicted PPIs'!G89*('Summary, hourly ad costs'!G90/'Summary, hourly ad costs'!W90)/('Summary, hourly ad costs'!G89/'Summary, hourly ad costs'!W89)), 'Summary, PPI''s'!W90))</f>
        <v>.</v>
      </c>
      <c r="H90" s="10">
        <f>IF(H89=".", ".", IF('Summary, PPI''s'!X90=".",IF(OR('Summary, hourly ad costs'!X90=-9999,'Summary, hourly ad costs'!X90=0), ".", 'Predicted PPIs'!H89*('Summary, hourly ad costs'!H90/'Summary, hourly ad costs'!X90)/('Summary, hourly ad costs'!H89/'Summary, hourly ad costs'!X89)), 'Summary, PPI''s'!X90))</f>
        <v>1.5958112399316566</v>
      </c>
      <c r="I90" s="10">
        <f>IF(I89=".", ".", IF('Summary, PPI''s'!Y90=".",IF(OR('Summary, hourly ad costs'!Y90=-9999,'Summary, hourly ad costs'!Y90=0), ".", 'Predicted PPIs'!I89*('Summary, hourly ad costs'!I90/'Summary, hourly ad costs'!Y90)/('Summary, hourly ad costs'!I89/'Summary, hourly ad costs'!Y89)), 'Summary, PPI''s'!Y90))</f>
        <v>3.1778452109486732</v>
      </c>
      <c r="J90" s="10" t="str">
        <f>IF(J89=".", ".", IF('Summary, PPI''s'!Z90=".",IF(OR('Summary, hourly ad costs'!Z90=-9999,'Summary, hourly ad costs'!Z90=0), ".", 'Predicted PPIs'!J89*('Summary, hourly ad costs'!J90/'Summary, hourly ad costs'!Z90)/('Summary, hourly ad costs'!J89/'Summary, hourly ad costs'!Z89)), 'Summary, PPI''s'!Z90))</f>
        <v>.</v>
      </c>
      <c r="K90" s="10" t="str">
        <f>IF(K89=".", ".", IF('Summary, PPI''s'!AA90=".",IF(OR('Summary, hourly ad costs'!AA90=-9999,'Summary, hourly ad costs'!AA90=0), ".", 'Predicted PPIs'!K89*('Summary, hourly ad costs'!K90/'Summary, hourly ad costs'!AA90)/('Summary, hourly ad costs'!K89/'Summary, hourly ad costs'!AA89)), 'Summary, PPI''s'!AA90))</f>
        <v>.</v>
      </c>
      <c r="L90" s="10" t="str">
        <f>IF(L89=".", ".", IF('Summary, PPI''s'!AB90=".",IF(OR('Summary, hourly ad costs'!AB90=-9999,'Summary, hourly ad costs'!AB90=0), ".", 'Predicted PPIs'!L89*('Summary, hourly ad costs'!L90/'Summary, hourly ad costs'!AB90)/('Summary, hourly ad costs'!L89/'Summary, hourly ad costs'!AB89)), 'Summary, PPI''s'!AB90))</f>
        <v>.</v>
      </c>
      <c r="M90" s="10" t="str">
        <f>IF(M89=".", ".", IF('Summary, PPI''s'!AC90=".",IF(OR('Summary, hourly ad costs'!AC90=-9999,'Summary, hourly ad costs'!AC90=0), ".", 'Predicted PPIs'!M89*('Summary, hourly ad costs'!M90/'Summary, hourly ad costs'!AC90)/('Summary, hourly ad costs'!M89/'Summary, hourly ad costs'!AC89)), 'Summary, PPI''s'!AC90))</f>
        <v>.</v>
      </c>
      <c r="N90" s="10" t="str">
        <f>IF(N89=".", ".", IF('Summary, PPI''s'!AD90=".",IF(OR('Summary, hourly ad costs'!AD90=-9999,'Summary, hourly ad costs'!AD90=0), ".", 'Predicted PPIs'!N89*('Summary, hourly ad costs'!N90/'Summary, hourly ad costs'!AD90)/('Summary, hourly ad costs'!N89/'Summary, hourly ad costs'!AD89)), 'Summary, PPI''s'!AD90))</f>
        <v>.</v>
      </c>
      <c r="O90" s="10" t="str">
        <f>IF(O89=".", ".", IF('Summary, PPI''s'!AE90=".",IF(OR('Summary, hourly ad costs'!AE90=-9999,'Summary, hourly ad costs'!AE90=0), ".", 'Predicted PPIs'!O89*('Summary, hourly ad costs'!O90/'Summary, hourly ad costs'!AE90)/('Summary, hourly ad costs'!O89/'Summary, hourly ad costs'!AE89)), 'Summary, PPI''s'!AE90))</f>
        <v>.</v>
      </c>
      <c r="P90" s="10" t="str">
        <f>IF(P89=".", ".", IF('Summary, PPI''s'!AF90=".",IF(OR('Summary, hourly ad costs'!AF90=-9999,'Summary, hourly ad costs'!AF90=0), ".", 'Predicted PPIs'!P89*('Summary, hourly ad costs'!P90/'Summary, hourly ad costs'!AF90)/('Summary, hourly ad costs'!P89/'Summary, hourly ad costs'!AF89)), 'Summary, PPI''s'!AF90))</f>
        <v>.</v>
      </c>
      <c r="R90" s="1">
        <f>IF(E$26=".", 0, 'Summary, PPI''s'!E90)+IF(F$26=".", 0, 'Summary, PPI''s'!F90)+IF(G$26=".", 0, 'Summary, PPI''s'!G90)+IF(H$26=".", 0, 'Summary, PPI''s'!H90)+IF(I$26=".", 0, 'Summary, PPI''s'!I90)+IF(J$26=".", 0, 'Summary, PPI''s'!J90)+IF(K$26=".", 0, 'Summary, PPI''s'!K90)+IF(L$26=".", 0, 'Summary, PPI''s'!L90)+IF(M$26=".", 0, 'Summary, PPI''s'!M90)+IF(B$26=".", 0, 'Summary, PPI''s'!B90)+IF(C$26=".", 0, 'Summary, PPI''s'!C90)+IF(D$26=".", 0, 'Summary, PPI''s'!D90)+IF(N$26=".", 0, 'Summary, PPI''s'!N90)+IF(O$26=".", 0, 'Summary, PPI''s'!O90)+IF(P$26=".", 0, 'Summary, PPI''s'!P90)</f>
        <v>1289799.2852158158</v>
      </c>
      <c r="S90" s="1">
        <f>IF(E$36=".", 0, 'Summary, PPI''s'!E90)+IF(F$36=".", 0, 'Summary, PPI''s'!F90)+IF(G$36=".", 0, 'Summary, PPI''s'!G90)+IF(H$36=".", 0, 'Summary, PPI''s'!H90)+IF(I$36=".", 0, 'Summary, PPI''s'!I90)+IF(J$36=".", 0, 'Summary, PPI''s'!J90)+IF(K$36=".", 0, 'Summary, PPI''s'!K90)+IF(L$36=".", 0, 'Summary, PPI''s'!L90)+IF(M$36=".", 0, 'Summary, PPI''s'!M90)+IF(B$36=".", 0, 'Summary, PPI''s'!B90)+IF(C$36=".", 0, 'Summary, PPI''s'!C90)+IF(D$36=".", 0, 'Summary, PPI''s'!D90)+IF(N$36=".", 0, 'Summary, PPI''s'!N90)+IF(O$36=".", 0, 'Summary, PPI''s'!O90)+IF(P$36=".", 0, 'Summary, PPI''s'!P90)</f>
        <v>1289799.2852158158</v>
      </c>
      <c r="T90" s="1">
        <f>IF(E$46=".", 0, 'Summary, PPI''s'!E90)+IF(F$46=".", 0, 'Summary, PPI''s'!F90)+IF(G$46=".", 0, 'Summary, PPI''s'!G90)+IF(H$46=".", 0, 'Summary, PPI''s'!H90)+IF(I$46=".", 0, 'Summary, PPI''s'!I90)+IF(J$46=".", 0, 'Summary, PPI''s'!J90)+IF(K$46=".", 0, 'Summary, PPI''s'!K90)+IF(L$46=".", 0, 'Summary, PPI''s'!L90)+IF(M$46=".", 0, 'Summary, PPI''s'!M90)+IF(B$46=".", 0, 'Summary, PPI''s'!B90)+IF(C$46=".", 0, 'Summary, PPI''s'!C90)+IF(D$46=".", 0, 'Summary, PPI''s'!D90)+IF(N$46=".", 0, 'Summary, PPI''s'!N90)+IF(O$46=".", 0, 'Summary, PPI''s'!O90)+IF(P$46=".", 0, 'Summary, PPI''s'!P90)</f>
        <v>1083579.4900277108</v>
      </c>
      <c r="U90" s="1">
        <f>IF(E$60=".", 0, 'Summary, PPI''s'!E90)+IF(F$60=".", 0, 'Summary, PPI''s'!F90)+IF(G$60=".", 0, 'Summary, PPI''s'!G90)+IF(H$60=".", 0, 'Summary, PPI''s'!H90)+IF(I$60=".", 0, 'Summary, PPI''s'!I90)+IF(J$60=".", 0, 'Summary, PPI''s'!J90)+IF(K$60=".", 0, 'Summary, PPI''s'!K90)+IF(L$60=".", 0, 'Summary, PPI''s'!L90)+IF(M$60=".", 0, 'Summary, PPI''s'!M90)+IF(B$60=".", 0, 'Summary, PPI''s'!B90)+IF(C$60=".", 0, 'Summary, PPI''s'!C90)+IF(D$60=".", 0, 'Summary, PPI''s'!D90)+IF(N$60=".", 0, 'Summary, PPI''s'!N90)+IF(O$60=".", 0, 'Summary, PPI''s'!O90)+IF(P$60=".", 0, 'Summary, PPI''s'!P90)</f>
        <v>997378.21833602572</v>
      </c>
      <c r="V90" s="1">
        <f>IF(E$73=".", 0, 'Summary, PPI''s'!E90)+IF(F$73=".", 0, 'Summary, PPI''s'!F90)+IF(G$73=".", 0, 'Summary, PPI''s'!G90)+IF(H$73=".", 0, 'Summary, PPI''s'!H90)+IF(I$73=".", 0, 'Summary, PPI''s'!I90)+IF(J$73=".", 0, 'Summary, PPI''s'!J90)+IF(K$73=".", 0, 'Summary, PPI''s'!K90)+IF(L$73=".", 0, 'Summary, PPI''s'!L90)+IF(M$73=".", 0, 'Summary, PPI''s'!M90)+IF(B$73=".", 0, 'Summary, PPI''s'!B90)+IF(C$73=".", 0, 'Summary, PPI''s'!C90)+IF(D$73=".", 0, 'Summary, PPI''s'!D90)+IF(N$73=".", 0, 'Summary, PPI''s'!N90)+IF(O$73=".", 0, 'Summary, PPI''s'!O90)+IF(P$73=".", 0, 'Summary, PPI''s'!P90)</f>
        <v>864297.44626041839</v>
      </c>
      <c r="W90" s="1">
        <f>IF(E$94=".",0,'Summary, PPI''s'!E90)+IF(F$94=".",0,'Summary, PPI''s'!F90)+IF(G$94=".",0,'Summary, PPI''s'!G90)+IF(H$94=".",0,'Summary, PPI''s'!H90)+IF(I$94=".",0,'Summary, PPI''s'!I90)+IF(J$94=".",0,'Summary, PPI''s'!J90)+IF(K$94=".",0,'Summary, PPI''s'!K90)+IF(L$94=".",0,'Summary, PPI''s'!L90)+IF(M$94=".",0,'Summary, PPI''s'!M90)+IF(B$94=".",0,'Summary, PPI''s'!B90)+IF(C$94=".",0,'Summary, PPI''s'!C90)+IF(D$94=".",0,'Summary, PPI''s'!D90)+IF(N$94=".",0,'Summary, PPI''s'!N90)+IF(O$94=".",0,'Summary, PPI''s'!O90)+IF(P$94=".",0,'Summary, PPI''s'!P90)</f>
        <v>864297.44626041839</v>
      </c>
      <c r="X90" s="1">
        <f>IF(E$123=".", 0, 'Summary, PPI''s'!E90)+IF(F$123=".", 0, 'Summary, PPI''s'!F90)+IF(G$123=".", 0, 'Summary, PPI''s'!G90)+IF(H$123=".", 0, 'Summary, PPI''s'!H90)+IF(I$123=".", 0, 'Summary, PPI''s'!I90)+IF(J$123=".", 0, 'Summary, PPI''s'!J90)+IF(K$123=".", 0, 'Summary, PPI''s'!K90)+IF(L$123=".", 0, 'Summary, PPI''s'!L90)+IF(M$123=".", 0, 'Summary, PPI''s'!M90)+IF(B$123=".", 0, 'Summary, PPI''s'!B90)+IF(C$123=".", 0, 'Summary, PPI''s'!C90)+IF(D$123=".", 0, 'Summary, PPI''s'!D90)+IF(N$123=".", 0, 'Summary, PPI''s'!N90)+IF(O$123=".", 0, 'Summary, PPI''s'!O90)+IF(P$123=".", 0, 'Summary, PPI''s'!P90)</f>
        <v>800215.15662858926</v>
      </c>
      <c r="Z90" s="4" t="e">
        <f>Z89*IF(E$26=".", 1, (E90/E89)^(('Summary, PPI''s'!$E90+'Summary, PPI''s'!$E89)/('Predicted PPIs'!R90+'Predicted PPIs'!R89)))*IF(F$26=".", 1, (F90/F89)^(('Summary, PPI''s'!$F90+'Summary, PPI''s'!$F89)/('Predicted PPIs'!R90+'Predicted PPIs'!R89)))*IF(G$26=".", 1, (G90/G89)^(('Summary, PPI''s'!$G90+'Summary, PPI''s'!$G89)/('Predicted PPIs'!R90+'Predicted PPIs'!R89)))*IF(H$26=".", 1, (H90/H89)^(('Summary, PPI''s'!$H90+'Summary, PPI''s'!$H89)/('Predicted PPIs'!R90+'Predicted PPIs'!R89)))*IF(I$26=".", 1, (I90/I89)^(('Summary, PPI''s'!$I90+'Summary, PPI''s'!$I89)/('Predicted PPIs'!R90+'Predicted PPIs'!R89)))*IF(J$26=".", 1, (J90/J89)^(('Summary, PPI''s'!$J90+'Summary, PPI''s'!$J89)/('Predicted PPIs'!R90+'Predicted PPIs'!R89)))*IF(K$26=".", 1, (K90/K89)^(('Summary, PPI''s'!$K90+'Summary, PPI''s'!$K89)/('Predicted PPIs'!R90+'Predicted PPIs'!R89)))*IF(L$26=".", 1, (L90/L89)^(('Summary, PPI''s'!$L90+'Summary, PPI''s'!$L89)/('Predicted PPIs'!R90+'Predicted PPIs'!R89)))*IF(M$26=".", 1, (M90/M89)^(('Summary, PPI''s'!$M90+'Summary, PPI''s'!$M89)/('Predicted PPIs'!R90+'Predicted PPIs'!R89)))*IF(B$26=".", 1, (B90/B89)^(('Summary, PPI''s'!$B90+'Summary, PPI''s'!$B89)/('Predicted PPIs'!R90+'Predicted PPIs'!R89)))*IF(C$26=".", 1, (C90/C89)^(('Summary, PPI''s'!$C90+'Summary, PPI''s'!$C89)/('Predicted PPIs'!R90+'Predicted PPIs'!R89)))*IF(D$26=".", 1, (D90/D89)^(('Summary, PPI''s'!$D90+'Summary, PPI''s'!$D89)/('Predicted PPIs'!R90+'Predicted PPIs'!R89)))*IF(N$26=".", 1, (N90/N89)^(('Summary, PPI''s'!$N90+'Summary, PPI''s'!$N89)/('Predicted PPIs'!R90+'Predicted PPIs'!R89)))*IF(O$26=".", 1, (O90/O89)^(('Summary, PPI''s'!$O90+'Summary, PPI''s'!$O89)/('Predicted PPIs'!R90+'Predicted PPIs'!R89)))*IF(P$26=".", 1, (P90/P89)^(('Summary, PPI''s'!$P90+'Summary, PPI''s'!$P89)/('Predicted PPIs'!R90+'Predicted PPIs'!R89)))</f>
        <v>#VALUE!</v>
      </c>
      <c r="AA90" s="4" t="e">
        <f>AA89*IF(E$36=".", 1, (E90/E89)^(('Summary, PPI''s'!$E90+'Summary, PPI''s'!$E89)/('Predicted PPIs'!S90+'Predicted PPIs'!S89)))*IF(F$36=".", 1, (F90/F89)^(('Summary, PPI''s'!$F90+'Summary, PPI''s'!$F89)/('Predicted PPIs'!S90+'Predicted PPIs'!S89)))*IF(G$36=".", 1, (G90/G89)^(('Summary, PPI''s'!$G90+'Summary, PPI''s'!$G89)/('Predicted PPIs'!S90+'Predicted PPIs'!S89)))*IF(H$36=".", 1, (H90/H89)^(('Summary, PPI''s'!$H90+'Summary, PPI''s'!$H89)/('Predicted PPIs'!S90+'Predicted PPIs'!S89)))*IF(I$36=".", 1, (I90/I89)^(('Summary, PPI''s'!$I90+'Summary, PPI''s'!$I89)/('Predicted PPIs'!S90+'Predicted PPIs'!S89)))*IF(J$36=".", 1, (J90/J89)^(('Summary, PPI''s'!$J90+'Summary, PPI''s'!$J89)/('Predicted PPIs'!S90+'Predicted PPIs'!S89)))*IF(K$36=".", 1, (K90/K89)^(('Summary, PPI''s'!$K90+'Summary, PPI''s'!$K89)/('Predicted PPIs'!S90+'Predicted PPIs'!S89)))*IF(L$36=".", 1, (L90/L89)^(('Summary, PPI''s'!$L90+'Summary, PPI''s'!$L89)/('Predicted PPIs'!S90+'Predicted PPIs'!S89)))*IF(M$36=".", 1, (M90/M89)^(('Summary, PPI''s'!$M90+'Summary, PPI''s'!$M89)/('Predicted PPIs'!S90+'Predicted PPIs'!S89)))*IF(B$36=".", 1, (B90/B89)^(('Summary, PPI''s'!$B90+'Summary, PPI''s'!$B89)/('Predicted PPIs'!S90+'Predicted PPIs'!S89)))*IF(C$36=".", 1, (C90/C89)^(('Summary, PPI''s'!$C90+'Summary, PPI''s'!$C89)/('Predicted PPIs'!S90+'Predicted PPIs'!S89)))*IF(D$36=".", 1, (D90/D89)^(('Summary, PPI''s'!$D90+'Summary, PPI''s'!$D89)/('Predicted PPIs'!S90+'Predicted PPIs'!S89)))*IF(N$36=".", 1, (N90/N89)^(('Summary, PPI''s'!$N90+'Summary, PPI''s'!$N89)/('Predicted PPIs'!S90+'Predicted PPIs'!S89)))*IF(O$36=".", 1, (O90/O89)^(('Summary, PPI''s'!$O90+'Summary, PPI''s'!$O89)/('Predicted PPIs'!S90+'Predicted PPIs'!S89)))*IF(P$36=".", 1, (P90/P89)^(('Summary, PPI''s'!$P90+'Summary, PPI''s'!$P89)/('Predicted PPIs'!S90+'Predicted PPIs'!S89)))</f>
        <v>#VALUE!</v>
      </c>
      <c r="AB90" s="4" t="e">
        <f>AB89*IF(E$46=".", 1, (E90/E89)^(('Summary, PPI''s'!$E90+'Summary, PPI''s'!$E89)/('Predicted PPIs'!T90+'Predicted PPIs'!T89)))*IF(F$46=".", 1, (F90/F89)^(('Summary, PPI''s'!$F90+'Summary, PPI''s'!$F89)/('Predicted PPIs'!T90+'Predicted PPIs'!T89)))*IF(G$46=".", 1, (G90/G89)^(('Summary, PPI''s'!$G90+'Summary, PPI''s'!$G89)/('Predicted PPIs'!T90+'Predicted PPIs'!T89)))*IF(H$46=".", 1, (H90/H89)^(('Summary, PPI''s'!$H90+'Summary, PPI''s'!$H89)/('Predicted PPIs'!T90+'Predicted PPIs'!T89)))*IF(I$46=".", 1, (I90/I89)^(('Summary, PPI''s'!$I90+'Summary, PPI''s'!$I89)/('Predicted PPIs'!T90+'Predicted PPIs'!T89)))*IF(J$46=".", 1, (J90/J89)^(('Summary, PPI''s'!$J90+'Summary, PPI''s'!$J89)/('Predicted PPIs'!T90+'Predicted PPIs'!T89)))*IF(K$46=".", 1, (K90/K89)^(('Summary, PPI''s'!$K90+'Summary, PPI''s'!$K89)/('Predicted PPIs'!T90+'Predicted PPIs'!T89)))*IF(L$46=".", 1, (L90/L89)^(('Summary, PPI''s'!$L90+'Summary, PPI''s'!$L89)/('Predicted PPIs'!T90+'Predicted PPIs'!T89)))*IF(M$46=".", 1, (M90/M89)^(('Summary, PPI''s'!$M90+'Summary, PPI''s'!$M89)/('Predicted PPIs'!T90+'Predicted PPIs'!T89)))*IF(B$46=".", 1, (B90/B89)^(('Summary, PPI''s'!$B90+'Summary, PPI''s'!$B89)/('Predicted PPIs'!T90+'Predicted PPIs'!T89)))*IF(C$46=".", 1, (C90/C89)^(('Summary, PPI''s'!$C90+'Summary, PPI''s'!$C89)/('Predicted PPIs'!T90+'Predicted PPIs'!T89)))*IF(D$46=".", 1, (D90/D89)^(('Summary, PPI''s'!$D90+'Summary, PPI''s'!$D89)/('Predicted PPIs'!T90+'Predicted PPIs'!T89)))*IF(N$46=".", 1, (N90/N89)^(('Summary, PPI''s'!$N90+'Summary, PPI''s'!$N89)/('Predicted PPIs'!T90+'Predicted PPIs'!T89)))*IF(O$46=".", 1, (O90/O89)^(('Summary, PPI''s'!$O90+'Summary, PPI''s'!$O89)/('Predicted PPIs'!T90+'Predicted PPIs'!T89)))*IF(P$46=".", 1, (P90/P89)^(('Summary, PPI''s'!$P90+'Summary, PPI''s'!$P89)/('Predicted PPIs'!T90+'Predicted PPIs'!T89)))</f>
        <v>#VALUE!</v>
      </c>
      <c r="AC90" s="4" t="e">
        <f>AC89*IF(E$60=".",1,(E90/E89)^(('Summary, PPI''s'!$E90+'Summary, PPI''s'!$E89)/('Predicted PPIs'!U90+'Predicted PPIs'!U89)))*IF(F$60=".",1,(F90/F89)^(('Summary, PPI''s'!$F90+'Summary, PPI''s'!$F89)/('Predicted PPIs'!U90+'Predicted PPIs'!U89)))*IF(G$60=".",1,(G90/G89)^(('Summary, PPI''s'!$G90+'Summary, PPI''s'!$G89)/('Predicted PPIs'!U90+'Predicted PPIs'!U89)))*IF(H$60=".",1,(H90/H89)^(('Summary, PPI''s'!$H90+'Summary, PPI''s'!$H89)/('Predicted PPIs'!U90+'Predicted PPIs'!U89)))*IF(I$60=".",1,(I90/I89)^(('Summary, PPI''s'!$I90+'Summary, PPI''s'!$I89)/('Predicted PPIs'!U90+'Predicted PPIs'!U89)))*IF(J$60=".",1,(J90/J89)^(('Summary, PPI''s'!$J90+'Summary, PPI''s'!$J89)/('Predicted PPIs'!U90+'Predicted PPIs'!U89)))*IF(K$60=".",1,(K90/K89)^(('Summary, PPI''s'!$K90+'Summary, PPI''s'!$K89)/('Predicted PPIs'!U90+'Predicted PPIs'!U89)))*IF(L$60=".",1,(L90/L89)^(('Summary, PPI''s'!$L90+'Summary, PPI''s'!$L89)/('Predicted PPIs'!U90+'Predicted PPIs'!U89)))*IF(M$60=".",1,(M90/M89)^(('Summary, PPI''s'!$M90+'Summary, PPI''s'!$M89)/('Predicted PPIs'!U90+'Predicted PPIs'!U89)))*IF(B$60=".",1,(B90/B89)^(('Summary, PPI''s'!$B90+'Summary, PPI''s'!$B89)/('Predicted PPIs'!U90+'Predicted PPIs'!U89)))*IF(C$60=".",1,(C90/C89)^(('Summary, PPI''s'!$C90+'Summary, PPI''s'!$C89)/('Predicted PPIs'!U90+'Predicted PPIs'!U89)))*IF(D$60=".",1,(D90/D89)^(('Summary, PPI''s'!$D90+'Summary, PPI''s'!$D89)/('Predicted PPIs'!U90+'Predicted PPIs'!U89)))*IF(N$60=".",1,(N90/N89)^(('Summary, PPI''s'!$N90+'Summary, PPI''s'!$N89)/('Predicted PPIs'!U90+'Predicted PPIs'!U89)))*IF(O$60=".",1,(O90/O89)^(('Summary, PPI''s'!$O90+'Summary, PPI''s'!$O89)/('Predicted PPIs'!U90+'Predicted PPIs'!U89)))*IF(P$60=".",1,(P90/P89)^(('Summary, PPI''s'!$P90+'Summary, PPI''s'!$P89)/('Predicted PPIs'!U90+'Predicted PPIs'!U89)))</f>
        <v>#VALUE!</v>
      </c>
      <c r="AD90" s="4" t="e">
        <f>AD89*IF(E$73=".", 1, (E90/E89)^(('Summary, PPI''s'!$E90+'Summary, PPI''s'!$E89)/('Predicted PPIs'!V90+'Predicted PPIs'!V89)))*IF(F$73=".", 1, (F90/F89)^(('Summary, PPI''s'!$F90+'Summary, PPI''s'!$F89)/('Predicted PPIs'!V90+'Predicted PPIs'!V89)))*IF(G$73=".", 1, (G90/G89)^(('Summary, PPI''s'!$G90+'Summary, PPI''s'!$G89)/('Predicted PPIs'!V90+'Predicted PPIs'!V89)))*IF(H$73=".", 1, (H90/H89)^(('Summary, PPI''s'!$H90+'Summary, PPI''s'!$H89)/('Predicted PPIs'!V90+'Predicted PPIs'!V89)))*IF(I$73=".", 1, (I90/I89)^(('Summary, PPI''s'!$I90+'Summary, PPI''s'!$I89)/('Predicted PPIs'!V90+'Predicted PPIs'!V89)))*IF(J$73=".", 1, (J90/J89)^(('Summary, PPI''s'!$J90+'Summary, PPI''s'!$J89)/('Predicted PPIs'!V90+'Predicted PPIs'!V89)))*IF(K$73=".", 1, (K90/K89)^(('Summary, PPI''s'!$K90+'Summary, PPI''s'!$K89)/('Predicted PPIs'!V90+'Predicted PPIs'!V89)))*IF(L$73=".", 1, (L90/L89)^(('Summary, PPI''s'!$L90+'Summary, PPI''s'!$L89)/('Predicted PPIs'!V90+'Predicted PPIs'!V89)))*IF(M$73=".", 1, (M90/M89)^(('Summary, PPI''s'!$M90+'Summary, PPI''s'!$M89)/('Predicted PPIs'!V90+'Predicted PPIs'!V89)))*IF(B$73=".", 1, (B90/B89)^(('Summary, PPI''s'!$B90+'Summary, PPI''s'!$B89)/('Predicted PPIs'!V90+'Predicted PPIs'!V89)))*IF(C$73=".", 1, (C90/C89)^(('Summary, PPI''s'!$C90+'Summary, PPI''s'!$C89)/('Predicted PPIs'!V90+'Predicted PPIs'!V89)))*IF(D$73=".", 1, (D90/D89)^(('Summary, PPI''s'!$D90+'Summary, PPI''s'!$D89)/('Predicted PPIs'!V90+'Predicted PPIs'!V89)))*IF(N$73=".", 1, (N90/N89)^(('Summary, PPI''s'!$N90+'Summary, PPI''s'!$N89)/('Predicted PPIs'!V90+'Predicted PPIs'!V89)))*IF(O$73=".", 1, (O90/O89)^(('Summary, PPI''s'!$O90+'Summary, PPI''s'!$O89)/('Predicted PPIs'!V90+'Predicted PPIs'!V89)))*IF(P$73=".", 1, (P90/P89)^(('Summary, PPI''s'!$P90+'Summary, PPI''s'!$P89)/('Predicted PPIs'!V90+'Predicted PPIs'!V89)))</f>
        <v>#VALUE!</v>
      </c>
      <c r="AE90" s="4">
        <f>AE89*IF(E$94=".", 1, (E90/E89)^(('Summary, PPI''s'!$E90+'Summary, PPI''s'!$E89)/('Predicted PPIs'!W90+'Predicted PPIs'!W89)))*IF(F$94=".", 1, (F90/F89)^(('Summary, PPI''s'!$F90+'Summary, PPI''s'!$F89)/('Predicted PPIs'!W90+'Predicted PPIs'!W89)))*IF(G$94=".", 1, (G90/G89)^(('Summary, PPI''s'!$G90+'Summary, PPI''s'!$G89)/('Predicted PPIs'!W90+'Predicted PPIs'!W89)))*IF(H$94=".", 1, (H90/H89)^(('Summary, PPI''s'!$H90+'Summary, PPI''s'!$H89)/('Predicted PPIs'!W90+'Predicted PPIs'!W89)))*IF(I$94=".", 1, (I90/I89)^(('Summary, PPI''s'!$I90+'Summary, PPI''s'!$I89)/('Predicted PPIs'!W90+'Predicted PPIs'!W89)))*IF(J$94=".", 1, (J90/J89)^(('Summary, PPI''s'!$J90+'Summary, PPI''s'!$J89)/('Predicted PPIs'!W90+'Predicted PPIs'!W89)))*IF(K$94=".", 1, (K90/K89)^(('Summary, PPI''s'!$K90+'Summary, PPI''s'!$K89)/('Predicted PPIs'!W90+'Predicted PPIs'!W89)))*IF(L$94=".", 1, (L90/L89)^(('Summary, PPI''s'!$L90+'Summary, PPI''s'!$L89)/('Predicted PPIs'!W90+'Predicted PPIs'!W89)))*IF(M$94=".", 1, (M90/M89)^(('Summary, PPI''s'!$M90+'Summary, PPI''s'!$M89)/('Predicted PPIs'!W90+'Predicted PPIs'!W89)))*IF(B$94=".", 1, (B90/B89)^(('Summary, PPI''s'!$B90+'Summary, PPI''s'!$B89)/('Predicted PPIs'!W90+'Predicted PPIs'!W89)))*IF(C$94=".", 1, (C90/C89)^(('Summary, PPI''s'!$C90+'Summary, PPI''s'!$C89)/('Predicted PPIs'!W90+'Predicted PPIs'!W89)))*IF(D$94=".", 1, (D90/D89)^(('Summary, PPI''s'!$D90+'Summary, PPI''s'!$D89)/('Predicted PPIs'!W90+'Predicted PPIs'!W89)))*IF(N$94=".", 1, (N90/N89)^(('Summary, PPI''s'!$N90+'Summary, PPI''s'!$N89)/('Predicted PPIs'!W90+'Predicted PPIs'!W89)))*IF(O$94=".", 1, (O90/O89)^(('Summary, PPI''s'!$O90+'Summary, PPI''s'!$O89)/('Predicted PPIs'!W90+'Predicted PPIs'!W89)))*IF(P$94=".", 1, (P90/P89)^(('Summary, PPI''s'!$P90+'Summary, PPI''s'!$P89)/('Predicted PPIs'!W90+'Predicted PPIs'!W89)))</f>
        <v>2.6075909985722965</v>
      </c>
      <c r="AF90" s="4">
        <f>AF89*IF(E$123=".", 1, (E90/E89)^(('Summary, PPI''s'!$E90+'Summary, PPI''s'!$E89)/('Predicted PPIs'!X90+'Predicted PPIs'!X89)))*IF(F$123=".", 1, (F90/F89)^(('Summary, PPI''s'!$F90+'Summary, PPI''s'!$F89)/('Predicted PPIs'!X90+'Predicted PPIs'!X89)))*IF(G$123=".", 1, (G90/G89)^(('Summary, PPI''s'!$G90+'Summary, PPI''s'!$G89)/('Predicted PPIs'!X90+'Predicted PPIs'!X89)))*IF(H$123=".", 1, (H90/H89)^(('Summary, PPI''s'!$H90+'Summary, PPI''s'!$H89)/('Predicted PPIs'!X90+'Predicted PPIs'!X89)))*IF(I$123=".", 1, (I90/I89)^(('Summary, PPI''s'!$I90+'Summary, PPI''s'!$I89)/('Predicted PPIs'!X90+'Predicted PPIs'!X89)))*IF(J$123=".", 1, (J90/J89)^(('Summary, PPI''s'!$J90+'Summary, PPI''s'!$J89)/('Predicted PPIs'!X90+'Predicted PPIs'!X89)))*IF(K$123=".", 1, (K90/K89)^(('Summary, PPI''s'!$K90+'Summary, PPI''s'!$K89)/('Predicted PPIs'!X90+'Predicted PPIs'!X89)))*IF(L$123=".", 1, (L90/L89)^(('Summary, PPI''s'!$L90+'Summary, PPI''s'!$L89)/('Predicted PPIs'!X90+'Predicted PPIs'!X89)))*IF(M$123=".", 1, (M90/M89)^(('Summary, PPI''s'!$M90+'Summary, PPI''s'!$M89)/('Predicted PPIs'!X90+'Predicted PPIs'!X89)))*IF(B$123=".", 1, (B90/B89)^(('Summary, PPI''s'!$B90+'Summary, PPI''s'!$B89)/('Predicted PPIs'!X90+'Predicted PPIs'!X89)))*IF(C$123=".", 1, (C90/C89)^(('Summary, PPI''s'!$C90+'Summary, PPI''s'!$C89)/('Predicted PPIs'!X90+'Predicted PPIs'!X89)))*IF(D$123=".", 1, (D90/D89)^(('Summary, PPI''s'!$D90+'Summary, PPI''s'!$D89)/('Predicted PPIs'!X90+'Predicted PPIs'!X89)))*IF(N$123=".", 1, (N90/N89)^(('Summary, PPI''s'!$N90+'Summary, PPI''s'!$N89)/('Predicted PPIs'!X90+'Predicted PPIs'!X89)))*IF(O$123=".", 1, (O90/O89)^(('Summary, PPI''s'!$O90+'Summary, PPI''s'!$O89)/('Predicted PPIs'!X90+'Predicted PPIs'!X89)))*IF(P$123=".", 1, (P90/P89)^(('Summary, PPI''s'!$P90+'Summary, PPI''s'!$P89)/('Predicted PPIs'!X90+'Predicted PPIs'!X89)))</f>
        <v>2.40623504573596</v>
      </c>
      <c r="AH90" s="13">
        <f t="shared" si="152"/>
        <v>3.565963176949055</v>
      </c>
      <c r="AJ90" s="4">
        <v>45.9</v>
      </c>
      <c r="AK90" s="4">
        <v>-1.03</v>
      </c>
      <c r="AL90" s="4">
        <v>-3.8439999999999999</v>
      </c>
      <c r="AM90" s="4">
        <v>-0.61399999999999999</v>
      </c>
      <c r="AN90" s="4">
        <f t="shared" si="176"/>
        <v>61.209450277949351</v>
      </c>
      <c r="AO90" s="4">
        <v>4.2</v>
      </c>
      <c r="AP90" s="4">
        <f t="shared" si="177"/>
        <v>-0.38855614973262037</v>
      </c>
      <c r="AQ90" s="4">
        <f t="shared" si="178"/>
        <v>-0.73455080213903745</v>
      </c>
      <c r="AR90" s="4">
        <f t="shared" si="148"/>
        <v>-2.1797253721980063E-5</v>
      </c>
      <c r="AS90" s="4">
        <v>-0.249</v>
      </c>
      <c r="AT90" s="4">
        <v>6.7610000000000001</v>
      </c>
      <c r="AU90" s="4">
        <v>7.819</v>
      </c>
      <c r="AV90" s="4">
        <v>8.49</v>
      </c>
      <c r="AW90" s="4">
        <v>4.5739999999999998</v>
      </c>
      <c r="AX90" s="4">
        <f t="shared" si="179"/>
        <v>6.4400527537624059</v>
      </c>
      <c r="AY90" s="4">
        <v>7.98</v>
      </c>
      <c r="AZ90" s="4">
        <v>2.7029999999999998</v>
      </c>
      <c r="BA90" s="4">
        <v>6.7560000000000002</v>
      </c>
      <c r="BB90" s="4">
        <f t="shared" si="150"/>
        <v>38.642654638868223</v>
      </c>
      <c r="BC90" s="4">
        <v>7.2750000000000004</v>
      </c>
      <c r="BG90" s="4">
        <f t="shared" si="172"/>
        <v>6.6042766717410268</v>
      </c>
      <c r="BI90" s="4">
        <f>BI$13*'[2]Ordinary Experience'!$D$336/'[2]Ordinary Experience'!$D$413</f>
        <v>125627727.62338652</v>
      </c>
      <c r="BJ90" s="4">
        <f>'[2]Ordinary Experience'!$E$336</f>
        <v>28.004326595383102</v>
      </c>
      <c r="BL90" s="4">
        <f t="shared" si="151"/>
        <v>18.42337044454235</v>
      </c>
      <c r="BM90" s="4">
        <f t="shared" si="153"/>
        <v>-4.1363045155594524E-2</v>
      </c>
      <c r="BO90" s="4" t="str">
        <f>IF(OR('Summary, hourly ad costs'!R90=-9999,'Summary, PPI''s'!R90="."),".",(('Summary, hourly ad costs'!B90/'Summary, hourly ad costs'!R90)*100/('Summary, hourly ad costs'!B$11/'Summary, hourly ad costs'!R$11))/('Summary, PPI''s'!R90))</f>
        <v>.</v>
      </c>
      <c r="BP90" s="4" t="str">
        <f>IF(OR('Summary, hourly ad costs'!S90=-9999,'Summary, PPI''s'!S90="."),".",(('Summary, hourly ad costs'!C90/'Summary, hourly ad costs'!S90)*100/('Summary, hourly ad costs'!C$11/'Summary, hourly ad costs'!S$11))/('Summary, PPI''s'!S90))</f>
        <v>.</v>
      </c>
      <c r="BQ90" s="4" t="str">
        <f>IF(OR('Summary, hourly ad costs'!T90=-9999,'Summary, PPI''s'!T90="."),".",(('Summary, hourly ad costs'!D90/'Summary, hourly ad costs'!T90)*100/('Summary, hourly ad costs'!D$11/'Summary, hourly ad costs'!T$11))/('Summary, PPI''s'!T90))</f>
        <v>.</v>
      </c>
      <c r="BR90" s="4" t="str">
        <f>IF(OR('Summary, hourly ad costs'!U90=-9999,'Summary, PPI''s'!U90="."),".",(('Summary, hourly ad costs'!E90/'Summary, hourly ad costs'!U90)*100/('Summary, hourly ad costs'!E$11/'Summary, hourly ad costs'!U$11))/('Summary, PPI''s'!U90))</f>
        <v>.</v>
      </c>
      <c r="BS90" s="4" t="str">
        <f>IF(OR('Summary, hourly ad costs'!V90=-9999,'Summary, PPI''s'!V90="."),".",(('Summary, hourly ad costs'!F90/'Summary, hourly ad costs'!V90)*100/('Summary, hourly ad costs'!F$11/'Summary, hourly ad costs'!V$11))/('Summary, PPI''s'!V90))</f>
        <v>.</v>
      </c>
      <c r="BT90" s="4" t="str">
        <f>IF(OR('Summary, hourly ad costs'!W90=-9999,'Summary, PPI''s'!W90="."),".",(('Summary, hourly ad costs'!G90/'Summary, hourly ad costs'!W90)*100/('Summary, hourly ad costs'!G$11/'Summary, hourly ad costs'!W$11))/('Summary, PPI''s'!W90))</f>
        <v>.</v>
      </c>
      <c r="BU90" s="4" t="str">
        <f>IF(OR('Summary, hourly ad costs'!X90=-9999,'Summary, PPI''s'!X90="."),".",(('Summary, hourly ad costs'!H90/'Summary, hourly ad costs'!X90)*100/('Summary, hourly ad costs'!H$11/'Summary, hourly ad costs'!X$11))/('Summary, PPI''s'!X90))</f>
        <v>.</v>
      </c>
      <c r="BV90" s="4" t="str">
        <f>IF(OR('Summary, hourly ad costs'!Y90=-9999,'Summary, PPI''s'!Y90="."),".",(('Summary, hourly ad costs'!I90/'Summary, hourly ad costs'!Y90)*100/('Summary, hourly ad costs'!I$11/'Summary, hourly ad costs'!Y$11))/('Summary, PPI''s'!Y90))</f>
        <v>.</v>
      </c>
      <c r="BW90" s="4" t="str">
        <f>IF(OR('Summary, hourly ad costs'!Z90=-9999,'Summary, PPI''s'!Z90="."),".",(('Summary, hourly ad costs'!J90/'Summary, hourly ad costs'!Z90)*100/('Summary, hourly ad costs'!J$11/'Summary, hourly ad costs'!Z$11))/('Summary, PPI''s'!Z90))</f>
        <v>.</v>
      </c>
      <c r="BX90" s="4" t="str">
        <f>IF(OR('Summary, hourly ad costs'!AA90=-9999,'Summary, PPI''s'!AA90="."),".",(('Summary, hourly ad costs'!K90/'Summary, hourly ad costs'!AA90)*100/('Summary, hourly ad costs'!K$11/'Summary, hourly ad costs'!AA$11))/('Summary, PPI''s'!AA90))</f>
        <v>.</v>
      </c>
      <c r="BY90" s="4" t="str">
        <f>IF(OR('Summary, hourly ad costs'!AB90=-9999,'Summary, PPI''s'!AB90="."),".",(('Summary, hourly ad costs'!L90/'Summary, hourly ad costs'!AB90)*100/('Summary, hourly ad costs'!L$11/'Summary, hourly ad costs'!AB$11))/('Summary, PPI''s'!AB90))</f>
        <v>.</v>
      </c>
      <c r="BZ90" s="4" t="str">
        <f>IF(OR('Summary, hourly ad costs'!AC90=-9999,'Summary, PPI''s'!AC90="."),".",(('Summary, hourly ad costs'!M90/'Summary, hourly ad costs'!AC90)*100/('Summary, hourly ad costs'!M$11/'Summary, hourly ad costs'!AC$11))/('Summary, PPI''s'!AC90))</f>
        <v>.</v>
      </c>
      <c r="CA90" s="4" t="str">
        <f>IF(OR('Summary, hourly ad costs'!AD90=-9999,'Summary, PPI''s'!AD90="."),".",(('Summary, hourly ad costs'!N90/'Summary, hourly ad costs'!AD90)*100/('Summary, hourly ad costs'!N$11/'Summary, hourly ad costs'!AD$11))/('Summary, PPI''s'!AD90))</f>
        <v>.</v>
      </c>
      <c r="CB90" s="4" t="str">
        <f>IF(OR('Summary, hourly ad costs'!AE90=-9999,'Summary, PPI''s'!AE90="."),".",(('Summary, hourly ad costs'!O90/'Summary, hourly ad costs'!AE90)*100/('Summary, hourly ad costs'!O$11/'Summary, hourly ad costs'!AE$11))/('Summary, PPI''s'!AE90))</f>
        <v>.</v>
      </c>
      <c r="CC90" s="4" t="str">
        <f>IF(OR('Summary, hourly ad costs'!AF90=-9999,'Summary, PPI''s'!AF90="."),".",(('Summary, hourly ad costs'!P90/'Summary, hourly ad costs'!AF90)*100/('Summary, hourly ad costs'!P$11/'Summary, hourly ad costs'!AF$11))/('Summary, PPI''s'!AF90))</f>
        <v>.</v>
      </c>
      <c r="CE90" s="4">
        <f t="shared" si="134"/>
        <v>-7.1024227758561168E-2</v>
      </c>
      <c r="CF90" s="4" t="str">
        <f t="shared" si="135"/>
        <v>.</v>
      </c>
      <c r="CG90" s="4" t="str">
        <f t="shared" si="136"/>
        <v>.</v>
      </c>
      <c r="CH90" s="4">
        <f t="shared" si="145"/>
        <v>-7.466978736256924E-2</v>
      </c>
      <c r="CI90" s="4">
        <f t="shared" si="145"/>
        <v>-8.3100331479714185E-2</v>
      </c>
      <c r="CJ90" s="4" t="str">
        <f t="shared" si="147"/>
        <v>.</v>
      </c>
      <c r="CK90" s="4">
        <f t="shared" si="149"/>
        <v>6.8797879118197465E-3</v>
      </c>
      <c r="CL90" s="4">
        <f t="shared" si="130"/>
        <v>-5.8369465383791945E-2</v>
      </c>
      <c r="CM90" s="4">
        <f t="shared" si="130"/>
        <v>-7.078095605382969E-3</v>
      </c>
      <c r="CN90" s="4">
        <f t="shared" si="89"/>
        <v>-7.3274415734724055E-2</v>
      </c>
      <c r="CO90" s="4">
        <f t="shared" si="180"/>
        <v>-0.27761360597831386</v>
      </c>
      <c r="CP90" s="4">
        <f t="shared" si="180"/>
        <v>0.30041919615932772</v>
      </c>
      <c r="CQ90" s="4" t="str">
        <f t="shared" si="173"/>
        <v>.</v>
      </c>
      <c r="CR90" s="4" t="str">
        <f t="shared" si="174"/>
        <v>.</v>
      </c>
      <c r="CS90" s="4" t="str">
        <f t="shared" si="175"/>
        <v>.</v>
      </c>
      <c r="CU90" s="5">
        <f>IF(CU89=".", ".", IF('Summary, PPI''s'!R90=".",IF(OR('Summary, hourly ad costs'!R90=-9999,'Summary, hourly ad costs'!R90=0), ".", 'Predicted PPIs'!CU89*('Summary, hourly ad costs'!B90/'Summary, hourly ad costs'!R90)/('Summary, hourly ad costs'!B89/'Summary, hourly ad costs'!R89)/(1-CE89)), 'Summary, PPI''s'!R90))</f>
        <v>18.950114047430574</v>
      </c>
      <c r="CV90" s="5" t="str">
        <f>IF(CV89=".", ".", IF('Summary, PPI''s'!S90=".",IF(OR('Summary, hourly ad costs'!S90=-9999,'Summary, hourly ad costs'!S90=0), ".", 'Predicted PPIs'!CV89*('Summary, hourly ad costs'!C90/'Summary, hourly ad costs'!S90)/('Summary, hourly ad costs'!C89/'Summary, hourly ad costs'!S89)/(1-CF89)), 'Summary, PPI''s'!S90))</f>
        <v>.</v>
      </c>
      <c r="CW90" s="5" t="str">
        <f>IF(CW89=".", ".", IF('Summary, PPI''s'!T90=".",IF(OR('Summary, hourly ad costs'!T90=-9999,'Summary, hourly ad costs'!T90=0), ".", 'Predicted PPIs'!CW89*('Summary, hourly ad costs'!D90/'Summary, hourly ad costs'!T90)/('Summary, hourly ad costs'!D89/'Summary, hourly ad costs'!T89)/(1-CG89)), 'Summary, PPI''s'!T90))</f>
        <v>.</v>
      </c>
      <c r="CX90" s="5">
        <f>IF(CX89=".", ".", IF('Summary, PPI''s'!U90=".",IF(OR('Summary, hourly ad costs'!U90=-9999,'Summary, hourly ad costs'!U90=0), ".", 'Predicted PPIs'!CX89*('Summary, hourly ad costs'!E90/'Summary, hourly ad costs'!U90)/('Summary, hourly ad costs'!E89/'Summary, hourly ad costs'!U89)/(1-CH89)), 'Summary, PPI''s'!U90))</f>
        <v>2.5824028276163098</v>
      </c>
      <c r="CY90" s="5">
        <f>IF(CY89=".", ".", IF('Summary, PPI''s'!V90=".",IF(OR('Summary, hourly ad costs'!V90=-9999,'Summary, hourly ad costs'!V90=0), ".", 'Predicted PPIs'!CY89*('Summary, hourly ad costs'!F90/'Summary, hourly ad costs'!V90)/('Summary, hourly ad costs'!F89/'Summary, hourly ad costs'!V89)/(1-CI89)), 'Summary, PPI''s'!V90))</f>
        <v>4.9541507317094187</v>
      </c>
      <c r="CZ90" s="5" t="str">
        <f>IF(CZ89=".", ".", IF('Summary, PPI''s'!W90=".",IF(OR('Summary, hourly ad costs'!W90=-9999,'Summary, hourly ad costs'!W90=0), ".", 'Predicted PPIs'!CZ89*('Summary, hourly ad costs'!G90/'Summary, hourly ad costs'!W90)/('Summary, hourly ad costs'!G89/'Summary, hourly ad costs'!W89)/(1-CJ89)), 'Summary, PPI''s'!W90))</f>
        <v>.</v>
      </c>
      <c r="DA90" s="5">
        <f>IF(DA89=".", ".", IF('Summary, PPI''s'!X90=".",IF(OR('Summary, hourly ad costs'!X90=-9999,'Summary, hourly ad costs'!X90=0), ".", 'Predicted PPIs'!DA89*('Summary, hourly ad costs'!H90/'Summary, hourly ad costs'!X90)/('Summary, hourly ad costs'!H89/'Summary, hourly ad costs'!X89)/(1-CK89)), 'Summary, PPI''s'!X90))</f>
        <v>1.7149755635273243</v>
      </c>
      <c r="DB90" s="5">
        <f>IF(DB89=".", ".", IF('Summary, PPI''s'!Y90=".",IF(OR('Summary, hourly ad costs'!Y90=-9999,'Summary, hourly ad costs'!Y90=0), ".", 'Predicted PPIs'!DB89*('Summary, hourly ad costs'!I90/'Summary, hourly ad costs'!Y90)/('Summary, hourly ad costs'!I89/'Summary, hourly ad costs'!Y89)/(1-CL89)), 'Summary, PPI''s'!Y90))</f>
        <v>5.6599059194086561</v>
      </c>
      <c r="DC90" s="5" t="str">
        <f>IF(DC89=".", ".", IF('Summary, PPI''s'!Z90=".",IF(OR('Summary, hourly ad costs'!Z90=-9999,'Summary, hourly ad costs'!Z90=0), ".", 'Predicted PPIs'!DC89*('Summary, hourly ad costs'!J90/'Summary, hourly ad costs'!Z90)/('Summary, hourly ad costs'!J89/'Summary, hourly ad costs'!Z89)/(1-CM89)), 'Summary, PPI''s'!Z90))</f>
        <v>.</v>
      </c>
      <c r="DD90" s="5" t="str">
        <f>IF(DD89=".", ".", IF('Summary, PPI''s'!AA90=".",IF(OR('Summary, hourly ad costs'!AA90=-9999,'Summary, hourly ad costs'!AA90=0), ".", 'Predicted PPIs'!DD89*('Summary, hourly ad costs'!K90/'Summary, hourly ad costs'!AA90)/('Summary, hourly ad costs'!K89/'Summary, hourly ad costs'!AA89)/(1-CN89)), 'Summary, PPI''s'!AA90))</f>
        <v>.</v>
      </c>
      <c r="DE90" s="5" t="str">
        <f>IF(DE89=".", ".", IF('Summary, PPI''s'!AB90=".",IF(OR('Summary, hourly ad costs'!AB90=-9999,'Summary, hourly ad costs'!AB90=0), ".", 'Predicted PPIs'!DE89*('Summary, hourly ad costs'!L90/'Summary, hourly ad costs'!AB90)/('Summary, hourly ad costs'!L89/'Summary, hourly ad costs'!AB89)/(1-CO89)), 'Summary, PPI''s'!AB90))</f>
        <v>.</v>
      </c>
      <c r="DF90" s="5" t="str">
        <f>IF(DF89=".", ".", IF('Summary, PPI''s'!AC90=".",IF(OR('Summary, hourly ad costs'!AC90=-9999,'Summary, hourly ad costs'!AC90=0), ".", 'Predicted PPIs'!DF89*('Summary, hourly ad costs'!M90/'Summary, hourly ad costs'!AC90)/('Summary, hourly ad costs'!M89/'Summary, hourly ad costs'!AC89)/(1-CP89)), 'Summary, PPI''s'!AC90))</f>
        <v>.</v>
      </c>
      <c r="DG90" s="5" t="str">
        <f>IF(DG89=".", ".", IF('Summary, PPI''s'!AD90=".",IF(OR('Summary, hourly ad costs'!AD90=-9999,'Summary, hourly ad costs'!AD90=0), ".", 'Predicted PPIs'!DG89*('Summary, hourly ad costs'!N90/'Summary, hourly ad costs'!AD90)/('Summary, hourly ad costs'!N89/'Summary, hourly ad costs'!AD89)/(1-CQ89)), 'Summary, PPI''s'!AD90))</f>
        <v>.</v>
      </c>
      <c r="DH90" s="5" t="str">
        <f>IF(DH89=".", ".", IF('Summary, PPI''s'!AE90=".",IF(OR('Summary, hourly ad costs'!AE90=-9999,'Summary, hourly ad costs'!AE90=0), ".", 'Predicted PPIs'!DH89*('Summary, hourly ad costs'!O90/'Summary, hourly ad costs'!AE90)/('Summary, hourly ad costs'!O89/'Summary, hourly ad costs'!AE89)/(1-CR89)), 'Summary, PPI''s'!AE90))</f>
        <v>.</v>
      </c>
      <c r="DI90" s="5" t="str">
        <f>IF(DI89=".", ".", IF('Summary, PPI''s'!AF90=".",IF(OR('Summary, hourly ad costs'!AF90=-9999,'Summary, hourly ad costs'!AF90=0), ".", 'Predicted PPIs'!DI89*('Summary, hourly ad costs'!P90/'Summary, hourly ad costs'!AF90)/('Summary, hourly ad costs'!P89/'Summary, hourly ad costs'!AF89)/(1-CS89)), 'Summary, PPI''s'!AF90))</f>
        <v>.</v>
      </c>
      <c r="DK90" s="4">
        <v>2.0459999999999998</v>
      </c>
      <c r="DM90" s="5">
        <f t="shared" si="138"/>
        <v>-0.11345157230254266</v>
      </c>
      <c r="DN90" s="4">
        <f t="shared" si="139"/>
        <v>-1.16305377115086E-2</v>
      </c>
      <c r="DO90" s="4">
        <f t="shared" si="181"/>
        <v>-2.3129561910503249E-2</v>
      </c>
      <c r="DP90" s="5">
        <f t="shared" si="140"/>
        <v>-5.1309841012183055E-2</v>
      </c>
      <c r="DQ90" s="5">
        <f t="shared" si="141"/>
        <v>3.9838113919646201E-2</v>
      </c>
      <c r="DR90" s="4">
        <f t="shared" si="146"/>
        <v>-1.7013442253157429E-2</v>
      </c>
      <c r="DS90" s="5">
        <f t="shared" si="169"/>
        <v>0.36087676183458006</v>
      </c>
      <c r="DT90" s="5">
        <f t="shared" si="170"/>
        <v>0.29598359466799873</v>
      </c>
      <c r="DU90" s="4">
        <f t="shared" si="171"/>
        <v>-4.784448039296027E-2</v>
      </c>
      <c r="DV90" s="4">
        <f t="shared" si="131"/>
        <v>2.39526405994833E-3</v>
      </c>
      <c r="DW90" s="4">
        <f t="shared" si="133"/>
        <v>0.10197905099509424</v>
      </c>
      <c r="DX90" s="4">
        <f t="shared" si="133"/>
        <v>-0.36508012494254383</v>
      </c>
      <c r="DY90" s="4">
        <f t="shared" si="108"/>
        <v>-2.5495757689376234E-2</v>
      </c>
      <c r="DZ90" s="4">
        <f t="shared" si="132"/>
        <v>-1.9601481271418371E-2</v>
      </c>
      <c r="EA90" s="4">
        <f t="shared" si="109"/>
        <v>-1.5316045562261882E-2</v>
      </c>
      <c r="EC90" s="1">
        <f t="shared" si="154"/>
        <v>18.950114047430574</v>
      </c>
      <c r="ED90" s="1">
        <f t="shared" si="155"/>
        <v>3.0874793738863766</v>
      </c>
      <c r="EE90" s="1">
        <f t="shared" si="156"/>
        <v>1.8556304413027027</v>
      </c>
      <c r="EF90" s="1">
        <f t="shared" si="157"/>
        <v>2.5824028276163098</v>
      </c>
      <c r="EG90" s="1">
        <f t="shared" si="158"/>
        <v>4.9541507317094187</v>
      </c>
      <c r="EH90" s="1">
        <f t="shared" si="159"/>
        <v>2.1810035046176721</v>
      </c>
      <c r="EI90" s="1">
        <f t="shared" si="160"/>
        <v>1.7149755635273243</v>
      </c>
      <c r="EJ90" s="1">
        <f t="shared" si="161"/>
        <v>5.6599059194086561</v>
      </c>
      <c r="EK90" s="1">
        <f t="shared" si="162"/>
        <v>7.5880239937371909</v>
      </c>
      <c r="EL90" s="1">
        <f t="shared" si="163"/>
        <v>1.6574048717562118</v>
      </c>
      <c r="EM90" s="1">
        <f t="shared" si="164"/>
        <v>6.2580273401690048E-2</v>
      </c>
      <c r="EN90" s="1">
        <f t="shared" si="165"/>
        <v>7.5897865311628312</v>
      </c>
      <c r="EO90" s="1">
        <f t="shared" si="166"/>
        <v>1.3326505571622318</v>
      </c>
      <c r="EP90" s="1">
        <f t="shared" si="167"/>
        <v>2.1468069547704571</v>
      </c>
      <c r="EQ90" s="1">
        <f t="shared" si="168"/>
        <v>1.6480788910544655</v>
      </c>
      <c r="ES90" s="1">
        <f>IF(EF$26=".", 0, 'Summary, PPI''s'!E90)+IF(EG$26=".", 0, 'Summary, PPI''s'!F90)+IF(EH$26=".", 0, 'Summary, PPI''s'!G90)+IF(EI$26=".", 0, 'Summary, PPI''s'!H90)+IF(EJ$26=".", 0, 'Summary, PPI''s'!I90)+IF(EK$26=".", 0, 'Summary, PPI''s'!J90)+IF(EL$26=".", 0, 'Summary, PPI''s'!K90)+IF(EM$26=".", 0, 'Summary, PPI''s'!L90)+IF(EN$26=".", 0, 'Summary, PPI''s'!M90)+IF(EC$26=".", 0, 'Summary, PPI''s'!B90)+IF(ED$26=".", 0, 'Summary, PPI''s'!C90)+IF(EE$26=".", 0, 'Summary, PPI''s'!D90)+IF(EO$26=".", 0, 'Summary, PPI''s'!N90)+IF(EP$26=".", 0, 'Summary, PPI''s'!O90)+IF(EQ$26=".", 0, 'Summary, PPI''s'!P90)</f>
        <v>1289799.2852158158</v>
      </c>
      <c r="ET90" s="1">
        <f>'Summary, hourly ad costs'!E90+'Summary, hourly ad costs'!F90+'Summary, hourly ad costs'!H90+'Summary, hourly ad costs'!I90+'Summary, hourly ad costs'!J90+'Summary, hourly ad costs'!K90+'Summary, hourly ad costs'!L90+'Summary, hourly ad costs'!M90+'Summary, hourly ad costs'!B90</f>
        <v>864297.44626041839</v>
      </c>
      <c r="EV90" s="13">
        <f>EV89*IF(EF$26=".", 1, (EF90/EF89)^(('Summary, PPI''s'!$E90+'Summary, PPI''s'!$E89)/('Predicted PPIs'!ES90+'Predicted PPIs'!ES89)))*IF(EG$26=".", 1, (EG90/EG89)^(('Summary, PPI''s'!$F90+'Summary, PPI''s'!$F89)/('Predicted PPIs'!ES90+'Predicted PPIs'!ES89)))*IF(EH$26=".", 1, (EH90/EH89)^(('Summary, PPI''s'!$G90+'Summary, PPI''s'!$G89)/('Predicted PPIs'!ES90+'Predicted PPIs'!ES89)))*IF(EI$26=".", 1, (EI90/EI89)^(('Summary, PPI''s'!$H90+'Summary, PPI''s'!$H89)/('Predicted PPIs'!ES90+'Predicted PPIs'!ES89)))*IF(EJ$26=".", 1, (EJ90/EJ89)^(('Summary, PPI''s'!$I90+'Summary, PPI''s'!$I89)/('Predicted PPIs'!ES90+'Predicted PPIs'!ES89)))*IF(EK$26=".", 1, (EK90/EK89)^(('Summary, PPI''s'!$J90+'Summary, PPI''s'!$J89)/('Predicted PPIs'!ES90+'Predicted PPIs'!ES89)))*IF(EL$26=".", 1, (EL90/EL89)^(('Summary, PPI''s'!$K90+'Summary, PPI''s'!$K89)/('Predicted PPIs'!ES90+'Predicted PPIs'!ES89)))*IF(EM$26=".", 1, (EM90/EM89)^(('Summary, PPI''s'!$L90+'Summary, PPI''s'!$L89)/('Predicted PPIs'!ES90+'Predicted PPIs'!ES89)))*IF(EN$26=".", 1, (EN90/EN89)^(('Summary, PPI''s'!$M90+'Summary, PPI''s'!$M89)/('Predicted PPIs'!ES90+'Predicted PPIs'!ES89)))*IF(EC$26=".", 1, (EC90/EC89)^(('Summary, PPI''s'!$B90+'Summary, PPI''s'!$B89)/('Predicted PPIs'!ES90+'Predicted PPIs'!ES89)))*IF(ED$26=".", 1, (ED90/ED89)^(('Summary, PPI''s'!$C90+'Summary, PPI''s'!$C89)/('Predicted PPIs'!ES90+'Predicted PPIs'!ES89)))*IF(EE$26=".", 1, (EE90/EE89)^(('Summary, PPI''s'!$D90+'Summary, PPI''s'!$D89)/('Predicted PPIs'!ES90+'Predicted PPIs'!ES89)))*IF(EO$26=".", 1, (EO90/EO89)^(('Summary, PPI''s'!$N90+'Summary, PPI''s'!$N89)/('Predicted PPIs'!ES90+'Predicted PPIs'!ES89)))*IF(EP$26=".", 1, (EP90/EP89)^(('Summary, PPI''s'!$O90+'Summary, PPI''s'!$O89)/('Predicted PPIs'!ES90+'Predicted PPIs'!ES89)))*IF(EQ$26=".", 1, (EQ90/EQ89)^(('Summary, PPI''s'!$P90+'Summary, PPI''s'!$P89)/('Predicted PPIs'!ES90+'Predicted PPIs'!ES89)))</f>
        <v>3.7586895983863831</v>
      </c>
      <c r="EW90" s="13">
        <f>EW89*IF(EF$26=".", 1, (EF90/EF89)^(('Summary, PPI''s'!$E90+'Summary, PPI''s'!$E89)/('Predicted PPIs'!ET90+'Predicted PPIs'!ET89)))*IF(EG$26=".", 1, (EG90/EG89)^(('Summary, PPI''s'!$F90+'Summary, PPI''s'!$F89)/('Predicted PPIs'!ET90+'Predicted PPIs'!ET89)))*IF(EH$26=".", 1, (EH90/EH89)^(('Summary, PPI''s'!$G90+'Summary, PPI''s'!$G89)/('Predicted PPIs'!ET90+'Predicted PPIs'!ET89)))*IF(EK$26=".", 1, (EK90/EK89)^(('Summary, PPI''s'!$J90+'Summary, PPI''s'!$J89)/('Predicted PPIs'!ET90+'Predicted PPIs'!ET89)))*IF(EL$26=".", 1, (EL90/EL89)^(('Summary, PPI''s'!$K90+'Summary, PPI''s'!$K89)/('Predicted PPIs'!ET90+'Predicted PPIs'!ET89)))*IF(EM$26=".", 1, (EM90/EM89)^(('Summary, PPI''s'!$L90+'Summary, PPI''s'!$L89)/('Predicted PPIs'!ET90+'Predicted PPIs'!ET89)))*IF(EN$26=".", 1, (EN90/EN89)^(('Summary, PPI''s'!$M90+'Summary, PPI''s'!$M89)/('Predicted PPIs'!ET90+'Predicted PPIs'!ET89)))*IF(EC$26=".", 1, (EC90/EC89)^(('Summary, PPI''s'!$B90+'Summary, PPI''s'!$B89)/('Predicted PPIs'!ET90+'Predicted PPIs'!ET89)))</f>
        <v>6.9362232631249476</v>
      </c>
      <c r="EY90" s="2"/>
    </row>
    <row r="91" spans="1:155" x14ac:dyDescent="0.3">
      <c r="A91" s="4">
        <v>1932</v>
      </c>
      <c r="B91" s="10">
        <f>IF(B90=".", ".", IF('Summary, PPI''s'!R91=".",IF(OR('Summary, hourly ad costs'!R91=-9999,'Summary, hourly ad costs'!R91=0), ".", 'Predicted PPIs'!B90*('Summary, hourly ad costs'!B91/'Summary, hourly ad costs'!R91)/('Summary, hourly ad costs'!B90/'Summary, hourly ad costs'!R90)), 'Summary, PPI''s'!R91))</f>
        <v>26.948150362559694</v>
      </c>
      <c r="C91" s="10" t="str">
        <f>IF(C90=".", ".", IF('Summary, PPI''s'!S91=".",IF(OR('Summary, hourly ad costs'!S91=-9999,'Summary, hourly ad costs'!S91=0), ".", 'Predicted PPIs'!C90*('Summary, hourly ad costs'!C91/'Summary, hourly ad costs'!S91)/('Summary, hourly ad costs'!C90/'Summary, hourly ad costs'!S90)), 'Summary, PPI''s'!S91))</f>
        <v>.</v>
      </c>
      <c r="D91" s="10" t="str">
        <f>IF(D90=".", ".", IF('Summary, PPI''s'!T91=".",IF(OR('Summary, hourly ad costs'!T91=-9999,'Summary, hourly ad costs'!T91=0), ".", 'Predicted PPIs'!D90*('Summary, hourly ad costs'!D91/'Summary, hourly ad costs'!T91)/('Summary, hourly ad costs'!D90/'Summary, hourly ad costs'!T90)), 'Summary, PPI''s'!T91))</f>
        <v>.</v>
      </c>
      <c r="E91" s="10">
        <f>IF(E90=".", ".", IF('Summary, PPI''s'!U91=".",IF(OR('Summary, hourly ad costs'!U91=-9999,'Summary, hourly ad costs'!U91=0), ".", 'Predicted PPIs'!E90*('Summary, hourly ad costs'!E91/'Summary, hourly ad costs'!U91)/('Summary, hourly ad costs'!E90/'Summary, hourly ad costs'!U90)), 'Summary, PPI''s'!U91))</f>
        <v>1.7919639392299518</v>
      </c>
      <c r="F91" s="10">
        <f>IF(F90=".", ".", IF('Summary, PPI''s'!V91=".",IF(OR('Summary, hourly ad costs'!V91=-9999,'Summary, hourly ad costs'!V91=0), ".", 'Predicted PPIs'!F90*('Summary, hourly ad costs'!F91/'Summary, hourly ad costs'!V91)/('Summary, hourly ad costs'!F90/'Summary, hourly ad costs'!V90)), 'Summary, PPI''s'!V91))</f>
        <v>2.758857913310468</v>
      </c>
      <c r="G91" s="10" t="str">
        <f>IF(G90=".", ".", IF('Summary, PPI''s'!W91=".",IF(OR('Summary, hourly ad costs'!W91=-9999,'Summary, hourly ad costs'!W91=0), ".", 'Predicted PPIs'!G90*('Summary, hourly ad costs'!G91/'Summary, hourly ad costs'!W91)/('Summary, hourly ad costs'!G90/'Summary, hourly ad costs'!W90)), 'Summary, PPI''s'!W91))</f>
        <v>.</v>
      </c>
      <c r="H91" s="10">
        <f>IF(H90=".", ".", IF('Summary, PPI''s'!X91=".",IF(OR('Summary, hourly ad costs'!X91=-9999,'Summary, hourly ad costs'!X91=0), ".", 'Predicted PPIs'!H90*('Summary, hourly ad costs'!H91/'Summary, hourly ad costs'!X91)/('Summary, hourly ad costs'!H90/'Summary, hourly ad costs'!X90)), 'Summary, PPI''s'!X91))</f>
        <v>1.2391313419251799</v>
      </c>
      <c r="I91" s="10">
        <f>IF(I90=".", ".", IF('Summary, PPI''s'!Y91=".",IF(OR('Summary, hourly ad costs'!Y91=-9999,'Summary, hourly ad costs'!Y91=0), ".", 'Predicted PPIs'!I90*('Summary, hourly ad costs'!I91/'Summary, hourly ad costs'!Y91)/('Summary, hourly ad costs'!I90/'Summary, hourly ad costs'!Y90)), 'Summary, PPI''s'!Y91))</f>
        <v>2.7613619534587857</v>
      </c>
      <c r="J91" s="10" t="str">
        <f>IF(J90=".", ".", IF('Summary, PPI''s'!Z91=".",IF(OR('Summary, hourly ad costs'!Z91=-9999,'Summary, hourly ad costs'!Z91=0), ".", 'Predicted PPIs'!J90*('Summary, hourly ad costs'!J91/'Summary, hourly ad costs'!Z91)/('Summary, hourly ad costs'!J90/'Summary, hourly ad costs'!Z90)), 'Summary, PPI''s'!Z91))</f>
        <v>.</v>
      </c>
      <c r="K91" s="10" t="str">
        <f>IF(K90=".", ".", IF('Summary, PPI''s'!AA91=".",IF(OR('Summary, hourly ad costs'!AA91=-9999,'Summary, hourly ad costs'!AA91=0), ".", 'Predicted PPIs'!K90*('Summary, hourly ad costs'!K91/'Summary, hourly ad costs'!AA91)/('Summary, hourly ad costs'!K90/'Summary, hourly ad costs'!AA90)), 'Summary, PPI''s'!AA91))</f>
        <v>.</v>
      </c>
      <c r="L91" s="10" t="str">
        <f>IF(L90=".", ".", IF('Summary, PPI''s'!AB91=".",IF(OR('Summary, hourly ad costs'!AB91=-9999,'Summary, hourly ad costs'!AB91=0), ".", 'Predicted PPIs'!L90*('Summary, hourly ad costs'!L91/'Summary, hourly ad costs'!AB91)/('Summary, hourly ad costs'!L90/'Summary, hourly ad costs'!AB90)), 'Summary, PPI''s'!AB91))</f>
        <v>.</v>
      </c>
      <c r="M91" s="10" t="str">
        <f>IF(M90=".", ".", IF('Summary, PPI''s'!AC91=".",IF(OR('Summary, hourly ad costs'!AC91=-9999,'Summary, hourly ad costs'!AC91=0), ".", 'Predicted PPIs'!M90*('Summary, hourly ad costs'!M91/'Summary, hourly ad costs'!AC91)/('Summary, hourly ad costs'!M90/'Summary, hourly ad costs'!AC90)), 'Summary, PPI''s'!AC91))</f>
        <v>.</v>
      </c>
      <c r="N91" s="10" t="str">
        <f>IF(N90=".", ".", IF('Summary, PPI''s'!AD91=".",IF(OR('Summary, hourly ad costs'!AD91=-9999,'Summary, hourly ad costs'!AD91=0), ".", 'Predicted PPIs'!N90*('Summary, hourly ad costs'!N91/'Summary, hourly ad costs'!AD91)/('Summary, hourly ad costs'!N90/'Summary, hourly ad costs'!AD90)), 'Summary, PPI''s'!AD91))</f>
        <v>.</v>
      </c>
      <c r="O91" s="10" t="str">
        <f>IF(O90=".", ".", IF('Summary, PPI''s'!AE91=".",IF(OR('Summary, hourly ad costs'!AE91=-9999,'Summary, hourly ad costs'!AE91=0), ".", 'Predicted PPIs'!O90*('Summary, hourly ad costs'!O91/'Summary, hourly ad costs'!AE91)/('Summary, hourly ad costs'!O90/'Summary, hourly ad costs'!AE90)), 'Summary, PPI''s'!AE91))</f>
        <v>.</v>
      </c>
      <c r="P91" s="10" t="str">
        <f>IF(P90=".", ".", IF('Summary, PPI''s'!AF91=".",IF(OR('Summary, hourly ad costs'!AF91=-9999,'Summary, hourly ad costs'!AF91=0), ".", 'Predicted PPIs'!P90*('Summary, hourly ad costs'!P91/'Summary, hourly ad costs'!AF91)/('Summary, hourly ad costs'!P90/'Summary, hourly ad costs'!AF90)), 'Summary, PPI''s'!AF91))</f>
        <v>.</v>
      </c>
      <c r="R91" s="1">
        <f>IF(E$26=".", 0, 'Summary, PPI''s'!E91)+IF(F$26=".", 0, 'Summary, PPI''s'!F91)+IF(G$26=".", 0, 'Summary, PPI''s'!G91)+IF(H$26=".", 0, 'Summary, PPI''s'!H91)+IF(I$26=".", 0, 'Summary, PPI''s'!I91)+IF(J$26=".", 0, 'Summary, PPI''s'!J91)+IF(K$26=".", 0, 'Summary, PPI''s'!K91)+IF(L$26=".", 0, 'Summary, PPI''s'!L91)+IF(M$26=".", 0, 'Summary, PPI''s'!M91)+IF(B$26=".", 0, 'Summary, PPI''s'!B91)+IF(C$26=".", 0, 'Summary, PPI''s'!C91)+IF(D$26=".", 0, 'Summary, PPI''s'!D91)+IF(N$26=".", 0, 'Summary, PPI''s'!N91)+IF(O$26=".", 0, 'Summary, PPI''s'!O91)+IF(P$26=".", 0, 'Summary, PPI''s'!P91)</f>
        <v>1524389.3166525839</v>
      </c>
      <c r="S91" s="1">
        <f>IF(E$36=".", 0, 'Summary, PPI''s'!E91)+IF(F$36=".", 0, 'Summary, PPI''s'!F91)+IF(G$36=".", 0, 'Summary, PPI''s'!G91)+IF(H$36=".", 0, 'Summary, PPI''s'!H91)+IF(I$36=".", 0, 'Summary, PPI''s'!I91)+IF(J$36=".", 0, 'Summary, PPI''s'!J91)+IF(K$36=".", 0, 'Summary, PPI''s'!K91)+IF(L$36=".", 0, 'Summary, PPI''s'!L91)+IF(M$36=".", 0, 'Summary, PPI''s'!M91)+IF(B$36=".", 0, 'Summary, PPI''s'!B91)+IF(C$36=".", 0, 'Summary, PPI''s'!C91)+IF(D$36=".", 0, 'Summary, PPI''s'!D91)+IF(N$36=".", 0, 'Summary, PPI''s'!N91)+IF(O$36=".", 0, 'Summary, PPI''s'!O91)+IF(P$36=".", 0, 'Summary, PPI''s'!P91)</f>
        <v>1524389.3166525839</v>
      </c>
      <c r="T91" s="1">
        <f>IF(E$46=".", 0, 'Summary, PPI''s'!E91)+IF(F$46=".", 0, 'Summary, PPI''s'!F91)+IF(G$46=".", 0, 'Summary, PPI''s'!G91)+IF(H$46=".", 0, 'Summary, PPI''s'!H91)+IF(I$46=".", 0, 'Summary, PPI''s'!I91)+IF(J$46=".", 0, 'Summary, PPI''s'!J91)+IF(K$46=".", 0, 'Summary, PPI''s'!K91)+IF(L$46=".", 0, 'Summary, PPI''s'!L91)+IF(M$46=".", 0, 'Summary, PPI''s'!M91)+IF(B$46=".", 0, 'Summary, PPI''s'!B91)+IF(C$46=".", 0, 'Summary, PPI''s'!C91)+IF(D$46=".", 0, 'Summary, PPI''s'!D91)+IF(N$46=".", 0, 'Summary, PPI''s'!N91)+IF(O$46=".", 0, 'Summary, PPI''s'!O91)+IF(P$46=".", 0, 'Summary, PPI''s'!P91)</f>
        <v>1282936.3569803634</v>
      </c>
      <c r="U91" s="1">
        <f>IF(E$60=".", 0, 'Summary, PPI''s'!E91)+IF(F$60=".", 0, 'Summary, PPI''s'!F91)+IF(G$60=".", 0, 'Summary, PPI''s'!G91)+IF(H$60=".", 0, 'Summary, PPI''s'!H91)+IF(I$60=".", 0, 'Summary, PPI''s'!I91)+IF(J$60=".", 0, 'Summary, PPI''s'!J91)+IF(K$60=".", 0, 'Summary, PPI''s'!K91)+IF(L$60=".", 0, 'Summary, PPI''s'!L91)+IF(M$60=".", 0, 'Summary, PPI''s'!M91)+IF(B$60=".", 0, 'Summary, PPI''s'!B91)+IF(C$60=".", 0, 'Summary, PPI''s'!C91)+IF(D$60=".", 0, 'Summary, PPI''s'!D91)+IF(N$60=".", 0, 'Summary, PPI''s'!N91)+IF(O$60=".", 0, 'Summary, PPI''s'!O91)+IF(P$60=".", 0, 'Summary, PPI''s'!P91)</f>
        <v>1182427.2299934241</v>
      </c>
      <c r="V91" s="1">
        <f>IF(E$73=".", 0, 'Summary, PPI''s'!E91)+IF(F$73=".", 0, 'Summary, PPI''s'!F91)+IF(G$73=".", 0, 'Summary, PPI''s'!G91)+IF(H$73=".", 0, 'Summary, PPI''s'!H91)+IF(I$73=".", 0, 'Summary, PPI''s'!I91)+IF(J$73=".", 0, 'Summary, PPI''s'!J91)+IF(K$73=".", 0, 'Summary, PPI''s'!K91)+IF(L$73=".", 0, 'Summary, PPI''s'!L91)+IF(M$73=".", 0, 'Summary, PPI''s'!M91)+IF(B$73=".", 0, 'Summary, PPI''s'!B91)+IF(C$73=".", 0, 'Summary, PPI''s'!C91)+IF(D$73=".", 0, 'Summary, PPI''s'!D91)+IF(N$73=".", 0, 'Summary, PPI''s'!N91)+IF(O$73=".", 0, 'Summary, PPI''s'!O91)+IF(P$73=".", 0, 'Summary, PPI''s'!P91)</f>
        <v>1014407.3770754011</v>
      </c>
      <c r="W91" s="1">
        <f>IF(E$94=".",0,'Summary, PPI''s'!E91)+IF(F$94=".",0,'Summary, PPI''s'!F91)+IF(G$94=".",0,'Summary, PPI''s'!G91)+IF(H$94=".",0,'Summary, PPI''s'!H91)+IF(I$94=".",0,'Summary, PPI''s'!I91)+IF(J$94=".",0,'Summary, PPI''s'!J91)+IF(K$94=".",0,'Summary, PPI''s'!K91)+IF(L$94=".",0,'Summary, PPI''s'!L91)+IF(M$94=".",0,'Summary, PPI''s'!M91)+IF(B$94=".",0,'Summary, PPI''s'!B91)+IF(C$94=".",0,'Summary, PPI''s'!C91)+IF(D$94=".",0,'Summary, PPI''s'!D91)+IF(N$94=".",0,'Summary, PPI''s'!N91)+IF(O$94=".",0,'Summary, PPI''s'!O91)+IF(P$94=".",0,'Summary, PPI''s'!P91)</f>
        <v>1014407.3770754011</v>
      </c>
      <c r="X91" s="1">
        <f>IF(E$123=".", 0, 'Summary, PPI''s'!E91)+IF(F$123=".", 0, 'Summary, PPI''s'!F91)+IF(G$123=".", 0, 'Summary, PPI''s'!G91)+IF(H$123=".", 0, 'Summary, PPI''s'!H91)+IF(I$123=".", 0, 'Summary, PPI''s'!I91)+IF(J$123=".", 0, 'Summary, PPI''s'!J91)+IF(K$123=".", 0, 'Summary, PPI''s'!K91)+IF(L$123=".", 0, 'Summary, PPI''s'!L91)+IF(M$123=".", 0, 'Summary, PPI''s'!M91)+IF(B$123=".", 0, 'Summary, PPI''s'!B91)+IF(C$123=".", 0, 'Summary, PPI''s'!C91)+IF(D$123=".", 0, 'Summary, PPI''s'!D91)+IF(N$123=".", 0, 'Summary, PPI''s'!N91)+IF(O$123=".", 0, 'Summary, PPI''s'!O91)+IF(P$123=".", 0, 'Summary, PPI''s'!P91)</f>
        <v>961695.98878772545</v>
      </c>
      <c r="Z91" s="4" t="e">
        <f>Z90*IF(E$26=".", 1, (E91/E90)^(('Summary, PPI''s'!$E91+'Summary, PPI''s'!$E90)/('Predicted PPIs'!R91+'Predicted PPIs'!R90)))*IF(F$26=".", 1, (F91/F90)^(('Summary, PPI''s'!$F91+'Summary, PPI''s'!$F90)/('Predicted PPIs'!R91+'Predicted PPIs'!R90)))*IF(G$26=".", 1, (G91/G90)^(('Summary, PPI''s'!$G91+'Summary, PPI''s'!$G90)/('Predicted PPIs'!R91+'Predicted PPIs'!R90)))*IF(H$26=".", 1, (H91/H90)^(('Summary, PPI''s'!$H91+'Summary, PPI''s'!$H90)/('Predicted PPIs'!R91+'Predicted PPIs'!R90)))*IF(I$26=".", 1, (I91/I90)^(('Summary, PPI''s'!$I91+'Summary, PPI''s'!$I90)/('Predicted PPIs'!R91+'Predicted PPIs'!R90)))*IF(J$26=".", 1, (J91/J90)^(('Summary, PPI''s'!$J91+'Summary, PPI''s'!$J90)/('Predicted PPIs'!R91+'Predicted PPIs'!R90)))*IF(K$26=".", 1, (K91/K90)^(('Summary, PPI''s'!$K91+'Summary, PPI''s'!$K90)/('Predicted PPIs'!R91+'Predicted PPIs'!R90)))*IF(L$26=".", 1, (L91/L90)^(('Summary, PPI''s'!$L91+'Summary, PPI''s'!$L90)/('Predicted PPIs'!R91+'Predicted PPIs'!R90)))*IF(M$26=".", 1, (M91/M90)^(('Summary, PPI''s'!$M91+'Summary, PPI''s'!$M90)/('Predicted PPIs'!R91+'Predicted PPIs'!R90)))*IF(B$26=".", 1, (B91/B90)^(('Summary, PPI''s'!$B91+'Summary, PPI''s'!$B90)/('Predicted PPIs'!R91+'Predicted PPIs'!R90)))*IF(C$26=".", 1, (C91/C90)^(('Summary, PPI''s'!$C91+'Summary, PPI''s'!$C90)/('Predicted PPIs'!R91+'Predicted PPIs'!R90)))*IF(D$26=".", 1, (D91/D90)^(('Summary, PPI''s'!$D91+'Summary, PPI''s'!$D90)/('Predicted PPIs'!R91+'Predicted PPIs'!R90)))*IF(N$26=".", 1, (N91/N90)^(('Summary, PPI''s'!$N91+'Summary, PPI''s'!$N90)/('Predicted PPIs'!R91+'Predicted PPIs'!R90)))*IF(O$26=".", 1, (O91/O90)^(('Summary, PPI''s'!$O91+'Summary, PPI''s'!$O90)/('Predicted PPIs'!R91+'Predicted PPIs'!R90)))*IF(P$26=".", 1, (P91/P90)^(('Summary, PPI''s'!$P91+'Summary, PPI''s'!$P90)/('Predicted PPIs'!R91+'Predicted PPIs'!R90)))</f>
        <v>#VALUE!</v>
      </c>
      <c r="AA91" s="4" t="e">
        <f>AA90*IF(E$36=".", 1, (E91/E90)^(('Summary, PPI''s'!$E91+'Summary, PPI''s'!$E90)/('Predicted PPIs'!S91+'Predicted PPIs'!S90)))*IF(F$36=".", 1, (F91/F90)^(('Summary, PPI''s'!$F91+'Summary, PPI''s'!$F90)/('Predicted PPIs'!S91+'Predicted PPIs'!S90)))*IF(G$36=".", 1, (G91/G90)^(('Summary, PPI''s'!$G91+'Summary, PPI''s'!$G90)/('Predicted PPIs'!S91+'Predicted PPIs'!S90)))*IF(H$36=".", 1, (H91/H90)^(('Summary, PPI''s'!$H91+'Summary, PPI''s'!$H90)/('Predicted PPIs'!S91+'Predicted PPIs'!S90)))*IF(I$36=".", 1, (I91/I90)^(('Summary, PPI''s'!$I91+'Summary, PPI''s'!$I90)/('Predicted PPIs'!S91+'Predicted PPIs'!S90)))*IF(J$36=".", 1, (J91/J90)^(('Summary, PPI''s'!$J91+'Summary, PPI''s'!$J90)/('Predicted PPIs'!S91+'Predicted PPIs'!S90)))*IF(K$36=".", 1, (K91/K90)^(('Summary, PPI''s'!$K91+'Summary, PPI''s'!$K90)/('Predicted PPIs'!S91+'Predicted PPIs'!S90)))*IF(L$36=".", 1, (L91/L90)^(('Summary, PPI''s'!$L91+'Summary, PPI''s'!$L90)/('Predicted PPIs'!S91+'Predicted PPIs'!S90)))*IF(M$36=".", 1, (M91/M90)^(('Summary, PPI''s'!$M91+'Summary, PPI''s'!$M90)/('Predicted PPIs'!S91+'Predicted PPIs'!S90)))*IF(B$36=".", 1, (B91/B90)^(('Summary, PPI''s'!$B91+'Summary, PPI''s'!$B90)/('Predicted PPIs'!S91+'Predicted PPIs'!S90)))*IF(C$36=".", 1, (C91/C90)^(('Summary, PPI''s'!$C91+'Summary, PPI''s'!$C90)/('Predicted PPIs'!S91+'Predicted PPIs'!S90)))*IF(D$36=".", 1, (D91/D90)^(('Summary, PPI''s'!$D91+'Summary, PPI''s'!$D90)/('Predicted PPIs'!S91+'Predicted PPIs'!S90)))*IF(N$36=".", 1, (N91/N90)^(('Summary, PPI''s'!$N91+'Summary, PPI''s'!$N90)/('Predicted PPIs'!S91+'Predicted PPIs'!S90)))*IF(O$36=".", 1, (O91/O90)^(('Summary, PPI''s'!$O91+'Summary, PPI''s'!$O90)/('Predicted PPIs'!S91+'Predicted PPIs'!S90)))*IF(P$36=".", 1, (P91/P90)^(('Summary, PPI''s'!$P91+'Summary, PPI''s'!$P90)/('Predicted PPIs'!S91+'Predicted PPIs'!S90)))</f>
        <v>#VALUE!</v>
      </c>
      <c r="AB91" s="4" t="e">
        <f>AB90*IF(E$46=".", 1, (E91/E90)^(('Summary, PPI''s'!$E91+'Summary, PPI''s'!$E90)/('Predicted PPIs'!T91+'Predicted PPIs'!T90)))*IF(F$46=".", 1, (F91/F90)^(('Summary, PPI''s'!$F91+'Summary, PPI''s'!$F90)/('Predicted PPIs'!T91+'Predicted PPIs'!T90)))*IF(G$46=".", 1, (G91/G90)^(('Summary, PPI''s'!$G91+'Summary, PPI''s'!$G90)/('Predicted PPIs'!T91+'Predicted PPIs'!T90)))*IF(H$46=".", 1, (H91/H90)^(('Summary, PPI''s'!$H91+'Summary, PPI''s'!$H90)/('Predicted PPIs'!T91+'Predicted PPIs'!T90)))*IF(I$46=".", 1, (I91/I90)^(('Summary, PPI''s'!$I91+'Summary, PPI''s'!$I90)/('Predicted PPIs'!T91+'Predicted PPIs'!T90)))*IF(J$46=".", 1, (J91/J90)^(('Summary, PPI''s'!$J91+'Summary, PPI''s'!$J90)/('Predicted PPIs'!T91+'Predicted PPIs'!T90)))*IF(K$46=".", 1, (K91/K90)^(('Summary, PPI''s'!$K91+'Summary, PPI''s'!$K90)/('Predicted PPIs'!T91+'Predicted PPIs'!T90)))*IF(L$46=".", 1, (L91/L90)^(('Summary, PPI''s'!$L91+'Summary, PPI''s'!$L90)/('Predicted PPIs'!T91+'Predicted PPIs'!T90)))*IF(M$46=".", 1, (M91/M90)^(('Summary, PPI''s'!$M91+'Summary, PPI''s'!$M90)/('Predicted PPIs'!T91+'Predicted PPIs'!T90)))*IF(B$46=".", 1, (B91/B90)^(('Summary, PPI''s'!$B91+'Summary, PPI''s'!$B90)/('Predicted PPIs'!T91+'Predicted PPIs'!T90)))*IF(C$46=".", 1, (C91/C90)^(('Summary, PPI''s'!$C91+'Summary, PPI''s'!$C90)/('Predicted PPIs'!T91+'Predicted PPIs'!T90)))*IF(D$46=".", 1, (D91/D90)^(('Summary, PPI''s'!$D91+'Summary, PPI''s'!$D90)/('Predicted PPIs'!T91+'Predicted PPIs'!T90)))*IF(N$46=".", 1, (N91/N90)^(('Summary, PPI''s'!$N91+'Summary, PPI''s'!$N90)/('Predicted PPIs'!T91+'Predicted PPIs'!T90)))*IF(O$46=".", 1, (O91/O90)^(('Summary, PPI''s'!$O91+'Summary, PPI''s'!$O90)/('Predicted PPIs'!T91+'Predicted PPIs'!T90)))*IF(P$46=".", 1, (P91/P90)^(('Summary, PPI''s'!$P91+'Summary, PPI''s'!$P90)/('Predicted PPIs'!T91+'Predicted PPIs'!T90)))</f>
        <v>#VALUE!</v>
      </c>
      <c r="AC91" s="4" t="e">
        <f>AC90*IF(E$60=".",1,(E91/E90)^(('Summary, PPI''s'!$E91+'Summary, PPI''s'!$E90)/('Predicted PPIs'!U91+'Predicted PPIs'!U90)))*IF(F$60=".",1,(F91/F90)^(('Summary, PPI''s'!$F91+'Summary, PPI''s'!$F90)/('Predicted PPIs'!U91+'Predicted PPIs'!U90)))*IF(G$60=".",1,(G91/G90)^(('Summary, PPI''s'!$G91+'Summary, PPI''s'!$G90)/('Predicted PPIs'!U91+'Predicted PPIs'!U90)))*IF(H$60=".",1,(H91/H90)^(('Summary, PPI''s'!$H91+'Summary, PPI''s'!$H90)/('Predicted PPIs'!U91+'Predicted PPIs'!U90)))*IF(I$60=".",1,(I91/I90)^(('Summary, PPI''s'!$I91+'Summary, PPI''s'!$I90)/('Predicted PPIs'!U91+'Predicted PPIs'!U90)))*IF(J$60=".",1,(J91/J90)^(('Summary, PPI''s'!$J91+'Summary, PPI''s'!$J90)/('Predicted PPIs'!U91+'Predicted PPIs'!U90)))*IF(K$60=".",1,(K91/K90)^(('Summary, PPI''s'!$K91+'Summary, PPI''s'!$K90)/('Predicted PPIs'!U91+'Predicted PPIs'!U90)))*IF(L$60=".",1,(L91/L90)^(('Summary, PPI''s'!$L91+'Summary, PPI''s'!$L90)/('Predicted PPIs'!U91+'Predicted PPIs'!U90)))*IF(M$60=".",1,(M91/M90)^(('Summary, PPI''s'!$M91+'Summary, PPI''s'!$M90)/('Predicted PPIs'!U91+'Predicted PPIs'!U90)))*IF(B$60=".",1,(B91/B90)^(('Summary, PPI''s'!$B91+'Summary, PPI''s'!$B90)/('Predicted PPIs'!U91+'Predicted PPIs'!U90)))*IF(C$60=".",1,(C91/C90)^(('Summary, PPI''s'!$C91+'Summary, PPI''s'!$C90)/('Predicted PPIs'!U91+'Predicted PPIs'!U90)))*IF(D$60=".",1,(D91/D90)^(('Summary, PPI''s'!$D91+'Summary, PPI''s'!$D90)/('Predicted PPIs'!U91+'Predicted PPIs'!U90)))*IF(N$60=".",1,(N91/N90)^(('Summary, PPI''s'!$N91+'Summary, PPI''s'!$N90)/('Predicted PPIs'!U91+'Predicted PPIs'!U90)))*IF(O$60=".",1,(O91/O90)^(('Summary, PPI''s'!$O91+'Summary, PPI''s'!$O90)/('Predicted PPIs'!U91+'Predicted PPIs'!U90)))*IF(P$60=".",1,(P91/P90)^(('Summary, PPI''s'!$P91+'Summary, PPI''s'!$P90)/('Predicted PPIs'!U91+'Predicted PPIs'!U90)))</f>
        <v>#VALUE!</v>
      </c>
      <c r="AD91" s="4" t="e">
        <f>AD90*IF(E$73=".", 1, (E91/E90)^(('Summary, PPI''s'!$E91+'Summary, PPI''s'!$E90)/('Predicted PPIs'!V91+'Predicted PPIs'!V90)))*IF(F$73=".", 1, (F91/F90)^(('Summary, PPI''s'!$F91+'Summary, PPI''s'!$F90)/('Predicted PPIs'!V91+'Predicted PPIs'!V90)))*IF(G$73=".", 1, (G91/G90)^(('Summary, PPI''s'!$G91+'Summary, PPI''s'!$G90)/('Predicted PPIs'!V91+'Predicted PPIs'!V90)))*IF(H$73=".", 1, (H91/H90)^(('Summary, PPI''s'!$H91+'Summary, PPI''s'!$H90)/('Predicted PPIs'!V91+'Predicted PPIs'!V90)))*IF(I$73=".", 1, (I91/I90)^(('Summary, PPI''s'!$I91+'Summary, PPI''s'!$I90)/('Predicted PPIs'!V91+'Predicted PPIs'!V90)))*IF(J$73=".", 1, (J91/J90)^(('Summary, PPI''s'!$J91+'Summary, PPI''s'!$J90)/('Predicted PPIs'!V91+'Predicted PPIs'!V90)))*IF(K$73=".", 1, (K91/K90)^(('Summary, PPI''s'!$K91+'Summary, PPI''s'!$K90)/('Predicted PPIs'!V91+'Predicted PPIs'!V90)))*IF(L$73=".", 1, (L91/L90)^(('Summary, PPI''s'!$L91+'Summary, PPI''s'!$L90)/('Predicted PPIs'!V91+'Predicted PPIs'!V90)))*IF(M$73=".", 1, (M91/M90)^(('Summary, PPI''s'!$M91+'Summary, PPI''s'!$M90)/('Predicted PPIs'!V91+'Predicted PPIs'!V90)))*IF(B$73=".", 1, (B91/B90)^(('Summary, PPI''s'!$B91+'Summary, PPI''s'!$B90)/('Predicted PPIs'!V91+'Predicted PPIs'!V90)))*IF(C$73=".", 1, (C91/C90)^(('Summary, PPI''s'!$C91+'Summary, PPI''s'!$C90)/('Predicted PPIs'!V91+'Predicted PPIs'!V90)))*IF(D$73=".", 1, (D91/D90)^(('Summary, PPI''s'!$D91+'Summary, PPI''s'!$D90)/('Predicted PPIs'!V91+'Predicted PPIs'!V90)))*IF(N$73=".", 1, (N91/N90)^(('Summary, PPI''s'!$N91+'Summary, PPI''s'!$N90)/('Predicted PPIs'!V91+'Predicted PPIs'!V90)))*IF(O$73=".", 1, (O91/O90)^(('Summary, PPI''s'!$O91+'Summary, PPI''s'!$O90)/('Predicted PPIs'!V91+'Predicted PPIs'!V90)))*IF(P$73=".", 1, (P91/P90)^(('Summary, PPI''s'!$P91+'Summary, PPI''s'!$P90)/('Predicted PPIs'!V91+'Predicted PPIs'!V90)))</f>
        <v>#VALUE!</v>
      </c>
      <c r="AE91" s="4">
        <f>AE90*IF(E$94=".", 1, (E91/E90)^(('Summary, PPI''s'!$E91+'Summary, PPI''s'!$E90)/('Predicted PPIs'!W91+'Predicted PPIs'!W90)))*IF(F$94=".", 1, (F91/F90)^(('Summary, PPI''s'!$F91+'Summary, PPI''s'!$F90)/('Predicted PPIs'!W91+'Predicted PPIs'!W90)))*IF(G$94=".", 1, (G91/G90)^(('Summary, PPI''s'!$G91+'Summary, PPI''s'!$G90)/('Predicted PPIs'!W91+'Predicted PPIs'!W90)))*IF(H$94=".", 1, (H91/H90)^(('Summary, PPI''s'!$H91+'Summary, PPI''s'!$H90)/('Predicted PPIs'!W91+'Predicted PPIs'!W90)))*IF(I$94=".", 1, (I91/I90)^(('Summary, PPI''s'!$I91+'Summary, PPI''s'!$I90)/('Predicted PPIs'!W91+'Predicted PPIs'!W90)))*IF(J$94=".", 1, (J91/J90)^(('Summary, PPI''s'!$J91+'Summary, PPI''s'!$J90)/('Predicted PPIs'!W91+'Predicted PPIs'!W90)))*IF(K$94=".", 1, (K91/K90)^(('Summary, PPI''s'!$K91+'Summary, PPI''s'!$K90)/('Predicted PPIs'!W91+'Predicted PPIs'!W90)))*IF(L$94=".", 1, (L91/L90)^(('Summary, PPI''s'!$L91+'Summary, PPI''s'!$L90)/('Predicted PPIs'!W91+'Predicted PPIs'!W90)))*IF(M$94=".", 1, (M91/M90)^(('Summary, PPI''s'!$M91+'Summary, PPI''s'!$M90)/('Predicted PPIs'!W91+'Predicted PPIs'!W90)))*IF(B$94=".", 1, (B91/B90)^(('Summary, PPI''s'!$B91+'Summary, PPI''s'!$B90)/('Predicted PPIs'!W91+'Predicted PPIs'!W90)))*IF(C$94=".", 1, (C91/C90)^(('Summary, PPI''s'!$C91+'Summary, PPI''s'!$C90)/('Predicted PPIs'!W91+'Predicted PPIs'!W90)))*IF(D$94=".", 1, (D91/D90)^(('Summary, PPI''s'!$D91+'Summary, PPI''s'!$D90)/('Predicted PPIs'!W91+'Predicted PPIs'!W90)))*IF(N$94=".", 1, (N91/N90)^(('Summary, PPI''s'!$N91+'Summary, PPI''s'!$N90)/('Predicted PPIs'!W91+'Predicted PPIs'!W90)))*IF(O$94=".", 1, (O91/O90)^(('Summary, PPI''s'!$O91+'Summary, PPI''s'!$O90)/('Predicted PPIs'!W91+'Predicted PPIs'!W90)))*IF(P$94=".", 1, (P91/P90)^(('Summary, PPI''s'!$P91+'Summary, PPI''s'!$P90)/('Predicted PPIs'!W91+'Predicted PPIs'!W90)))</f>
        <v>3.0490802088792943</v>
      </c>
      <c r="AF91" s="4">
        <f>AF90*IF(E$123=".", 1, (E91/E90)^(('Summary, PPI''s'!$E91+'Summary, PPI''s'!$E90)/('Predicted PPIs'!X91+'Predicted PPIs'!X90)))*IF(F$123=".", 1, (F91/F90)^(('Summary, PPI''s'!$F91+'Summary, PPI''s'!$F90)/('Predicted PPIs'!X91+'Predicted PPIs'!X90)))*IF(G$123=".", 1, (G91/G90)^(('Summary, PPI''s'!$G91+'Summary, PPI''s'!$G90)/('Predicted PPIs'!X91+'Predicted PPIs'!X90)))*IF(H$123=".", 1, (H91/H90)^(('Summary, PPI''s'!$H91+'Summary, PPI''s'!$H90)/('Predicted PPIs'!X91+'Predicted PPIs'!X90)))*IF(I$123=".", 1, (I91/I90)^(('Summary, PPI''s'!$I91+'Summary, PPI''s'!$I90)/('Predicted PPIs'!X91+'Predicted PPIs'!X90)))*IF(J$123=".", 1, (J91/J90)^(('Summary, PPI''s'!$J91+'Summary, PPI''s'!$J90)/('Predicted PPIs'!X91+'Predicted PPIs'!X90)))*IF(K$123=".", 1, (K91/K90)^(('Summary, PPI''s'!$K91+'Summary, PPI''s'!$K90)/('Predicted PPIs'!X91+'Predicted PPIs'!X90)))*IF(L$123=".", 1, (L91/L90)^(('Summary, PPI''s'!$L91+'Summary, PPI''s'!$L90)/('Predicted PPIs'!X91+'Predicted PPIs'!X90)))*IF(M$123=".", 1, (M91/M90)^(('Summary, PPI''s'!$M91+'Summary, PPI''s'!$M90)/('Predicted PPIs'!X91+'Predicted PPIs'!X90)))*IF(B$123=".", 1, (B91/B90)^(('Summary, PPI''s'!$B91+'Summary, PPI''s'!$B90)/('Predicted PPIs'!X91+'Predicted PPIs'!X90)))*IF(C$123=".", 1, (C91/C90)^(('Summary, PPI''s'!$C91+'Summary, PPI''s'!$C90)/('Predicted PPIs'!X91+'Predicted PPIs'!X90)))*IF(D$123=".", 1, (D91/D90)^(('Summary, PPI''s'!$D91+'Summary, PPI''s'!$D90)/('Predicted PPIs'!X91+'Predicted PPIs'!X90)))*IF(N$123=".", 1, (N91/N90)^(('Summary, PPI''s'!$N91+'Summary, PPI''s'!$N90)/('Predicted PPIs'!X91+'Predicted PPIs'!X90)))*IF(O$123=".", 1, (O91/O90)^(('Summary, PPI''s'!$O91+'Summary, PPI''s'!$O90)/('Predicted PPIs'!X91+'Predicted PPIs'!X90)))*IF(P$123=".", 1, (P91/P90)^(('Summary, PPI''s'!$P91+'Summary, PPI''s'!$P90)/('Predicted PPIs'!X91+'Predicted PPIs'!X90)))</f>
        <v>2.8695548178341048</v>
      </c>
      <c r="AH91" s="13">
        <f t="shared" si="152"/>
        <v>4.169713637752551</v>
      </c>
      <c r="AJ91" s="4">
        <v>48.7</v>
      </c>
      <c r="AK91" s="4">
        <v>-0.99299999999999999</v>
      </c>
      <c r="AL91" s="4">
        <v>-4.4160000000000004</v>
      </c>
      <c r="AM91" s="4">
        <v>-0.66400000000000003</v>
      </c>
      <c r="AN91" s="4">
        <f t="shared" si="176"/>
        <v>64.943360098826446</v>
      </c>
      <c r="AO91" s="4">
        <v>4.8</v>
      </c>
      <c r="AP91" s="4">
        <f t="shared" si="177"/>
        <v>-0.44406417112299468</v>
      </c>
      <c r="AQ91" s="4">
        <f t="shared" si="178"/>
        <v>-0.83948663101604271</v>
      </c>
      <c r="AR91" s="4">
        <f t="shared" si="148"/>
        <v>-1.9740909031227225E-5</v>
      </c>
      <c r="AS91" s="4">
        <v>-0.25</v>
      </c>
      <c r="AT91" s="4">
        <v>7.01</v>
      </c>
      <c r="AU91" s="4">
        <v>8.15</v>
      </c>
      <c r="AV91" s="4">
        <v>9.8510000000000009</v>
      </c>
      <c r="AW91" s="4">
        <v>4.9160000000000004</v>
      </c>
      <c r="AX91" s="4">
        <f t="shared" si="179"/>
        <v>6.677232628882483</v>
      </c>
      <c r="AY91" s="4">
        <v>8.17</v>
      </c>
      <c r="AZ91" s="4">
        <v>2.6749999999999998</v>
      </c>
      <c r="BA91" s="4">
        <v>7.3049999999999997</v>
      </c>
      <c r="BB91" s="4">
        <f t="shared" si="150"/>
        <v>41.782799309788686</v>
      </c>
      <c r="BC91" s="4">
        <v>7.7850000000000001</v>
      </c>
      <c r="BG91" s="4">
        <f t="shared" si="172"/>
        <v>6.7951776403544564</v>
      </c>
      <c r="BI91" s="4">
        <f>BI$13*'[2]Ordinary Experience'!$D$335/'[2]Ordinary Experience'!$D$413</f>
        <v>124705328.4058481</v>
      </c>
      <c r="BJ91" s="4">
        <f>'[2]Ordinary Experience'!$E$335</f>
        <v>28.462029605842858</v>
      </c>
      <c r="BL91" s="4">
        <f t="shared" si="151"/>
        <v>19.218297762715199</v>
      </c>
      <c r="BM91" s="4">
        <f t="shared" si="153"/>
        <v>-0.11717168144193502</v>
      </c>
      <c r="BO91" s="4" t="str">
        <f>IF(OR('Summary, hourly ad costs'!R91=-9999,'Summary, PPI''s'!R91="."),".",(('Summary, hourly ad costs'!B91/'Summary, hourly ad costs'!R91)*100/('Summary, hourly ad costs'!B$11/'Summary, hourly ad costs'!R$11))/('Summary, PPI''s'!R91))</f>
        <v>.</v>
      </c>
      <c r="BP91" s="4" t="str">
        <f>IF(OR('Summary, hourly ad costs'!S91=-9999,'Summary, PPI''s'!S91="."),".",(('Summary, hourly ad costs'!C91/'Summary, hourly ad costs'!S91)*100/('Summary, hourly ad costs'!C$11/'Summary, hourly ad costs'!S$11))/('Summary, PPI''s'!S91))</f>
        <v>.</v>
      </c>
      <c r="BQ91" s="4" t="str">
        <f>IF(OR('Summary, hourly ad costs'!T91=-9999,'Summary, PPI''s'!T91="."),".",(('Summary, hourly ad costs'!D91/'Summary, hourly ad costs'!T91)*100/('Summary, hourly ad costs'!D$11/'Summary, hourly ad costs'!T$11))/('Summary, PPI''s'!T91))</f>
        <v>.</v>
      </c>
      <c r="BR91" s="4" t="str">
        <f>IF(OR('Summary, hourly ad costs'!U91=-9999,'Summary, PPI''s'!U91="."),".",(('Summary, hourly ad costs'!E91/'Summary, hourly ad costs'!U91)*100/('Summary, hourly ad costs'!E$11/'Summary, hourly ad costs'!U$11))/('Summary, PPI''s'!U91))</f>
        <v>.</v>
      </c>
      <c r="BS91" s="4" t="str">
        <f>IF(OR('Summary, hourly ad costs'!V91=-9999,'Summary, PPI''s'!V91="."),".",(('Summary, hourly ad costs'!F91/'Summary, hourly ad costs'!V91)*100/('Summary, hourly ad costs'!F$11/'Summary, hourly ad costs'!V$11))/('Summary, PPI''s'!V91))</f>
        <v>.</v>
      </c>
      <c r="BT91" s="4" t="str">
        <f>IF(OR('Summary, hourly ad costs'!W91=-9999,'Summary, PPI''s'!W91="."),".",(('Summary, hourly ad costs'!G91/'Summary, hourly ad costs'!W91)*100/('Summary, hourly ad costs'!G$11/'Summary, hourly ad costs'!W$11))/('Summary, PPI''s'!W91))</f>
        <v>.</v>
      </c>
      <c r="BU91" s="4" t="str">
        <f>IF(OR('Summary, hourly ad costs'!X91=-9999,'Summary, PPI''s'!X91="."),".",(('Summary, hourly ad costs'!H91/'Summary, hourly ad costs'!X91)*100/('Summary, hourly ad costs'!H$11/'Summary, hourly ad costs'!X$11))/('Summary, PPI''s'!X91))</f>
        <v>.</v>
      </c>
      <c r="BV91" s="4" t="str">
        <f>IF(OR('Summary, hourly ad costs'!Y91=-9999,'Summary, PPI''s'!Y91="."),".",(('Summary, hourly ad costs'!I91/'Summary, hourly ad costs'!Y91)*100/('Summary, hourly ad costs'!I$11/'Summary, hourly ad costs'!Y$11))/('Summary, PPI''s'!Y91))</f>
        <v>.</v>
      </c>
      <c r="BW91" s="4" t="str">
        <f>IF(OR('Summary, hourly ad costs'!Z91=-9999,'Summary, PPI''s'!Z91="."),".",(('Summary, hourly ad costs'!J91/'Summary, hourly ad costs'!Z91)*100/('Summary, hourly ad costs'!J$11/'Summary, hourly ad costs'!Z$11))/('Summary, PPI''s'!Z91))</f>
        <v>.</v>
      </c>
      <c r="BX91" s="4" t="str">
        <f>IF(OR('Summary, hourly ad costs'!AA91=-9999,'Summary, PPI''s'!AA91="."),".",(('Summary, hourly ad costs'!K91/'Summary, hourly ad costs'!AA91)*100/('Summary, hourly ad costs'!K$11/'Summary, hourly ad costs'!AA$11))/('Summary, PPI''s'!AA91))</f>
        <v>.</v>
      </c>
      <c r="BY91" s="4" t="str">
        <f>IF(OR('Summary, hourly ad costs'!AB91=-9999,'Summary, PPI''s'!AB91="."),".",(('Summary, hourly ad costs'!L91/'Summary, hourly ad costs'!AB91)*100/('Summary, hourly ad costs'!L$11/'Summary, hourly ad costs'!AB$11))/('Summary, PPI''s'!AB91))</f>
        <v>.</v>
      </c>
      <c r="BZ91" s="4" t="str">
        <f>IF(OR('Summary, hourly ad costs'!AC91=-9999,'Summary, PPI''s'!AC91="."),".",(('Summary, hourly ad costs'!M91/'Summary, hourly ad costs'!AC91)*100/('Summary, hourly ad costs'!M$11/'Summary, hourly ad costs'!AC$11))/('Summary, PPI''s'!AC91))</f>
        <v>.</v>
      </c>
      <c r="CA91" s="4" t="str">
        <f>IF(OR('Summary, hourly ad costs'!AD91=-9999,'Summary, PPI''s'!AD91="."),".",(('Summary, hourly ad costs'!N91/'Summary, hourly ad costs'!AD91)*100/('Summary, hourly ad costs'!N$11/'Summary, hourly ad costs'!AD$11))/('Summary, PPI''s'!AD91))</f>
        <v>.</v>
      </c>
      <c r="CB91" s="4" t="str">
        <f>IF(OR('Summary, hourly ad costs'!AE91=-9999,'Summary, PPI''s'!AE91="."),".",(('Summary, hourly ad costs'!O91/'Summary, hourly ad costs'!AE91)*100/('Summary, hourly ad costs'!O$11/'Summary, hourly ad costs'!AE$11))/('Summary, PPI''s'!AE91))</f>
        <v>.</v>
      </c>
      <c r="CC91" s="4" t="str">
        <f>IF(OR('Summary, hourly ad costs'!AF91=-9999,'Summary, PPI''s'!AF91="."),".",(('Summary, hourly ad costs'!P91/'Summary, hourly ad costs'!AF91)*100/('Summary, hourly ad costs'!P$11/'Summary, hourly ad costs'!AF$11))/('Summary, PPI''s'!AF91))</f>
        <v>.</v>
      </c>
      <c r="CE91" s="4">
        <f t="shared" si="134"/>
        <v>-0.14271471371959354</v>
      </c>
      <c r="CF91" s="4" t="str">
        <f t="shared" si="135"/>
        <v>.</v>
      </c>
      <c r="CG91" s="4" t="str">
        <f t="shared" si="136"/>
        <v>.</v>
      </c>
      <c r="CH91" s="4">
        <f t="shared" si="145"/>
        <v>-0.1726309502508479</v>
      </c>
      <c r="CI91" s="4">
        <f t="shared" si="145"/>
        <v>-0.19435738225533267</v>
      </c>
      <c r="CJ91" s="4" t="str">
        <f t="shared" si="147"/>
        <v>.</v>
      </c>
      <c r="CK91" s="4">
        <f t="shared" si="149"/>
        <v>1.1171689715535491E-2</v>
      </c>
      <c r="CL91" s="4">
        <f t="shared" si="130"/>
        <v>-0.13614171523257354</v>
      </c>
      <c r="CM91" s="4">
        <f t="shared" si="130"/>
        <v>-3.8305278154337791E-2</v>
      </c>
      <c r="CN91" s="4">
        <f t="shared" si="89"/>
        <v>-0.15172671905453033</v>
      </c>
      <c r="CO91" s="4">
        <f t="shared" si="180"/>
        <v>-0.77568846762226706</v>
      </c>
      <c r="CP91" s="4">
        <f t="shared" si="180"/>
        <v>0.50115924681269441</v>
      </c>
      <c r="CQ91" s="4" t="str">
        <f t="shared" si="173"/>
        <v>.</v>
      </c>
      <c r="CR91" s="4" t="str">
        <f t="shared" si="174"/>
        <v>.</v>
      </c>
      <c r="CS91" s="4" t="str">
        <f t="shared" si="175"/>
        <v>.</v>
      </c>
      <c r="CU91" s="5">
        <f>IF(CU90=".", ".", IF('Summary, PPI''s'!R91=".",IF(OR('Summary, hourly ad costs'!R91=-9999,'Summary, hourly ad costs'!R91=0), ".", 'Predicted PPIs'!CU90*('Summary, hourly ad costs'!B91/'Summary, hourly ad costs'!R91)/('Summary, hourly ad costs'!B90/'Summary, hourly ad costs'!R90)/(1-CE90)), 'Summary, PPI''s'!R91))</f>
        <v>22.743754757461886</v>
      </c>
      <c r="CV91" s="5" t="str">
        <f>IF(CV90=".", ".", IF('Summary, PPI''s'!S91=".",IF(OR('Summary, hourly ad costs'!S91=-9999,'Summary, hourly ad costs'!S91=0), ".", 'Predicted PPIs'!CV90*('Summary, hourly ad costs'!C91/'Summary, hourly ad costs'!S91)/('Summary, hourly ad costs'!C90/'Summary, hourly ad costs'!S90)/(1-CF90)), 'Summary, PPI''s'!S91))</f>
        <v>.</v>
      </c>
      <c r="CW91" s="5" t="str">
        <f>IF(CW90=".", ".", IF('Summary, PPI''s'!T91=".",IF(OR('Summary, hourly ad costs'!T91=-9999,'Summary, hourly ad costs'!T91=0), ".", 'Predicted PPIs'!CW90*('Summary, hourly ad costs'!D91/'Summary, hourly ad costs'!T91)/('Summary, hourly ad costs'!D90/'Summary, hourly ad costs'!T90)/(1-CG90)), 'Summary, PPI''s'!T91))</f>
        <v>.</v>
      </c>
      <c r="CX91" s="5">
        <f>IF(CX90=".", ".", IF('Summary, PPI''s'!U91=".",IF(OR('Summary, hourly ad costs'!U91=-9999,'Summary, hourly ad costs'!U91=0), ".", 'Predicted PPIs'!CX90*('Summary, hourly ad costs'!E91/'Summary, hourly ad costs'!U91)/('Summary, hourly ad costs'!E90/'Summary, hourly ad costs'!U90)/(1-CH90)), 'Summary, PPI''s'!U91))</f>
        <v>2.896359010530603</v>
      </c>
      <c r="CY91" s="5">
        <f>IF(CY90=".", ".", IF('Summary, PPI''s'!V91=".",IF(OR('Summary, hourly ad costs'!V91=-9999,'Summary, hourly ad costs'!V91=0), ".", 'Predicted PPIs'!CY90*('Summary, hourly ad costs'!F91/'Summary, hourly ad costs'!V91)/('Summary, hourly ad costs'!F90/'Summary, hourly ad costs'!V90)/(1-CI90)), 'Summary, PPI''s'!V91))</f>
        <v>5.0693967699905356</v>
      </c>
      <c r="CZ91" s="5" t="str">
        <f>IF(CZ90=".", ".", IF('Summary, PPI''s'!W91=".",IF(OR('Summary, hourly ad costs'!W91=-9999,'Summary, hourly ad costs'!W91=0), ".", 'Predicted PPIs'!CZ90*('Summary, hourly ad costs'!G91/'Summary, hourly ad costs'!W91)/('Summary, hourly ad costs'!G90/'Summary, hourly ad costs'!W90)/(1-CJ90)), 'Summary, PPI''s'!W91))</f>
        <v>.</v>
      </c>
      <c r="DA91" s="5">
        <f>IF(DA90=".", ".", IF('Summary, PPI''s'!X91=".",IF(OR('Summary, hourly ad costs'!X91=-9999,'Summary, hourly ad costs'!X91=0), ".", 'Predicted PPIs'!DA90*('Summary, hourly ad costs'!H91/'Summary, hourly ad costs'!X91)/('Summary, hourly ad costs'!H90/'Summary, hourly ad costs'!X90)/(1-CK90)), 'Summary, PPI''s'!X91))</f>
        <v>1.3408862510340234</v>
      </c>
      <c r="DB91" s="5">
        <f>IF(DB90=".", ".", IF('Summary, PPI''s'!Y91=".",IF(OR('Summary, hourly ad costs'!Y91=-9999,'Summary, hourly ad costs'!Y91=0), ".", 'Predicted PPIs'!DB90*('Summary, hourly ad costs'!I91/'Summary, hourly ad costs'!Y91)/('Summary, hourly ad costs'!I90/'Summary, hourly ad costs'!Y90)/(1-CL90)), 'Summary, PPI''s'!Y91))</f>
        <v>4.6468912394910369</v>
      </c>
      <c r="DC91" s="5" t="str">
        <f>IF(DC90=".", ".", IF('Summary, PPI''s'!Z91=".",IF(OR('Summary, hourly ad costs'!Z91=-9999,'Summary, hourly ad costs'!Z91=0), ".", 'Predicted PPIs'!DC90*('Summary, hourly ad costs'!J91/'Summary, hourly ad costs'!Z91)/('Summary, hourly ad costs'!J90/'Summary, hourly ad costs'!Z90)/(1-CM90)), 'Summary, PPI''s'!Z91))</f>
        <v>.</v>
      </c>
      <c r="DD91" s="5" t="str">
        <f>IF(DD90=".", ".", IF('Summary, PPI''s'!AA91=".",IF(OR('Summary, hourly ad costs'!AA91=-9999,'Summary, hourly ad costs'!AA91=0), ".", 'Predicted PPIs'!DD90*('Summary, hourly ad costs'!K91/'Summary, hourly ad costs'!AA91)/('Summary, hourly ad costs'!K90/'Summary, hourly ad costs'!AA90)/(1-CN90)), 'Summary, PPI''s'!AA91))</f>
        <v>.</v>
      </c>
      <c r="DE91" s="5" t="str">
        <f>IF(DE90=".", ".", IF('Summary, PPI''s'!AB91=".",IF(OR('Summary, hourly ad costs'!AB91=-9999,'Summary, hourly ad costs'!AB91=0), ".", 'Predicted PPIs'!DE90*('Summary, hourly ad costs'!L91/'Summary, hourly ad costs'!AB91)/('Summary, hourly ad costs'!L90/'Summary, hourly ad costs'!AB90)/(1-CO90)), 'Summary, PPI''s'!AB91))</f>
        <v>.</v>
      </c>
      <c r="DF91" s="5" t="str">
        <f>IF(DF90=".", ".", IF('Summary, PPI''s'!AC91=".",IF(OR('Summary, hourly ad costs'!AC91=-9999,'Summary, hourly ad costs'!AC91=0), ".", 'Predicted PPIs'!DF90*('Summary, hourly ad costs'!M91/'Summary, hourly ad costs'!AC91)/('Summary, hourly ad costs'!M90/'Summary, hourly ad costs'!AC90)/(1-CP90)), 'Summary, PPI''s'!AC91))</f>
        <v>.</v>
      </c>
      <c r="DG91" s="5" t="str">
        <f>IF(DG90=".", ".", IF('Summary, PPI''s'!AD91=".",IF(OR('Summary, hourly ad costs'!AD91=-9999,'Summary, hourly ad costs'!AD91=0), ".", 'Predicted PPIs'!DG90*('Summary, hourly ad costs'!N91/'Summary, hourly ad costs'!AD91)/('Summary, hourly ad costs'!N90/'Summary, hourly ad costs'!AD90)/(1-CQ90)), 'Summary, PPI''s'!AD91))</f>
        <v>.</v>
      </c>
      <c r="DH91" s="5" t="str">
        <f>IF(DH90=".", ".", IF('Summary, PPI''s'!AE91=".",IF(OR('Summary, hourly ad costs'!AE91=-9999,'Summary, hourly ad costs'!AE91=0), ".", 'Predicted PPIs'!DH90*('Summary, hourly ad costs'!O91/'Summary, hourly ad costs'!AE91)/('Summary, hourly ad costs'!O90/'Summary, hourly ad costs'!AE90)/(1-CR90)), 'Summary, PPI''s'!AE91))</f>
        <v>.</v>
      </c>
      <c r="DI91" s="5" t="str">
        <f>IF(DI90=".", ".", IF('Summary, PPI''s'!AF91=".",IF(OR('Summary, hourly ad costs'!AF91=-9999,'Summary, hourly ad costs'!AF91=0), ".", 'Predicted PPIs'!DI90*('Summary, hourly ad costs'!P91/'Summary, hourly ad costs'!AF91)/('Summary, hourly ad costs'!P90/'Summary, hourly ad costs'!AF90)/(1-CS90)), 'Summary, PPI''s'!AF91))</f>
        <v>.</v>
      </c>
      <c r="DK91" s="4">
        <v>2.177</v>
      </c>
      <c r="DM91" s="5">
        <f t="shared" si="138"/>
        <v>-4.0719454107618569E-2</v>
      </c>
      <c r="DN91" s="4">
        <f t="shared" si="139"/>
        <v>3.0583632103427655E-3</v>
      </c>
      <c r="DO91" s="4">
        <f t="shared" si="181"/>
        <v>-2.3652300672931042E-2</v>
      </c>
      <c r="DP91" s="5">
        <f t="shared" si="140"/>
        <v>6.7617366719390004E-2</v>
      </c>
      <c r="DQ91" s="5">
        <f t="shared" si="141"/>
        <v>-5.5544055440222007E-2</v>
      </c>
      <c r="DR91" s="4">
        <f t="shared" si="146"/>
        <v>-2.7506103059628858E-2</v>
      </c>
      <c r="DS91" s="5">
        <f t="shared" si="169"/>
        <v>0.53055149150067393</v>
      </c>
      <c r="DT91" s="5">
        <f t="shared" si="170"/>
        <v>0.35494200759907568</v>
      </c>
      <c r="DU91" s="4">
        <f t="shared" si="171"/>
        <v>-7.8344753199120265E-2</v>
      </c>
      <c r="DV91" s="4">
        <f t="shared" si="131"/>
        <v>5.2236632257526673E-3</v>
      </c>
      <c r="DW91" s="4">
        <f t="shared" ref="DW91:DX122" si="182">_xlfn.FORECAST.LINEAR($BM91,DW$4:DW$25,$BM$4:$BM$25)</f>
        <v>0.32190330229070274</v>
      </c>
      <c r="DX91" s="4">
        <f t="shared" si="182"/>
        <v>-0.77310066331536254</v>
      </c>
      <c r="DY91" s="4">
        <f t="shared" si="108"/>
        <v>-3.5244701521088183E-2</v>
      </c>
      <c r="DZ91" s="4">
        <f t="shared" si="132"/>
        <v>-3.0232535720403197E-2</v>
      </c>
      <c r="EA91" s="4">
        <f t="shared" si="109"/>
        <v>-2.1407016191832592E-2</v>
      </c>
      <c r="EC91" s="1">
        <f t="shared" si="154"/>
        <v>22.743754757461886</v>
      </c>
      <c r="ED91" s="1">
        <f t="shared" si="155"/>
        <v>3.2473936255780216</v>
      </c>
      <c r="EE91" s="1">
        <f t="shared" si="156"/>
        <v>1.9298060114235871</v>
      </c>
      <c r="EF91" s="1">
        <f t="shared" si="157"/>
        <v>2.896359010530603</v>
      </c>
      <c r="EG91" s="1">
        <f t="shared" si="158"/>
        <v>5.0693967699905356</v>
      </c>
      <c r="EH91" s="1">
        <f t="shared" si="159"/>
        <v>2.2818257140067653</v>
      </c>
      <c r="EI91" s="1">
        <f t="shared" si="160"/>
        <v>1.3408862510340234</v>
      </c>
      <c r="EJ91" s="1">
        <f t="shared" si="161"/>
        <v>4.6468912394910369</v>
      </c>
      <c r="EK91" s="1">
        <f t="shared" si="162"/>
        <v>7.7052132909644913</v>
      </c>
      <c r="EL91" s="1">
        <f t="shared" si="163"/>
        <v>1.7677583956656284</v>
      </c>
      <c r="EM91" s="1">
        <f t="shared" si="164"/>
        <v>7.4148742103668203E-2</v>
      </c>
      <c r="EN91" s="1">
        <f t="shared" si="165"/>
        <v>5.9159462200725415</v>
      </c>
      <c r="EO91" s="1">
        <f t="shared" si="166"/>
        <v>1.3827230951199982</v>
      </c>
      <c r="EP91" s="1">
        <f t="shared" si="167"/>
        <v>2.2403472346489584</v>
      </c>
      <c r="EQ91" s="1">
        <f t="shared" si="168"/>
        <v>1.7271479717623222</v>
      </c>
      <c r="ES91" s="1">
        <f>IF(EF$26=".", 0, 'Summary, PPI''s'!E91)+IF(EG$26=".", 0, 'Summary, PPI''s'!F91)+IF(EH$26=".", 0, 'Summary, PPI''s'!G91)+IF(EI$26=".", 0, 'Summary, PPI''s'!H91)+IF(EJ$26=".", 0, 'Summary, PPI''s'!I91)+IF(EK$26=".", 0, 'Summary, PPI''s'!J91)+IF(EL$26=".", 0, 'Summary, PPI''s'!K91)+IF(EM$26=".", 0, 'Summary, PPI''s'!L91)+IF(EN$26=".", 0, 'Summary, PPI''s'!M91)+IF(EC$26=".", 0, 'Summary, PPI''s'!B91)+IF(ED$26=".", 0, 'Summary, PPI''s'!C91)+IF(EE$26=".", 0, 'Summary, PPI''s'!D91)+IF(EO$26=".", 0, 'Summary, PPI''s'!N91)+IF(EP$26=".", 0, 'Summary, PPI''s'!O91)+IF(EQ$26=".", 0, 'Summary, PPI''s'!P91)</f>
        <v>1524389.3166525839</v>
      </c>
      <c r="ET91" s="1">
        <f>'Summary, hourly ad costs'!E91+'Summary, hourly ad costs'!F91+'Summary, hourly ad costs'!H91+'Summary, hourly ad costs'!I91+'Summary, hourly ad costs'!J91+'Summary, hourly ad costs'!K91+'Summary, hourly ad costs'!L91+'Summary, hourly ad costs'!M91+'Summary, hourly ad costs'!B91</f>
        <v>1014407.3770754011</v>
      </c>
      <c r="EV91" s="13">
        <f>EV90*IF(EF$26=".", 1, (EF91/EF90)^(('Summary, PPI''s'!$E91+'Summary, PPI''s'!$E90)/('Predicted PPIs'!ES91+'Predicted PPIs'!ES90)))*IF(EG$26=".", 1, (EG91/EG90)^(('Summary, PPI''s'!$F91+'Summary, PPI''s'!$F90)/('Predicted PPIs'!ES91+'Predicted PPIs'!ES90)))*IF(EH$26=".", 1, (EH91/EH90)^(('Summary, PPI''s'!$G91+'Summary, PPI''s'!$G90)/('Predicted PPIs'!ES91+'Predicted PPIs'!ES90)))*IF(EI$26=".", 1, (EI91/EI90)^(('Summary, PPI''s'!$H91+'Summary, PPI''s'!$H90)/('Predicted PPIs'!ES91+'Predicted PPIs'!ES90)))*IF(EJ$26=".", 1, (EJ91/EJ90)^(('Summary, PPI''s'!$I91+'Summary, PPI''s'!$I90)/('Predicted PPIs'!ES91+'Predicted PPIs'!ES90)))*IF(EK$26=".", 1, (EK91/EK90)^(('Summary, PPI''s'!$J91+'Summary, PPI''s'!$J90)/('Predicted PPIs'!ES91+'Predicted PPIs'!ES90)))*IF(EL$26=".", 1, (EL91/EL90)^(('Summary, PPI''s'!$K91+'Summary, PPI''s'!$K90)/('Predicted PPIs'!ES91+'Predicted PPIs'!ES90)))*IF(EM$26=".", 1, (EM91/EM90)^(('Summary, PPI''s'!$L91+'Summary, PPI''s'!$L90)/('Predicted PPIs'!ES91+'Predicted PPIs'!ES90)))*IF(EN$26=".", 1, (EN91/EN90)^(('Summary, PPI''s'!$M91+'Summary, PPI''s'!$M90)/('Predicted PPIs'!ES91+'Predicted PPIs'!ES90)))*IF(EC$26=".", 1, (EC91/EC90)^(('Summary, PPI''s'!$B91+'Summary, PPI''s'!$B90)/('Predicted PPIs'!ES91+'Predicted PPIs'!ES90)))*IF(ED$26=".", 1, (ED91/ED90)^(('Summary, PPI''s'!$C91+'Summary, PPI''s'!$C90)/('Predicted PPIs'!ES91+'Predicted PPIs'!ES90)))*IF(EE$26=".", 1, (EE91/EE90)^(('Summary, PPI''s'!$D91+'Summary, PPI''s'!$D90)/('Predicted PPIs'!ES91+'Predicted PPIs'!ES90)))*IF(EO$26=".", 1, (EO91/EO90)^(('Summary, PPI''s'!$N91+'Summary, PPI''s'!$N90)/('Predicted PPIs'!ES91+'Predicted PPIs'!ES90)))*IF(EP$26=".", 1, (EP91/EP90)^(('Summary, PPI''s'!$O91+'Summary, PPI''s'!$O90)/('Predicted PPIs'!ES91+'Predicted PPIs'!ES90)))*IF(EQ$26=".", 1, (EQ91/EQ90)^(('Summary, PPI''s'!$P91+'Summary, PPI''s'!$P90)/('Predicted PPIs'!ES91+'Predicted PPIs'!ES90)))</f>
        <v>4.0326505253714506</v>
      </c>
      <c r="EW91" s="13">
        <f>EW90*IF(EF$26=".", 1, (EF91/EF90)^(('Summary, PPI''s'!$E91+'Summary, PPI''s'!$E90)/('Predicted PPIs'!ET91+'Predicted PPIs'!ET90)))*IF(EG$26=".", 1, (EG91/EG90)^(('Summary, PPI''s'!$F91+'Summary, PPI''s'!$F90)/('Predicted PPIs'!ET91+'Predicted PPIs'!ET90)))*IF(EH$26=".", 1, (EH91/EH90)^(('Summary, PPI''s'!$G91+'Summary, PPI''s'!$G90)/('Predicted PPIs'!ET91+'Predicted PPIs'!ET90)))*IF(EK$26=".", 1, (EK91/EK90)^(('Summary, PPI''s'!$J91+'Summary, PPI''s'!$J90)/('Predicted PPIs'!ET91+'Predicted PPIs'!ET90)))*IF(EL$26=".", 1, (EL91/EL90)^(('Summary, PPI''s'!$K91+'Summary, PPI''s'!$K90)/('Predicted PPIs'!ET91+'Predicted PPIs'!ET90)))*IF(EM$26=".", 1, (EM91/EM90)^(('Summary, PPI''s'!$L91+'Summary, PPI''s'!$L90)/('Predicted PPIs'!ET91+'Predicted PPIs'!ET90)))*IF(EN$26=".", 1, (EN91/EN90)^(('Summary, PPI''s'!$M91+'Summary, PPI''s'!$M90)/('Predicted PPIs'!ET91+'Predicted PPIs'!ET90)))*IF(EC$26=".", 1, (EC91/EC90)^(('Summary, PPI''s'!$B91+'Summary, PPI''s'!$B90)/('Predicted PPIs'!ET91+'Predicted PPIs'!ET90)))</f>
        <v>7.6550393117442495</v>
      </c>
      <c r="EY91" s="2"/>
    </row>
    <row r="92" spans="1:155" x14ac:dyDescent="0.3">
      <c r="A92" s="4">
        <v>1931</v>
      </c>
      <c r="B92" s="10">
        <f>IF(B91=".", ".", IF('Summary, PPI''s'!R92=".",IF(OR('Summary, hourly ad costs'!R92=-9999,'Summary, hourly ad costs'!R92=0), ".", 'Predicted PPIs'!B91*('Summary, hourly ad costs'!B92/'Summary, hourly ad costs'!R92)/('Summary, hourly ad costs'!B91/'Summary, hourly ad costs'!R91)), 'Summary, PPI''s'!R92))</f>
        <v>35.227260014390126</v>
      </c>
      <c r="C92" s="10" t="str">
        <f>IF(C91=".", ".", IF('Summary, PPI''s'!S92=".",IF(OR('Summary, hourly ad costs'!S92=-9999,'Summary, hourly ad costs'!S92=0), ".", 'Predicted PPIs'!C91*('Summary, hourly ad costs'!C92/'Summary, hourly ad costs'!S92)/('Summary, hourly ad costs'!C91/'Summary, hourly ad costs'!S91)), 'Summary, PPI''s'!S92))</f>
        <v>.</v>
      </c>
      <c r="D92" s="10" t="str">
        <f>IF(D91=".", ".", IF('Summary, PPI''s'!T92=".",IF(OR('Summary, hourly ad costs'!T92=-9999,'Summary, hourly ad costs'!T92=0), ".", 'Predicted PPIs'!D91*('Summary, hourly ad costs'!D92/'Summary, hourly ad costs'!T92)/('Summary, hourly ad costs'!D91/'Summary, hourly ad costs'!T91)), 'Summary, PPI''s'!T92))</f>
        <v>.</v>
      </c>
      <c r="E92" s="10">
        <f>IF(E91=".", ".", IF('Summary, PPI''s'!U92=".",IF(OR('Summary, hourly ad costs'!U92=-9999,'Summary, hourly ad costs'!U92=0), ".", 'Predicted PPIs'!E91*('Summary, hourly ad costs'!E92/'Summary, hourly ad costs'!U92)/('Summary, hourly ad costs'!E91/'Summary, hourly ad costs'!U91)), 'Summary, PPI''s'!U92))</f>
        <v>2.1598953501402232</v>
      </c>
      <c r="F92" s="10">
        <f>IF(F91=".", ".", IF('Summary, PPI''s'!V92=".",IF(OR('Summary, hourly ad costs'!V92=-9999,'Summary, hourly ad costs'!V92=0), ".", 'Predicted PPIs'!F91*('Summary, hourly ad costs'!F92/'Summary, hourly ad costs'!V92)/('Summary, hourly ad costs'!F91/'Summary, hourly ad costs'!V91)), 'Summary, PPI''s'!V92))</f>
        <v>3.8285969454060451</v>
      </c>
      <c r="G92" s="10" t="str">
        <f>IF(G91=".", ".", IF('Summary, PPI''s'!W92=".",IF(OR('Summary, hourly ad costs'!W92=-9999,'Summary, hourly ad costs'!W92=0), ".", 'Predicted PPIs'!G91*('Summary, hourly ad costs'!G92/'Summary, hourly ad costs'!W92)/('Summary, hourly ad costs'!G91/'Summary, hourly ad costs'!W91)), 'Summary, PPI''s'!W92))</f>
        <v>.</v>
      </c>
      <c r="H92" s="10">
        <f>IF(H91=".", ".", IF('Summary, PPI''s'!X92=".",IF(OR('Summary, hourly ad costs'!X92=-9999,'Summary, hourly ad costs'!X92=0), ".", 'Predicted PPIs'!H91*('Summary, hourly ad costs'!H92/'Summary, hourly ad costs'!X92)/('Summary, hourly ad costs'!H91/'Summary, hourly ad costs'!X91)), 'Summary, PPI''s'!X92))</f>
        <v>0.8785126300354309</v>
      </c>
      <c r="I92" s="10">
        <f>IF(I91=".", ".", IF('Summary, PPI''s'!Y92=".",IF(OR('Summary, hourly ad costs'!Y92=-9999,'Summary, hourly ad costs'!Y92=0), ".", 'Predicted PPIs'!I91*('Summary, hourly ad costs'!I92/'Summary, hourly ad costs'!Y92)/('Summary, hourly ad costs'!I91/'Summary, hourly ad costs'!Y91)), 'Summary, PPI''s'!Y92))</f>
        <v>2.5409309071227231</v>
      </c>
      <c r="J92" s="10" t="str">
        <f>IF(J91=".", ".", IF('Summary, PPI''s'!Z92=".",IF(OR('Summary, hourly ad costs'!Z92=-9999,'Summary, hourly ad costs'!Z92=0), ".", 'Predicted PPIs'!J91*('Summary, hourly ad costs'!J92/'Summary, hourly ad costs'!Z92)/('Summary, hourly ad costs'!J91/'Summary, hourly ad costs'!Z91)), 'Summary, PPI''s'!Z92))</f>
        <v>.</v>
      </c>
      <c r="K92" s="10" t="str">
        <f>IF(K91=".", ".", IF('Summary, PPI''s'!AA92=".",IF(OR('Summary, hourly ad costs'!AA92=-9999,'Summary, hourly ad costs'!AA92=0), ".", 'Predicted PPIs'!K91*('Summary, hourly ad costs'!K92/'Summary, hourly ad costs'!AA92)/('Summary, hourly ad costs'!K91/'Summary, hourly ad costs'!AA91)), 'Summary, PPI''s'!AA92))</f>
        <v>.</v>
      </c>
      <c r="L92" s="10" t="str">
        <f>IF(L91=".", ".", IF('Summary, PPI''s'!AB92=".",IF(OR('Summary, hourly ad costs'!AB92=-9999,'Summary, hourly ad costs'!AB92=0), ".", 'Predicted PPIs'!L91*('Summary, hourly ad costs'!L92/'Summary, hourly ad costs'!AB92)/('Summary, hourly ad costs'!L91/'Summary, hourly ad costs'!AB91)), 'Summary, PPI''s'!AB92))</f>
        <v>.</v>
      </c>
      <c r="M92" s="10" t="str">
        <f>IF(M91=".", ".", IF('Summary, PPI''s'!AC92=".",IF(OR('Summary, hourly ad costs'!AC92=-9999,'Summary, hourly ad costs'!AC92=0), ".", 'Predicted PPIs'!M91*('Summary, hourly ad costs'!M92/'Summary, hourly ad costs'!AC92)/('Summary, hourly ad costs'!M91/'Summary, hourly ad costs'!AC91)), 'Summary, PPI''s'!AC92))</f>
        <v>.</v>
      </c>
      <c r="N92" s="10" t="str">
        <f>IF(N91=".", ".", IF('Summary, PPI''s'!AD92=".",IF(OR('Summary, hourly ad costs'!AD92=-9999,'Summary, hourly ad costs'!AD92=0), ".", 'Predicted PPIs'!N91*('Summary, hourly ad costs'!N92/'Summary, hourly ad costs'!AD92)/('Summary, hourly ad costs'!N91/'Summary, hourly ad costs'!AD91)), 'Summary, PPI''s'!AD92))</f>
        <v>.</v>
      </c>
      <c r="O92" s="10" t="str">
        <f>IF(O91=".", ".", IF('Summary, PPI''s'!AE92=".",IF(OR('Summary, hourly ad costs'!AE92=-9999,'Summary, hourly ad costs'!AE92=0), ".", 'Predicted PPIs'!O91*('Summary, hourly ad costs'!O92/'Summary, hourly ad costs'!AE92)/('Summary, hourly ad costs'!O91/'Summary, hourly ad costs'!AE91)), 'Summary, PPI''s'!AE92))</f>
        <v>.</v>
      </c>
      <c r="P92" s="10" t="str">
        <f>IF(P91=".", ".", IF('Summary, PPI''s'!AF92=".",IF(OR('Summary, hourly ad costs'!AF92=-9999,'Summary, hourly ad costs'!AF92=0), ".", 'Predicted PPIs'!P91*('Summary, hourly ad costs'!P92/'Summary, hourly ad costs'!AF92)/('Summary, hourly ad costs'!P91/'Summary, hourly ad costs'!AF91)), 'Summary, PPI''s'!AF92))</f>
        <v>.</v>
      </c>
      <c r="R92" s="1">
        <f>IF(E$26=".", 0, 'Summary, PPI''s'!E92)+IF(F$26=".", 0, 'Summary, PPI''s'!F92)+IF(G$26=".", 0, 'Summary, PPI''s'!G92)+IF(H$26=".", 0, 'Summary, PPI''s'!H92)+IF(I$26=".", 0, 'Summary, PPI''s'!I92)+IF(J$26=".", 0, 'Summary, PPI''s'!J92)+IF(K$26=".", 0, 'Summary, PPI''s'!K92)+IF(L$26=".", 0, 'Summary, PPI''s'!L92)+IF(M$26=".", 0, 'Summary, PPI''s'!M92)+IF(B$26=".", 0, 'Summary, PPI''s'!B92)+IF(C$26=".", 0, 'Summary, PPI''s'!C92)+IF(D$26=".", 0, 'Summary, PPI''s'!D92)+IF(N$26=".", 0, 'Summary, PPI''s'!N92)+IF(O$26=".", 0, 'Summary, PPI''s'!O92)+IF(P$26=".", 0, 'Summary, PPI''s'!P92)</f>
        <v>1957427.0460924979</v>
      </c>
      <c r="S92" s="1">
        <f>IF(E$36=".", 0, 'Summary, PPI''s'!E92)+IF(F$36=".", 0, 'Summary, PPI''s'!F92)+IF(G$36=".", 0, 'Summary, PPI''s'!G92)+IF(H$36=".", 0, 'Summary, PPI''s'!H92)+IF(I$36=".", 0, 'Summary, PPI''s'!I92)+IF(J$36=".", 0, 'Summary, PPI''s'!J92)+IF(K$36=".", 0, 'Summary, PPI''s'!K92)+IF(L$36=".", 0, 'Summary, PPI''s'!L92)+IF(M$36=".", 0, 'Summary, PPI''s'!M92)+IF(B$36=".", 0, 'Summary, PPI''s'!B92)+IF(C$36=".", 0, 'Summary, PPI''s'!C92)+IF(D$36=".", 0, 'Summary, PPI''s'!D92)+IF(N$36=".", 0, 'Summary, PPI''s'!N92)+IF(O$36=".", 0, 'Summary, PPI''s'!O92)+IF(P$36=".", 0, 'Summary, PPI''s'!P92)</f>
        <v>1957427.0460924979</v>
      </c>
      <c r="T92" s="1">
        <f>IF(E$46=".", 0, 'Summary, PPI''s'!E92)+IF(F$46=".", 0, 'Summary, PPI''s'!F92)+IF(G$46=".", 0, 'Summary, PPI''s'!G92)+IF(H$46=".", 0, 'Summary, PPI''s'!H92)+IF(I$46=".", 0, 'Summary, PPI''s'!I92)+IF(J$46=".", 0, 'Summary, PPI''s'!J92)+IF(K$46=".", 0, 'Summary, PPI''s'!K92)+IF(L$46=".", 0, 'Summary, PPI''s'!L92)+IF(M$46=".", 0, 'Summary, PPI''s'!M92)+IF(B$46=".", 0, 'Summary, PPI''s'!B92)+IF(C$46=".", 0, 'Summary, PPI''s'!C92)+IF(D$46=".", 0, 'Summary, PPI''s'!D92)+IF(N$46=".", 0, 'Summary, PPI''s'!N92)+IF(O$46=".", 0, 'Summary, PPI''s'!O92)+IF(P$46=".", 0, 'Summary, PPI''s'!P92)</f>
        <v>1655889.6210669295</v>
      </c>
      <c r="U92" s="1">
        <f>IF(E$60=".", 0, 'Summary, PPI''s'!E92)+IF(F$60=".", 0, 'Summary, PPI''s'!F92)+IF(G$60=".", 0, 'Summary, PPI''s'!G92)+IF(H$60=".", 0, 'Summary, PPI''s'!H92)+IF(I$60=".", 0, 'Summary, PPI''s'!I92)+IF(J$60=".", 0, 'Summary, PPI''s'!J92)+IF(K$60=".", 0, 'Summary, PPI''s'!K92)+IF(L$60=".", 0, 'Summary, PPI''s'!L92)+IF(M$60=".", 0, 'Summary, PPI''s'!M92)+IF(B$60=".", 0, 'Summary, PPI''s'!B92)+IF(C$60=".", 0, 'Summary, PPI''s'!C92)+IF(D$60=".", 0, 'Summary, PPI''s'!D92)+IF(N$60=".", 0, 'Summary, PPI''s'!N92)+IF(O$60=".", 0, 'Summary, PPI''s'!O92)+IF(P$60=".", 0, 'Summary, PPI''s'!P92)</f>
        <v>1530588.6555718887</v>
      </c>
      <c r="V92" s="1">
        <f>IF(E$73=".", 0, 'Summary, PPI''s'!E92)+IF(F$73=".", 0, 'Summary, PPI''s'!F92)+IF(G$73=".", 0, 'Summary, PPI''s'!G92)+IF(H$73=".", 0, 'Summary, PPI''s'!H92)+IF(I$73=".", 0, 'Summary, PPI''s'!I92)+IF(J$73=".", 0, 'Summary, PPI''s'!J92)+IF(K$73=".", 0, 'Summary, PPI''s'!K92)+IF(L$73=".", 0, 'Summary, PPI''s'!L92)+IF(M$73=".", 0, 'Summary, PPI''s'!M92)+IF(B$73=".", 0, 'Summary, PPI''s'!B92)+IF(C$73=".", 0, 'Summary, PPI''s'!C92)+IF(D$73=".", 0, 'Summary, PPI''s'!D92)+IF(N$73=".", 0, 'Summary, PPI''s'!N92)+IF(O$73=".", 0, 'Summary, PPI''s'!O92)+IF(P$73=".", 0, 'Summary, PPI''s'!P92)</f>
        <v>1289625.7338974301</v>
      </c>
      <c r="W92" s="1">
        <f>IF(E$94=".",0,'Summary, PPI''s'!E92)+IF(F$94=".",0,'Summary, PPI''s'!F92)+IF(G$94=".",0,'Summary, PPI''s'!G92)+IF(H$94=".",0,'Summary, PPI''s'!H92)+IF(I$94=".",0,'Summary, PPI''s'!I92)+IF(J$94=".",0,'Summary, PPI''s'!J92)+IF(K$94=".",0,'Summary, PPI''s'!K92)+IF(L$94=".",0,'Summary, PPI''s'!L92)+IF(M$94=".",0,'Summary, PPI''s'!M92)+IF(B$94=".",0,'Summary, PPI''s'!B92)+IF(C$94=".",0,'Summary, PPI''s'!C92)+IF(D$94=".",0,'Summary, PPI''s'!D92)+IF(N$94=".",0,'Summary, PPI''s'!N92)+IF(O$94=".",0,'Summary, PPI''s'!O92)+IF(P$94=".",0,'Summary, PPI''s'!P92)</f>
        <v>1289625.7338974301</v>
      </c>
      <c r="X92" s="1">
        <f>IF(E$123=".", 0, 'Summary, PPI''s'!E92)+IF(F$123=".", 0, 'Summary, PPI''s'!F92)+IF(G$123=".", 0, 'Summary, PPI''s'!G92)+IF(H$123=".", 0, 'Summary, PPI''s'!H92)+IF(I$123=".", 0, 'Summary, PPI''s'!I92)+IF(J$123=".", 0, 'Summary, PPI''s'!J92)+IF(K$123=".", 0, 'Summary, PPI''s'!K92)+IF(L$123=".", 0, 'Summary, PPI''s'!L92)+IF(M$123=".", 0, 'Summary, PPI''s'!M92)+IF(B$123=".", 0, 'Summary, PPI''s'!B92)+IF(C$123=".", 0, 'Summary, PPI''s'!C92)+IF(D$123=".", 0, 'Summary, PPI''s'!D92)+IF(N$123=".", 0, 'Summary, PPI''s'!N92)+IF(O$123=".", 0, 'Summary, PPI''s'!O92)+IF(P$123=".", 0, 'Summary, PPI''s'!P92)</f>
        <v>1246267.5851198961</v>
      </c>
      <c r="Z92" s="4" t="e">
        <f>Z91*IF(E$26=".", 1, (E92/E91)^(('Summary, PPI''s'!$E92+'Summary, PPI''s'!$E91)/('Predicted PPIs'!R92+'Predicted PPIs'!R91)))*IF(F$26=".", 1, (F92/F91)^(('Summary, PPI''s'!$F92+'Summary, PPI''s'!$F91)/('Predicted PPIs'!R92+'Predicted PPIs'!R91)))*IF(G$26=".", 1, (G92/G91)^(('Summary, PPI''s'!$G92+'Summary, PPI''s'!$G91)/('Predicted PPIs'!R92+'Predicted PPIs'!R91)))*IF(H$26=".", 1, (H92/H91)^(('Summary, PPI''s'!$H92+'Summary, PPI''s'!$H91)/('Predicted PPIs'!R92+'Predicted PPIs'!R91)))*IF(I$26=".", 1, (I92/I91)^(('Summary, PPI''s'!$I92+'Summary, PPI''s'!$I91)/('Predicted PPIs'!R92+'Predicted PPIs'!R91)))*IF(J$26=".", 1, (J92/J91)^(('Summary, PPI''s'!$J92+'Summary, PPI''s'!$J91)/('Predicted PPIs'!R92+'Predicted PPIs'!R91)))*IF(K$26=".", 1, (K92/K91)^(('Summary, PPI''s'!$K92+'Summary, PPI''s'!$K91)/('Predicted PPIs'!R92+'Predicted PPIs'!R91)))*IF(L$26=".", 1, (L92/L91)^(('Summary, PPI''s'!$L92+'Summary, PPI''s'!$L91)/('Predicted PPIs'!R92+'Predicted PPIs'!R91)))*IF(M$26=".", 1, (M92/M91)^(('Summary, PPI''s'!$M92+'Summary, PPI''s'!$M91)/('Predicted PPIs'!R92+'Predicted PPIs'!R91)))*IF(B$26=".", 1, (B92/B91)^(('Summary, PPI''s'!$B92+'Summary, PPI''s'!$B91)/('Predicted PPIs'!R92+'Predicted PPIs'!R91)))*IF(C$26=".", 1, (C92/C91)^(('Summary, PPI''s'!$C92+'Summary, PPI''s'!$C91)/('Predicted PPIs'!R92+'Predicted PPIs'!R91)))*IF(D$26=".", 1, (D92/D91)^(('Summary, PPI''s'!$D92+'Summary, PPI''s'!$D91)/('Predicted PPIs'!R92+'Predicted PPIs'!R91)))*IF(N$26=".", 1, (N92/N91)^(('Summary, PPI''s'!$N92+'Summary, PPI''s'!$N91)/('Predicted PPIs'!R92+'Predicted PPIs'!R91)))*IF(O$26=".", 1, (O92/O91)^(('Summary, PPI''s'!$O92+'Summary, PPI''s'!$O91)/('Predicted PPIs'!R92+'Predicted PPIs'!R91)))*IF(P$26=".", 1, (P92/P91)^(('Summary, PPI''s'!$P92+'Summary, PPI''s'!$P91)/('Predicted PPIs'!R92+'Predicted PPIs'!R91)))</f>
        <v>#VALUE!</v>
      </c>
      <c r="AA92" s="4" t="e">
        <f>AA91*IF(E$36=".", 1, (E92/E91)^(('Summary, PPI''s'!$E92+'Summary, PPI''s'!$E91)/('Predicted PPIs'!S92+'Predicted PPIs'!S91)))*IF(F$36=".", 1, (F92/F91)^(('Summary, PPI''s'!$F92+'Summary, PPI''s'!$F91)/('Predicted PPIs'!S92+'Predicted PPIs'!S91)))*IF(G$36=".", 1, (G92/G91)^(('Summary, PPI''s'!$G92+'Summary, PPI''s'!$G91)/('Predicted PPIs'!S92+'Predicted PPIs'!S91)))*IF(H$36=".", 1, (H92/H91)^(('Summary, PPI''s'!$H92+'Summary, PPI''s'!$H91)/('Predicted PPIs'!S92+'Predicted PPIs'!S91)))*IF(I$36=".", 1, (I92/I91)^(('Summary, PPI''s'!$I92+'Summary, PPI''s'!$I91)/('Predicted PPIs'!S92+'Predicted PPIs'!S91)))*IF(J$36=".", 1, (J92/J91)^(('Summary, PPI''s'!$J92+'Summary, PPI''s'!$J91)/('Predicted PPIs'!S92+'Predicted PPIs'!S91)))*IF(K$36=".", 1, (K92/K91)^(('Summary, PPI''s'!$K92+'Summary, PPI''s'!$K91)/('Predicted PPIs'!S92+'Predicted PPIs'!S91)))*IF(L$36=".", 1, (L92/L91)^(('Summary, PPI''s'!$L92+'Summary, PPI''s'!$L91)/('Predicted PPIs'!S92+'Predicted PPIs'!S91)))*IF(M$36=".", 1, (M92/M91)^(('Summary, PPI''s'!$M92+'Summary, PPI''s'!$M91)/('Predicted PPIs'!S92+'Predicted PPIs'!S91)))*IF(B$36=".", 1, (B92/B91)^(('Summary, PPI''s'!$B92+'Summary, PPI''s'!$B91)/('Predicted PPIs'!S92+'Predicted PPIs'!S91)))*IF(C$36=".", 1, (C92/C91)^(('Summary, PPI''s'!$C92+'Summary, PPI''s'!$C91)/('Predicted PPIs'!S92+'Predicted PPIs'!S91)))*IF(D$36=".", 1, (D92/D91)^(('Summary, PPI''s'!$D92+'Summary, PPI''s'!$D91)/('Predicted PPIs'!S92+'Predicted PPIs'!S91)))*IF(N$36=".", 1, (N92/N91)^(('Summary, PPI''s'!$N92+'Summary, PPI''s'!$N91)/('Predicted PPIs'!S92+'Predicted PPIs'!S91)))*IF(O$36=".", 1, (O92/O91)^(('Summary, PPI''s'!$O92+'Summary, PPI''s'!$O91)/('Predicted PPIs'!S92+'Predicted PPIs'!S91)))*IF(P$36=".", 1, (P92/P91)^(('Summary, PPI''s'!$P92+'Summary, PPI''s'!$P91)/('Predicted PPIs'!S92+'Predicted PPIs'!S91)))</f>
        <v>#VALUE!</v>
      </c>
      <c r="AB92" s="4" t="e">
        <f>AB91*IF(E$46=".", 1, (E92/E91)^(('Summary, PPI''s'!$E92+'Summary, PPI''s'!$E91)/('Predicted PPIs'!T92+'Predicted PPIs'!T91)))*IF(F$46=".", 1, (F92/F91)^(('Summary, PPI''s'!$F92+'Summary, PPI''s'!$F91)/('Predicted PPIs'!T92+'Predicted PPIs'!T91)))*IF(G$46=".", 1, (G92/G91)^(('Summary, PPI''s'!$G92+'Summary, PPI''s'!$G91)/('Predicted PPIs'!T92+'Predicted PPIs'!T91)))*IF(H$46=".", 1, (H92/H91)^(('Summary, PPI''s'!$H92+'Summary, PPI''s'!$H91)/('Predicted PPIs'!T92+'Predicted PPIs'!T91)))*IF(I$46=".", 1, (I92/I91)^(('Summary, PPI''s'!$I92+'Summary, PPI''s'!$I91)/('Predicted PPIs'!T92+'Predicted PPIs'!T91)))*IF(J$46=".", 1, (J92/J91)^(('Summary, PPI''s'!$J92+'Summary, PPI''s'!$J91)/('Predicted PPIs'!T92+'Predicted PPIs'!T91)))*IF(K$46=".", 1, (K92/K91)^(('Summary, PPI''s'!$K92+'Summary, PPI''s'!$K91)/('Predicted PPIs'!T92+'Predicted PPIs'!T91)))*IF(L$46=".", 1, (L92/L91)^(('Summary, PPI''s'!$L92+'Summary, PPI''s'!$L91)/('Predicted PPIs'!T92+'Predicted PPIs'!T91)))*IF(M$46=".", 1, (M92/M91)^(('Summary, PPI''s'!$M92+'Summary, PPI''s'!$M91)/('Predicted PPIs'!T92+'Predicted PPIs'!T91)))*IF(B$46=".", 1, (B92/B91)^(('Summary, PPI''s'!$B92+'Summary, PPI''s'!$B91)/('Predicted PPIs'!T92+'Predicted PPIs'!T91)))*IF(C$46=".", 1, (C92/C91)^(('Summary, PPI''s'!$C92+'Summary, PPI''s'!$C91)/('Predicted PPIs'!T92+'Predicted PPIs'!T91)))*IF(D$46=".", 1, (D92/D91)^(('Summary, PPI''s'!$D92+'Summary, PPI''s'!$D91)/('Predicted PPIs'!T92+'Predicted PPIs'!T91)))*IF(N$46=".", 1, (N92/N91)^(('Summary, PPI''s'!$N92+'Summary, PPI''s'!$N91)/('Predicted PPIs'!T92+'Predicted PPIs'!T91)))*IF(O$46=".", 1, (O92/O91)^(('Summary, PPI''s'!$O92+'Summary, PPI''s'!$O91)/('Predicted PPIs'!T92+'Predicted PPIs'!T91)))*IF(P$46=".", 1, (P92/P91)^(('Summary, PPI''s'!$P92+'Summary, PPI''s'!$P91)/('Predicted PPIs'!T92+'Predicted PPIs'!T91)))</f>
        <v>#VALUE!</v>
      </c>
      <c r="AC92" s="4" t="e">
        <f>AC91*IF(E$60=".",1,(E92/E91)^(('Summary, PPI''s'!$E92+'Summary, PPI''s'!$E91)/('Predicted PPIs'!U92+'Predicted PPIs'!U91)))*IF(F$60=".",1,(F92/F91)^(('Summary, PPI''s'!$F92+'Summary, PPI''s'!$F91)/('Predicted PPIs'!U92+'Predicted PPIs'!U91)))*IF(G$60=".",1,(G92/G91)^(('Summary, PPI''s'!$G92+'Summary, PPI''s'!$G91)/('Predicted PPIs'!U92+'Predicted PPIs'!U91)))*IF(H$60=".",1,(H92/H91)^(('Summary, PPI''s'!$H92+'Summary, PPI''s'!$H91)/('Predicted PPIs'!U92+'Predicted PPIs'!U91)))*IF(I$60=".",1,(I92/I91)^(('Summary, PPI''s'!$I92+'Summary, PPI''s'!$I91)/('Predicted PPIs'!U92+'Predicted PPIs'!U91)))*IF(J$60=".",1,(J92/J91)^(('Summary, PPI''s'!$J92+'Summary, PPI''s'!$J91)/('Predicted PPIs'!U92+'Predicted PPIs'!U91)))*IF(K$60=".",1,(K92/K91)^(('Summary, PPI''s'!$K92+'Summary, PPI''s'!$K91)/('Predicted PPIs'!U92+'Predicted PPIs'!U91)))*IF(L$60=".",1,(L92/L91)^(('Summary, PPI''s'!$L92+'Summary, PPI''s'!$L91)/('Predicted PPIs'!U92+'Predicted PPIs'!U91)))*IF(M$60=".",1,(M92/M91)^(('Summary, PPI''s'!$M92+'Summary, PPI''s'!$M91)/('Predicted PPIs'!U92+'Predicted PPIs'!U91)))*IF(B$60=".",1,(B92/B91)^(('Summary, PPI''s'!$B92+'Summary, PPI''s'!$B91)/('Predicted PPIs'!U92+'Predicted PPIs'!U91)))*IF(C$60=".",1,(C92/C91)^(('Summary, PPI''s'!$C92+'Summary, PPI''s'!$C91)/('Predicted PPIs'!U92+'Predicted PPIs'!U91)))*IF(D$60=".",1,(D92/D91)^(('Summary, PPI''s'!$D92+'Summary, PPI''s'!$D91)/('Predicted PPIs'!U92+'Predicted PPIs'!U91)))*IF(N$60=".",1,(N92/N91)^(('Summary, PPI''s'!$N92+'Summary, PPI''s'!$N91)/('Predicted PPIs'!U92+'Predicted PPIs'!U91)))*IF(O$60=".",1,(O92/O91)^(('Summary, PPI''s'!$O92+'Summary, PPI''s'!$O91)/('Predicted PPIs'!U92+'Predicted PPIs'!U91)))*IF(P$60=".",1,(P92/P91)^(('Summary, PPI''s'!$P92+'Summary, PPI''s'!$P91)/('Predicted PPIs'!U92+'Predicted PPIs'!U91)))</f>
        <v>#VALUE!</v>
      </c>
      <c r="AD92" s="4" t="e">
        <f>AD91*IF(E$73=".", 1, (E92/E91)^(('Summary, PPI''s'!$E92+'Summary, PPI''s'!$E91)/('Predicted PPIs'!V92+'Predicted PPIs'!V91)))*IF(F$73=".", 1, (F92/F91)^(('Summary, PPI''s'!$F92+'Summary, PPI''s'!$F91)/('Predicted PPIs'!V92+'Predicted PPIs'!V91)))*IF(G$73=".", 1, (G92/G91)^(('Summary, PPI''s'!$G92+'Summary, PPI''s'!$G91)/('Predicted PPIs'!V92+'Predicted PPIs'!V91)))*IF(H$73=".", 1, (H92/H91)^(('Summary, PPI''s'!$H92+'Summary, PPI''s'!$H91)/('Predicted PPIs'!V92+'Predicted PPIs'!V91)))*IF(I$73=".", 1, (I92/I91)^(('Summary, PPI''s'!$I92+'Summary, PPI''s'!$I91)/('Predicted PPIs'!V92+'Predicted PPIs'!V91)))*IF(J$73=".", 1, (J92/J91)^(('Summary, PPI''s'!$J92+'Summary, PPI''s'!$J91)/('Predicted PPIs'!V92+'Predicted PPIs'!V91)))*IF(K$73=".", 1, (K92/K91)^(('Summary, PPI''s'!$K92+'Summary, PPI''s'!$K91)/('Predicted PPIs'!V92+'Predicted PPIs'!V91)))*IF(L$73=".", 1, (L92/L91)^(('Summary, PPI''s'!$L92+'Summary, PPI''s'!$L91)/('Predicted PPIs'!V92+'Predicted PPIs'!V91)))*IF(M$73=".", 1, (M92/M91)^(('Summary, PPI''s'!$M92+'Summary, PPI''s'!$M91)/('Predicted PPIs'!V92+'Predicted PPIs'!V91)))*IF(B$73=".", 1, (B92/B91)^(('Summary, PPI''s'!$B92+'Summary, PPI''s'!$B91)/('Predicted PPIs'!V92+'Predicted PPIs'!V91)))*IF(C$73=".", 1, (C92/C91)^(('Summary, PPI''s'!$C92+'Summary, PPI''s'!$C91)/('Predicted PPIs'!V92+'Predicted PPIs'!V91)))*IF(D$73=".", 1, (D92/D91)^(('Summary, PPI''s'!$D92+'Summary, PPI''s'!$D91)/('Predicted PPIs'!V92+'Predicted PPIs'!V91)))*IF(N$73=".", 1, (N92/N91)^(('Summary, PPI''s'!$N92+'Summary, PPI''s'!$N91)/('Predicted PPIs'!V92+'Predicted PPIs'!V91)))*IF(O$73=".", 1, (O92/O91)^(('Summary, PPI''s'!$O92+'Summary, PPI''s'!$O91)/('Predicted PPIs'!V92+'Predicted PPIs'!V91)))*IF(P$73=".", 1, (P92/P91)^(('Summary, PPI''s'!$P92+'Summary, PPI''s'!$P91)/('Predicted PPIs'!V92+'Predicted PPIs'!V91)))</f>
        <v>#VALUE!</v>
      </c>
      <c r="AE92" s="4">
        <f>AE91*IF(E$94=".", 1, (E92/E91)^(('Summary, PPI''s'!$E92+'Summary, PPI''s'!$E91)/('Predicted PPIs'!W92+'Predicted PPIs'!W91)))*IF(F$94=".", 1, (F92/F91)^(('Summary, PPI''s'!$F92+'Summary, PPI''s'!$F91)/('Predicted PPIs'!W92+'Predicted PPIs'!W91)))*IF(G$94=".", 1, (G92/G91)^(('Summary, PPI''s'!$G92+'Summary, PPI''s'!$G91)/('Predicted PPIs'!W92+'Predicted PPIs'!W91)))*IF(H$94=".", 1, (H92/H91)^(('Summary, PPI''s'!$H92+'Summary, PPI''s'!$H91)/('Predicted PPIs'!W92+'Predicted PPIs'!W91)))*IF(I$94=".", 1, (I92/I91)^(('Summary, PPI''s'!$I92+'Summary, PPI''s'!$I91)/('Predicted PPIs'!W92+'Predicted PPIs'!W91)))*IF(J$94=".", 1, (J92/J91)^(('Summary, PPI''s'!$J92+'Summary, PPI''s'!$J91)/('Predicted PPIs'!W92+'Predicted PPIs'!W91)))*IF(K$94=".", 1, (K92/K91)^(('Summary, PPI''s'!$K92+'Summary, PPI''s'!$K91)/('Predicted PPIs'!W92+'Predicted PPIs'!W91)))*IF(L$94=".", 1, (L92/L91)^(('Summary, PPI''s'!$L92+'Summary, PPI''s'!$L91)/('Predicted PPIs'!W92+'Predicted PPIs'!W91)))*IF(M$94=".", 1, (M92/M91)^(('Summary, PPI''s'!$M92+'Summary, PPI''s'!$M91)/('Predicted PPIs'!W92+'Predicted PPIs'!W91)))*IF(B$94=".", 1, (B92/B91)^(('Summary, PPI''s'!$B92+'Summary, PPI''s'!$B91)/('Predicted PPIs'!W92+'Predicted PPIs'!W91)))*IF(C$94=".", 1, (C92/C91)^(('Summary, PPI''s'!$C92+'Summary, PPI''s'!$C91)/('Predicted PPIs'!W92+'Predicted PPIs'!W91)))*IF(D$94=".", 1, (D92/D91)^(('Summary, PPI''s'!$D92+'Summary, PPI''s'!$D91)/('Predicted PPIs'!W92+'Predicted PPIs'!W91)))*IF(N$94=".", 1, (N92/N91)^(('Summary, PPI''s'!$N92+'Summary, PPI''s'!$N91)/('Predicted PPIs'!W92+'Predicted PPIs'!W91)))*IF(O$94=".", 1, (O92/O91)^(('Summary, PPI''s'!$O92+'Summary, PPI''s'!$O91)/('Predicted PPIs'!W92+'Predicted PPIs'!W91)))*IF(P$94=".", 1, (P92/P91)^(('Summary, PPI''s'!$P92+'Summary, PPI''s'!$P91)/('Predicted PPIs'!W92+'Predicted PPIs'!W91)))</f>
        <v>3.7934596477120377</v>
      </c>
      <c r="AF92" s="4">
        <f>AF91*IF(E$123=".", 1, (E92/E91)^(('Summary, PPI''s'!$E92+'Summary, PPI''s'!$E91)/('Predicted PPIs'!X92+'Predicted PPIs'!X91)))*IF(F$123=".", 1, (F92/F91)^(('Summary, PPI''s'!$F92+'Summary, PPI''s'!$F91)/('Predicted PPIs'!X92+'Predicted PPIs'!X91)))*IF(G$123=".", 1, (G92/G91)^(('Summary, PPI''s'!$G92+'Summary, PPI''s'!$G91)/('Predicted PPIs'!X92+'Predicted PPIs'!X91)))*IF(H$123=".", 1, (H92/H91)^(('Summary, PPI''s'!$H92+'Summary, PPI''s'!$H91)/('Predicted PPIs'!X92+'Predicted PPIs'!X91)))*IF(I$123=".", 1, (I92/I91)^(('Summary, PPI''s'!$I92+'Summary, PPI''s'!$I91)/('Predicted PPIs'!X92+'Predicted PPIs'!X91)))*IF(J$123=".", 1, (J92/J91)^(('Summary, PPI''s'!$J92+'Summary, PPI''s'!$J91)/('Predicted PPIs'!X92+'Predicted PPIs'!X91)))*IF(K$123=".", 1, (K92/K91)^(('Summary, PPI''s'!$K92+'Summary, PPI''s'!$K91)/('Predicted PPIs'!X92+'Predicted PPIs'!X91)))*IF(L$123=".", 1, (L92/L91)^(('Summary, PPI''s'!$L92+'Summary, PPI''s'!$L91)/('Predicted PPIs'!X92+'Predicted PPIs'!X91)))*IF(M$123=".", 1, (M92/M91)^(('Summary, PPI''s'!$M92+'Summary, PPI''s'!$M91)/('Predicted PPIs'!X92+'Predicted PPIs'!X91)))*IF(B$123=".", 1, (B92/B91)^(('Summary, PPI''s'!$B92+'Summary, PPI''s'!$B91)/('Predicted PPIs'!X92+'Predicted PPIs'!X91)))*IF(C$123=".", 1, (C92/C91)^(('Summary, PPI''s'!$C92+'Summary, PPI''s'!$C91)/('Predicted PPIs'!X92+'Predicted PPIs'!X91)))*IF(D$123=".", 1, (D92/D91)^(('Summary, PPI''s'!$D92+'Summary, PPI''s'!$D91)/('Predicted PPIs'!X92+'Predicted PPIs'!X91)))*IF(N$123=".", 1, (N92/N91)^(('Summary, PPI''s'!$N92+'Summary, PPI''s'!$N91)/('Predicted PPIs'!X92+'Predicted PPIs'!X91)))*IF(O$123=".", 1, (O92/O91)^(('Summary, PPI''s'!$O92+'Summary, PPI''s'!$O91)/('Predicted PPIs'!X92+'Predicted PPIs'!X91)))*IF(P$123=".", 1, (P92/P91)^(('Summary, PPI''s'!$P92+'Summary, PPI''s'!$P91)/('Predicted PPIs'!X92+'Predicted PPIs'!X91)))</f>
        <v>3.6172697032430721</v>
      </c>
      <c r="AH92" s="13">
        <f t="shared" si="152"/>
        <v>5.1876760674468221</v>
      </c>
      <c r="AJ92" s="4">
        <v>60.7</v>
      </c>
      <c r="AK92" s="4">
        <v>-1.2649999999999999</v>
      </c>
      <c r="AL92" s="4">
        <v>-5.101</v>
      </c>
      <c r="AM92" s="4">
        <v>-0.77500000000000002</v>
      </c>
      <c r="AN92" s="4">
        <f t="shared" si="176"/>
        <v>80.945830759728238</v>
      </c>
      <c r="AO92" s="4">
        <v>8.1999999999999993</v>
      </c>
      <c r="AP92" s="4">
        <f t="shared" si="177"/>
        <v>-0.75860962566844925</v>
      </c>
      <c r="AQ92" s="4">
        <f t="shared" si="178"/>
        <v>-1.4341229946524061</v>
      </c>
      <c r="AR92" s="4">
        <f t="shared" si="148"/>
        <v>-3.8541774775253152E-5</v>
      </c>
      <c r="AS92" s="4">
        <v>-0.27600000000000002</v>
      </c>
      <c r="AT92" s="4">
        <v>7.9489999999999998</v>
      </c>
      <c r="AU92" s="4">
        <v>10.536</v>
      </c>
      <c r="AV92" s="4">
        <v>10.972</v>
      </c>
      <c r="AW92" s="4">
        <v>5.6980000000000004</v>
      </c>
      <c r="AX92" s="4">
        <f t="shared" si="179"/>
        <v>7.5716579410822904</v>
      </c>
      <c r="AY92" s="4">
        <v>9.2420000000000009</v>
      </c>
      <c r="AZ92" s="4">
        <v>3.0819999999999999</v>
      </c>
      <c r="BA92" s="4">
        <v>8.4930000000000003</v>
      </c>
      <c r="BB92" s="4">
        <f t="shared" si="150"/>
        <v>48.577866466534616</v>
      </c>
      <c r="BC92" s="4">
        <v>8.2070000000000007</v>
      </c>
      <c r="BG92" s="4">
        <f t="shared" si="172"/>
        <v>7.5908567275634731</v>
      </c>
      <c r="BI92" s="4">
        <f>BI$13*'[2]Ordinary Experience'!$D$334/'[2]Ordinary Experience'!$D$413</f>
        <v>123789701.74029808</v>
      </c>
      <c r="BJ92" s="4">
        <f>'[2]Ordinary Experience'!$E$334</f>
        <v>28.927213319152951</v>
      </c>
      <c r="BL92" s="4">
        <f t="shared" si="151"/>
        <v>21.769009170553904</v>
      </c>
      <c r="BM92" s="4">
        <f t="shared" si="153"/>
        <v>-5.5481301136740324E-2</v>
      </c>
      <c r="BO92" s="4" t="str">
        <f>IF(OR('Summary, hourly ad costs'!R92=-9999,'Summary, PPI''s'!R92="."),".",(('Summary, hourly ad costs'!B92/'Summary, hourly ad costs'!R92)*100/('Summary, hourly ad costs'!B$11/'Summary, hourly ad costs'!R$11))/('Summary, PPI''s'!R92))</f>
        <v>.</v>
      </c>
      <c r="BP92" s="4" t="str">
        <f>IF(OR('Summary, hourly ad costs'!S92=-9999,'Summary, PPI''s'!S92="."),".",(('Summary, hourly ad costs'!C92/'Summary, hourly ad costs'!S92)*100/('Summary, hourly ad costs'!C$11/'Summary, hourly ad costs'!S$11))/('Summary, PPI''s'!S92))</f>
        <v>.</v>
      </c>
      <c r="BQ92" s="4" t="str">
        <f>IF(OR('Summary, hourly ad costs'!T92=-9999,'Summary, PPI''s'!T92="."),".",(('Summary, hourly ad costs'!D92/'Summary, hourly ad costs'!T92)*100/('Summary, hourly ad costs'!D$11/'Summary, hourly ad costs'!T$11))/('Summary, PPI''s'!T92))</f>
        <v>.</v>
      </c>
      <c r="BR92" s="4" t="str">
        <f>IF(OR('Summary, hourly ad costs'!U92=-9999,'Summary, PPI''s'!U92="."),".",(('Summary, hourly ad costs'!E92/'Summary, hourly ad costs'!U92)*100/('Summary, hourly ad costs'!E$11/'Summary, hourly ad costs'!U$11))/('Summary, PPI''s'!U92))</f>
        <v>.</v>
      </c>
      <c r="BS92" s="4" t="str">
        <f>IF(OR('Summary, hourly ad costs'!V92=-9999,'Summary, PPI''s'!V92="."),".",(('Summary, hourly ad costs'!F92/'Summary, hourly ad costs'!V92)*100/('Summary, hourly ad costs'!F$11/'Summary, hourly ad costs'!V$11))/('Summary, PPI''s'!V92))</f>
        <v>.</v>
      </c>
      <c r="BT92" s="4" t="str">
        <f>IF(OR('Summary, hourly ad costs'!W92=-9999,'Summary, PPI''s'!W92="."),".",(('Summary, hourly ad costs'!G92/'Summary, hourly ad costs'!W92)*100/('Summary, hourly ad costs'!G$11/'Summary, hourly ad costs'!W$11))/('Summary, PPI''s'!W92))</f>
        <v>.</v>
      </c>
      <c r="BU92" s="4" t="str">
        <f>IF(OR('Summary, hourly ad costs'!X92=-9999,'Summary, PPI''s'!X92="."),".",(('Summary, hourly ad costs'!H92/'Summary, hourly ad costs'!X92)*100/('Summary, hourly ad costs'!H$11/'Summary, hourly ad costs'!X$11))/('Summary, PPI''s'!X92))</f>
        <v>.</v>
      </c>
      <c r="BV92" s="4" t="str">
        <f>IF(OR('Summary, hourly ad costs'!Y92=-9999,'Summary, PPI''s'!Y92="."),".",(('Summary, hourly ad costs'!I92/'Summary, hourly ad costs'!Y92)*100/('Summary, hourly ad costs'!I$11/'Summary, hourly ad costs'!Y$11))/('Summary, PPI''s'!Y92))</f>
        <v>.</v>
      </c>
      <c r="BW92" s="4" t="str">
        <f>IF(OR('Summary, hourly ad costs'!Z92=-9999,'Summary, PPI''s'!Z92="."),".",(('Summary, hourly ad costs'!J92/'Summary, hourly ad costs'!Z92)*100/('Summary, hourly ad costs'!J$11/'Summary, hourly ad costs'!Z$11))/('Summary, PPI''s'!Z92))</f>
        <v>.</v>
      </c>
      <c r="BX92" s="4" t="str">
        <f>IF(OR('Summary, hourly ad costs'!AA92=-9999,'Summary, PPI''s'!AA92="."),".",(('Summary, hourly ad costs'!K92/'Summary, hourly ad costs'!AA92)*100/('Summary, hourly ad costs'!K$11/'Summary, hourly ad costs'!AA$11))/('Summary, PPI''s'!AA92))</f>
        <v>.</v>
      </c>
      <c r="BY92" s="4" t="str">
        <f>IF(OR('Summary, hourly ad costs'!AB92=-9999,'Summary, PPI''s'!AB92="."),".",(('Summary, hourly ad costs'!L92/'Summary, hourly ad costs'!AB92)*100/('Summary, hourly ad costs'!L$11/'Summary, hourly ad costs'!AB$11))/('Summary, PPI''s'!AB92))</f>
        <v>.</v>
      </c>
      <c r="BZ92" s="4" t="str">
        <f>IF(OR('Summary, hourly ad costs'!AC92=-9999,'Summary, PPI''s'!AC92="."),".",(('Summary, hourly ad costs'!M92/'Summary, hourly ad costs'!AC92)*100/('Summary, hourly ad costs'!M$11/'Summary, hourly ad costs'!AC$11))/('Summary, PPI''s'!AC92))</f>
        <v>.</v>
      </c>
      <c r="CA92" s="4" t="str">
        <f>IF(OR('Summary, hourly ad costs'!AD92=-9999,'Summary, PPI''s'!AD92="."),".",(('Summary, hourly ad costs'!N92/'Summary, hourly ad costs'!AD92)*100/('Summary, hourly ad costs'!N$11/'Summary, hourly ad costs'!AD$11))/('Summary, PPI''s'!AD92))</f>
        <v>.</v>
      </c>
      <c r="CB92" s="4" t="str">
        <f>IF(OR('Summary, hourly ad costs'!AE92=-9999,'Summary, PPI''s'!AE92="."),".",(('Summary, hourly ad costs'!O92/'Summary, hourly ad costs'!AE92)*100/('Summary, hourly ad costs'!O$11/'Summary, hourly ad costs'!AE$11))/('Summary, PPI''s'!AE92))</f>
        <v>.</v>
      </c>
      <c r="CC92" s="4" t="str">
        <f>IF(OR('Summary, hourly ad costs'!AF92=-9999,'Summary, PPI''s'!AF92="."),".",(('Summary, hourly ad costs'!P92/'Summary, hourly ad costs'!AF92)*100/('Summary, hourly ad costs'!P$11/'Summary, hourly ad costs'!AF$11))/('Summary, PPI''s'!AF92))</f>
        <v>.</v>
      </c>
      <c r="CE92" s="4">
        <f t="shared" ref="CE92:CE123" si="183">_xlfn.FORECAST.LINEAR($BM92,CE$24:CE$59,$BM$24:$BM$59)</f>
        <v>-8.4375538134170258E-2</v>
      </c>
      <c r="CF92" s="4" t="str">
        <f t="shared" ref="CF92:CF122" si="184">IF(OR(BP92=".",BP93="."), ".", BP92/BP93-1)</f>
        <v>.</v>
      </c>
      <c r="CG92" s="4" t="str">
        <f t="shared" ref="CG92:CG122" si="185">IF(OR(BQ92=".",BQ93="."), ".", BQ92/BQ93-1)</f>
        <v>.</v>
      </c>
      <c r="CH92" s="4">
        <f t="shared" si="145"/>
        <v>-9.2913629246803756E-2</v>
      </c>
      <c r="CI92" s="4">
        <f t="shared" si="145"/>
        <v>-0.103820339113469</v>
      </c>
      <c r="CJ92" s="4" t="str">
        <f t="shared" si="147"/>
        <v>.</v>
      </c>
      <c r="CK92" s="4">
        <f t="shared" si="149"/>
        <v>7.6790922032454224E-3</v>
      </c>
      <c r="CL92" s="4">
        <f t="shared" si="130"/>
        <v>-7.2853415833017604E-2</v>
      </c>
      <c r="CM92" s="4">
        <f t="shared" si="130"/>
        <v>-1.2893704200832027E-2</v>
      </c>
      <c r="CN92" s="4">
        <f t="shared" si="89"/>
        <v>-8.7885016252531978E-2</v>
      </c>
      <c r="CO92" s="4">
        <f t="shared" si="180"/>
        <v>-0.37037280517960797</v>
      </c>
      <c r="CP92" s="4">
        <f t="shared" si="180"/>
        <v>0.33780411111924852</v>
      </c>
      <c r="CQ92" s="4" t="str">
        <f t="shared" si="173"/>
        <v>.</v>
      </c>
      <c r="CR92" s="4" t="str">
        <f t="shared" si="174"/>
        <v>.</v>
      </c>
      <c r="CS92" s="4" t="str">
        <f t="shared" si="175"/>
        <v>.</v>
      </c>
      <c r="CU92" s="5">
        <f>IF(CU91=".", ".", IF('Summary, PPI''s'!R92=".",IF(OR('Summary, hourly ad costs'!R92=-9999,'Summary, hourly ad costs'!R92=0), ".", 'Predicted PPIs'!CU91*('Summary, hourly ad costs'!B92/'Summary, hourly ad costs'!R92)/('Summary, hourly ad costs'!B91/'Summary, hourly ad costs'!R91)/(1-CE91)), 'Summary, PPI''s'!R92))</f>
        <v>26.018020250163342</v>
      </c>
      <c r="CV92" s="5" t="str">
        <f>IF(CV91=".", ".", IF('Summary, PPI''s'!S92=".",IF(OR('Summary, hourly ad costs'!S92=-9999,'Summary, hourly ad costs'!S92=0), ".", 'Predicted PPIs'!CV91*('Summary, hourly ad costs'!C92/'Summary, hourly ad costs'!S92)/('Summary, hourly ad costs'!C91/'Summary, hourly ad costs'!S91)/(1-CF91)), 'Summary, PPI''s'!S92))</f>
        <v>.</v>
      </c>
      <c r="CW92" s="5" t="str">
        <f>IF(CW91=".", ".", IF('Summary, PPI''s'!T92=".",IF(OR('Summary, hourly ad costs'!T92=-9999,'Summary, hourly ad costs'!T92=0), ".", 'Predicted PPIs'!CW91*('Summary, hourly ad costs'!D92/'Summary, hourly ad costs'!T92)/('Summary, hourly ad costs'!D91/'Summary, hourly ad costs'!T91)/(1-CG91)), 'Summary, PPI''s'!T92))</f>
        <v>.</v>
      </c>
      <c r="CX92" s="5">
        <f>IF(CX91=".", ".", IF('Summary, PPI''s'!U92=".",IF(OR('Summary, hourly ad costs'!U92=-9999,'Summary, hourly ad costs'!U92=0), ".", 'Predicted PPIs'!CX91*('Summary, hourly ad costs'!E92/'Summary, hourly ad costs'!U92)/('Summary, hourly ad costs'!E91/'Summary, hourly ad costs'!U91)/(1-CH91)), 'Summary, PPI''s'!U92))</f>
        <v>2.9771072725925798</v>
      </c>
      <c r="CY92" s="5">
        <f>IF(CY91=".", ".", IF('Summary, PPI''s'!V92=".",IF(OR('Summary, hourly ad costs'!V92=-9999,'Summary, hourly ad costs'!V92=0), ".", 'Predicted PPIs'!CY91*('Summary, hourly ad costs'!F92/'Summary, hourly ad costs'!V92)/('Summary, hourly ad costs'!F91/'Summary, hourly ad costs'!V91)/(1-CI91)), 'Summary, PPI''s'!V92))</f>
        <v>5.8902306333289181</v>
      </c>
      <c r="CZ92" s="5" t="str">
        <f>IF(CZ91=".", ".", IF('Summary, PPI''s'!W92=".",IF(OR('Summary, hourly ad costs'!W92=-9999,'Summary, hourly ad costs'!W92=0), ".", 'Predicted PPIs'!CZ91*('Summary, hourly ad costs'!G92/'Summary, hourly ad costs'!W92)/('Summary, hourly ad costs'!G91/'Summary, hourly ad costs'!W91)/(1-CJ91)), 'Summary, PPI''s'!W92))</f>
        <v>.</v>
      </c>
      <c r="DA92" s="5">
        <f>IF(DA91=".", ".", IF('Summary, PPI''s'!X92=".",IF(OR('Summary, hourly ad costs'!X92=-9999,'Summary, hourly ad costs'!X92=0), ".", 'Predicted PPIs'!DA91*('Summary, hourly ad costs'!H92/'Summary, hourly ad costs'!X92)/('Summary, hourly ad costs'!H91/'Summary, hourly ad costs'!X91)/(1-CK91)), 'Summary, PPI''s'!X92))</f>
        <v>0.96139467761818698</v>
      </c>
      <c r="DB92" s="5">
        <f>IF(DB91=".", ".", IF('Summary, PPI''s'!Y92=".",IF(OR('Summary, hourly ad costs'!Y92=-9999,'Summary, hourly ad costs'!Y92=0), ".", 'Predicted PPIs'!DB91*('Summary, hourly ad costs'!I92/'Summary, hourly ad costs'!Y92)/('Summary, hourly ad costs'!I91/'Summary, hourly ad costs'!Y91)/(1-CL91)), 'Summary, PPI''s'!Y92))</f>
        <v>3.7635658670028911</v>
      </c>
      <c r="DC92" s="5" t="str">
        <f>IF(DC91=".", ".", IF('Summary, PPI''s'!Z92=".",IF(OR('Summary, hourly ad costs'!Z92=-9999,'Summary, hourly ad costs'!Z92=0), ".", 'Predicted PPIs'!DC91*('Summary, hourly ad costs'!J92/'Summary, hourly ad costs'!Z92)/('Summary, hourly ad costs'!J91/'Summary, hourly ad costs'!Z91)/(1-CM91)), 'Summary, PPI''s'!Z92))</f>
        <v>.</v>
      </c>
      <c r="DD92" s="5" t="str">
        <f>IF(DD91=".", ".", IF('Summary, PPI''s'!AA92=".",IF(OR('Summary, hourly ad costs'!AA92=-9999,'Summary, hourly ad costs'!AA92=0), ".", 'Predicted PPIs'!DD91*('Summary, hourly ad costs'!K92/'Summary, hourly ad costs'!AA92)/('Summary, hourly ad costs'!K91/'Summary, hourly ad costs'!AA91)/(1-CN91)), 'Summary, PPI''s'!AA92))</f>
        <v>.</v>
      </c>
      <c r="DE92" s="5" t="str">
        <f>IF(DE91=".", ".", IF('Summary, PPI''s'!AB92=".",IF(OR('Summary, hourly ad costs'!AB92=-9999,'Summary, hourly ad costs'!AB92=0), ".", 'Predicted PPIs'!DE91*('Summary, hourly ad costs'!L92/'Summary, hourly ad costs'!AB92)/('Summary, hourly ad costs'!L91/'Summary, hourly ad costs'!AB91)/(1-CO91)), 'Summary, PPI''s'!AB92))</f>
        <v>.</v>
      </c>
      <c r="DF92" s="5" t="str">
        <f>IF(DF91=".", ".", IF('Summary, PPI''s'!AC92=".",IF(OR('Summary, hourly ad costs'!AC92=-9999,'Summary, hourly ad costs'!AC92=0), ".", 'Predicted PPIs'!DF91*('Summary, hourly ad costs'!M92/'Summary, hourly ad costs'!AC92)/('Summary, hourly ad costs'!M91/'Summary, hourly ad costs'!AC91)/(1-CP91)), 'Summary, PPI''s'!AC92))</f>
        <v>.</v>
      </c>
      <c r="DG92" s="5" t="str">
        <f>IF(DG91=".", ".", IF('Summary, PPI''s'!AD92=".",IF(OR('Summary, hourly ad costs'!AD92=-9999,'Summary, hourly ad costs'!AD92=0), ".", 'Predicted PPIs'!DG91*('Summary, hourly ad costs'!N92/'Summary, hourly ad costs'!AD92)/('Summary, hourly ad costs'!N91/'Summary, hourly ad costs'!AD91)/(1-CQ91)), 'Summary, PPI''s'!AD92))</f>
        <v>.</v>
      </c>
      <c r="DH92" s="5" t="str">
        <f>IF(DH91=".", ".", IF('Summary, PPI''s'!AE92=".",IF(OR('Summary, hourly ad costs'!AE92=-9999,'Summary, hourly ad costs'!AE92=0), ".", 'Predicted PPIs'!DH91*('Summary, hourly ad costs'!O92/'Summary, hourly ad costs'!AE92)/('Summary, hourly ad costs'!O91/'Summary, hourly ad costs'!AE91)/(1-CR91)), 'Summary, PPI''s'!AE92))</f>
        <v>.</v>
      </c>
      <c r="DI92" s="5" t="str">
        <f>IF(DI91=".", ".", IF('Summary, PPI''s'!AF92=".",IF(OR('Summary, hourly ad costs'!AF92=-9999,'Summary, hourly ad costs'!AF92=0), ".", 'Predicted PPIs'!DI91*('Summary, hourly ad costs'!P92/'Summary, hourly ad costs'!AF92)/('Summary, hourly ad costs'!P91/'Summary, hourly ad costs'!AF91)/(1-CS91)), 'Summary, PPI''s'!AF92))</f>
        <v>.</v>
      </c>
      <c r="DK92" s="4">
        <v>2.3889999999999998</v>
      </c>
      <c r="DM92" s="5">
        <f t="shared" ref="DM92:DM122" si="186">IF(OR(CU92=".", CU93="."), ".",(CU92/$DK92)/(CU93/$DK93)-1)</f>
        <v>3.8090153667251991E-2</v>
      </c>
      <c r="DN92" s="4">
        <f t="shared" ref="DN92:DN122" si="187">_xlfn.FORECAST.LINEAR($BM92,DN$4:DN$59,$BM$4:$BM$59)</f>
        <v>-8.8949435436742816E-3</v>
      </c>
      <c r="DO92" s="4">
        <f t="shared" si="181"/>
        <v>-2.3226914402524699E-2</v>
      </c>
      <c r="DP92" s="5">
        <f t="shared" ref="DP92:DP122" si="188">IF(OR(CX92=".", CX93="."), ".",(CX92/$DK92)/(CX93/$DK93)-1)</f>
        <v>5.3687328653050148E-2</v>
      </c>
      <c r="DQ92" s="5">
        <f t="shared" ref="DQ92:DQ122" si="189">IF(OR(CY92=".", CY93="."), ".",(CY92/$DK92)/(CY93/$DK93)-1)</f>
        <v>3.0452506215224773E-2</v>
      </c>
      <c r="DR92" s="4">
        <f t="shared" si="146"/>
        <v>-1.8967547727757446E-2</v>
      </c>
      <c r="DS92" s="5">
        <f t="shared" si="169"/>
        <v>-0.14080280208002971</v>
      </c>
      <c r="DT92" s="5">
        <f t="shared" si="170"/>
        <v>0.1614302279994948</v>
      </c>
      <c r="DU92" s="4">
        <f t="shared" si="171"/>
        <v>-5.3524712620666708E-2</v>
      </c>
      <c r="DV92" s="4">
        <f t="shared" si="131"/>
        <v>2.9220122695963117E-3</v>
      </c>
      <c r="DW92" s="4">
        <f t="shared" si="182"/>
        <v>0.14293674431812664</v>
      </c>
      <c r="DX92" s="4">
        <f t="shared" si="182"/>
        <v>-0.44106801614472779</v>
      </c>
      <c r="DY92" s="4">
        <f t="shared" si="108"/>
        <v>-2.7311356693717138E-2</v>
      </c>
      <c r="DZ92" s="4">
        <f t="shared" si="132"/>
        <v>-2.1581360549200745E-2</v>
      </c>
      <c r="EA92" s="4">
        <f t="shared" si="109"/>
        <v>-1.6450400257643927E-2</v>
      </c>
      <c r="EC92" s="1">
        <f t="shared" si="154"/>
        <v>26.018020250163342</v>
      </c>
      <c r="ED92" s="1">
        <f t="shared" si="155"/>
        <v>3.5745627068063333</v>
      </c>
      <c r="EE92" s="1">
        <f t="shared" si="156"/>
        <v>2.0688019113075287</v>
      </c>
      <c r="EF92" s="1">
        <f t="shared" si="157"/>
        <v>2.9771072725925798</v>
      </c>
      <c r="EG92" s="1">
        <f t="shared" si="158"/>
        <v>5.8902306333289181</v>
      </c>
      <c r="EH92" s="1">
        <f t="shared" si="159"/>
        <v>2.437001410178353</v>
      </c>
      <c r="EI92" s="1">
        <f t="shared" si="160"/>
        <v>0.96139467761818698</v>
      </c>
      <c r="EJ92" s="1">
        <f t="shared" si="161"/>
        <v>3.7635658670028911</v>
      </c>
      <c r="EK92" s="1">
        <f t="shared" si="162"/>
        <v>7.8412401724083036</v>
      </c>
      <c r="EL92" s="1">
        <f t="shared" si="163"/>
        <v>1.9500923709797449</v>
      </c>
      <c r="EM92" s="1">
        <f t="shared" si="164"/>
        <v>0.11999685925209531</v>
      </c>
      <c r="EN92" s="1">
        <f t="shared" si="165"/>
        <v>3.661411537800793</v>
      </c>
      <c r="EO92" s="1">
        <f t="shared" si="166"/>
        <v>1.4657163116671392</v>
      </c>
      <c r="EP92" s="1">
        <f t="shared" si="167"/>
        <v>2.386370078545395</v>
      </c>
      <c r="EQ92" s="1">
        <f t="shared" si="168"/>
        <v>1.8556173771852724</v>
      </c>
      <c r="ES92" s="1">
        <f>IF(EF$26=".", 0, 'Summary, PPI''s'!E92)+IF(EG$26=".", 0, 'Summary, PPI''s'!F92)+IF(EH$26=".", 0, 'Summary, PPI''s'!G92)+IF(EI$26=".", 0, 'Summary, PPI''s'!H92)+IF(EJ$26=".", 0, 'Summary, PPI''s'!I92)+IF(EK$26=".", 0, 'Summary, PPI''s'!J92)+IF(EL$26=".", 0, 'Summary, PPI''s'!K92)+IF(EM$26=".", 0, 'Summary, PPI''s'!L92)+IF(EN$26=".", 0, 'Summary, PPI''s'!M92)+IF(EC$26=".", 0, 'Summary, PPI''s'!B92)+IF(ED$26=".", 0, 'Summary, PPI''s'!C92)+IF(EE$26=".", 0, 'Summary, PPI''s'!D92)+IF(EO$26=".", 0, 'Summary, PPI''s'!N92)+IF(EP$26=".", 0, 'Summary, PPI''s'!O92)+IF(EQ$26=".", 0, 'Summary, PPI''s'!P92)</f>
        <v>1957427.0460924979</v>
      </c>
      <c r="ET92" s="1">
        <f>'Summary, hourly ad costs'!E92+'Summary, hourly ad costs'!F92+'Summary, hourly ad costs'!H92+'Summary, hourly ad costs'!I92+'Summary, hourly ad costs'!J92+'Summary, hourly ad costs'!K92+'Summary, hourly ad costs'!L92+'Summary, hourly ad costs'!M92+'Summary, hourly ad costs'!B92</f>
        <v>1289625.7338974301</v>
      </c>
      <c r="EV92" s="13">
        <f>EV91*IF(EF$26=".", 1, (EF92/EF91)^(('Summary, PPI''s'!$E92+'Summary, PPI''s'!$E91)/('Predicted PPIs'!ES92+'Predicted PPIs'!ES91)))*IF(EG$26=".", 1, (EG92/EG91)^(('Summary, PPI''s'!$F92+'Summary, PPI''s'!$F91)/('Predicted PPIs'!ES92+'Predicted PPIs'!ES91)))*IF(EH$26=".", 1, (EH92/EH91)^(('Summary, PPI''s'!$G92+'Summary, PPI''s'!$G91)/('Predicted PPIs'!ES92+'Predicted PPIs'!ES91)))*IF(EI$26=".", 1, (EI92/EI91)^(('Summary, PPI''s'!$H92+'Summary, PPI''s'!$H91)/('Predicted PPIs'!ES92+'Predicted PPIs'!ES91)))*IF(EJ$26=".", 1, (EJ92/EJ91)^(('Summary, PPI''s'!$I92+'Summary, PPI''s'!$I91)/('Predicted PPIs'!ES92+'Predicted PPIs'!ES91)))*IF(EK$26=".", 1, (EK92/EK91)^(('Summary, PPI''s'!$J92+'Summary, PPI''s'!$J91)/('Predicted PPIs'!ES92+'Predicted PPIs'!ES91)))*IF(EL$26=".", 1, (EL92/EL91)^(('Summary, PPI''s'!$K92+'Summary, PPI''s'!$K91)/('Predicted PPIs'!ES92+'Predicted PPIs'!ES91)))*IF(EM$26=".", 1, (EM92/EM91)^(('Summary, PPI''s'!$L92+'Summary, PPI''s'!$L91)/('Predicted PPIs'!ES92+'Predicted PPIs'!ES91)))*IF(EN$26=".", 1, (EN92/EN91)^(('Summary, PPI''s'!$M92+'Summary, PPI''s'!$M91)/('Predicted PPIs'!ES92+'Predicted PPIs'!ES91)))*IF(EC$26=".", 1, (EC92/EC91)^(('Summary, PPI''s'!$B92+'Summary, PPI''s'!$B91)/('Predicted PPIs'!ES92+'Predicted PPIs'!ES91)))*IF(ED$26=".", 1, (ED92/ED91)^(('Summary, PPI''s'!$C92+'Summary, PPI''s'!$C91)/('Predicted PPIs'!ES92+'Predicted PPIs'!ES91)))*IF(EE$26=".", 1, (EE92/EE91)^(('Summary, PPI''s'!$D92+'Summary, PPI''s'!$D91)/('Predicted PPIs'!ES92+'Predicted PPIs'!ES91)))*IF(EO$26=".", 1, (EO92/EO91)^(('Summary, PPI''s'!$N92+'Summary, PPI''s'!$N91)/('Predicted PPIs'!ES92+'Predicted PPIs'!ES91)))*IF(EP$26=".", 1, (EP92/EP91)^(('Summary, PPI''s'!$O92+'Summary, PPI''s'!$O91)/('Predicted PPIs'!ES92+'Predicted PPIs'!ES91)))*IF(EQ$26=".", 1, (EQ92/EQ91)^(('Summary, PPI''s'!$P92+'Summary, PPI''s'!$P91)/('Predicted PPIs'!ES92+'Predicted PPIs'!ES91)))</f>
        <v>4.3032449356430229</v>
      </c>
      <c r="EW92" s="13">
        <f>EW91*IF(EF$26=".", 1, (EF92/EF91)^(('Summary, PPI''s'!$E92+'Summary, PPI''s'!$E91)/('Predicted PPIs'!ET92+'Predicted PPIs'!ET91)))*IF(EG$26=".", 1, (EG92/EG91)^(('Summary, PPI''s'!$F92+'Summary, PPI''s'!$F91)/('Predicted PPIs'!ET92+'Predicted PPIs'!ET91)))*IF(EH$26=".", 1, (EH92/EH91)^(('Summary, PPI''s'!$G92+'Summary, PPI''s'!$G91)/('Predicted PPIs'!ET92+'Predicted PPIs'!ET91)))*IF(EK$26=".", 1, (EK92/EK91)^(('Summary, PPI''s'!$J92+'Summary, PPI''s'!$J91)/('Predicted PPIs'!ET92+'Predicted PPIs'!ET91)))*IF(EL$26=".", 1, (EL92/EL91)^(('Summary, PPI''s'!$K92+'Summary, PPI''s'!$K91)/('Predicted PPIs'!ET92+'Predicted PPIs'!ET91)))*IF(EM$26=".", 1, (EM92/EM91)^(('Summary, PPI''s'!$L92+'Summary, PPI''s'!$L91)/('Predicted PPIs'!ET92+'Predicted PPIs'!ET91)))*IF(EN$26=".", 1, (EN92/EN91)^(('Summary, PPI''s'!$M92+'Summary, PPI''s'!$M91)/('Predicted PPIs'!ET92+'Predicted PPIs'!ET91)))*IF(EC$26=".", 1, (EC92/EC91)^(('Summary, PPI''s'!$B92+'Summary, PPI''s'!$B91)/('Predicted PPIs'!ET92+'Predicted PPIs'!ET91)))</f>
        <v>8.2280889746068322</v>
      </c>
      <c r="EY92" s="2"/>
    </row>
    <row r="93" spans="1:155" x14ac:dyDescent="0.3">
      <c r="A93" s="4">
        <v>1930</v>
      </c>
      <c r="B93" s="10">
        <f>IF(B92=".", ".", IF('Summary, PPI''s'!R93=".",IF(OR('Summary, hourly ad costs'!R93=-9999,'Summary, hourly ad costs'!R93=0), ".", 'Predicted PPIs'!B92*('Summary, hourly ad costs'!B93/'Summary, hourly ad costs'!R93)/('Summary, hourly ad costs'!B92/'Summary, hourly ad costs'!R92)), 'Summary, PPI''s'!R93))</f>
        <v>40.00177890095533</v>
      </c>
      <c r="C93" s="10" t="str">
        <f>IF(C92=".", ".", IF('Summary, PPI''s'!S93=".",IF(OR('Summary, hourly ad costs'!S93=-9999,'Summary, hourly ad costs'!S93=0), ".", 'Predicted PPIs'!C92*('Summary, hourly ad costs'!C93/'Summary, hourly ad costs'!S93)/('Summary, hourly ad costs'!C92/'Summary, hourly ad costs'!S92)), 'Summary, PPI''s'!S93))</f>
        <v>.</v>
      </c>
      <c r="D93" s="10" t="str">
        <f>IF(D92=".", ".", IF('Summary, PPI''s'!T93=".",IF(OR('Summary, hourly ad costs'!T93=-9999,'Summary, hourly ad costs'!T93=0), ".", 'Predicted PPIs'!D92*('Summary, hourly ad costs'!D93/'Summary, hourly ad costs'!T93)/('Summary, hourly ad costs'!D92/'Summary, hourly ad costs'!T92)), 'Summary, PPI''s'!T93))</f>
        <v>.</v>
      </c>
      <c r="E93" s="10">
        <f>IF(E92=".", ".", IF('Summary, PPI''s'!U93=".",IF(OR('Summary, hourly ad costs'!U93=-9999,'Summary, hourly ad costs'!U93=0), ".", 'Predicted PPIs'!E92*('Summary, hourly ad costs'!E93/'Summary, hourly ad costs'!U93)/('Summary, hourly ad costs'!E92/'Summary, hourly ad costs'!U92)), 'Summary, PPI''s'!U93))</f>
        <v>2.4353567772012661</v>
      </c>
      <c r="F93" s="10">
        <f>IF(F92=".", ".", IF('Summary, PPI''s'!V93=".",IF(OR('Summary, hourly ad costs'!V93=-9999,'Summary, hourly ad costs'!V93=0), ".", 'Predicted PPIs'!F92*('Summary, hourly ad costs'!F93/'Summary, hourly ad costs'!V93)/('Summary, hourly ad costs'!F92/'Summary, hourly ad costs'!V92)), 'Summary, PPI''s'!V93))</f>
        <v>4.4582648075837321</v>
      </c>
      <c r="G93" s="10" t="str">
        <f>IF(G92=".", ".", IF('Summary, PPI''s'!W93=".",IF(OR('Summary, hourly ad costs'!W93=-9999,'Summary, hourly ad costs'!W93=0), ".", 'Predicted PPIs'!G92*('Summary, hourly ad costs'!G93/'Summary, hourly ad costs'!W93)/('Summary, hourly ad costs'!G92/'Summary, hourly ad costs'!W92)), 'Summary, PPI''s'!W93))</f>
        <v>.</v>
      </c>
      <c r="H93" s="10">
        <f>IF(H92=".", ".", IF('Summary, PPI''s'!X93=".",IF(OR('Summary, hourly ad costs'!X93=-9999,'Summary, hourly ad costs'!X93=0), ".", 'Predicted PPIs'!H92*('Summary, hourly ad costs'!H93/'Summary, hourly ad costs'!X93)/('Summary, hourly ad costs'!H92/'Summary, hourly ad costs'!X92)), 'Summary, PPI''s'!X93))</f>
        <v>1.1029684741488015</v>
      </c>
      <c r="I93" s="10">
        <f>IF(I92=".", ".", IF('Summary, PPI''s'!Y93=".",IF(OR('Summary, hourly ad costs'!Y93=-9999,'Summary, hourly ad costs'!Y93=0), ".", 'Predicted PPIs'!I92*('Summary, hourly ad costs'!I93/'Summary, hourly ad costs'!Y93)/('Summary, hourly ad costs'!I92/'Summary, hourly ad costs'!Y92)), 'Summary, PPI''s'!Y93))</f>
        <v>2.5515020349086379</v>
      </c>
      <c r="J93" s="10" t="str">
        <f>IF(J92=".", ".", IF('Summary, PPI''s'!Z93=".",IF(OR('Summary, hourly ad costs'!Z93=-9999,'Summary, hourly ad costs'!Z93=0), ".", 'Predicted PPIs'!J92*('Summary, hourly ad costs'!J93/'Summary, hourly ad costs'!Z93)/('Summary, hourly ad costs'!J92/'Summary, hourly ad costs'!Z92)), 'Summary, PPI''s'!Z93))</f>
        <v>.</v>
      </c>
      <c r="K93" s="10" t="str">
        <f>IF(K92=".", ".", IF('Summary, PPI''s'!AA93=".",IF(OR('Summary, hourly ad costs'!AA93=-9999,'Summary, hourly ad costs'!AA93=0), ".", 'Predicted PPIs'!K92*('Summary, hourly ad costs'!K93/'Summary, hourly ad costs'!AA93)/('Summary, hourly ad costs'!K92/'Summary, hourly ad costs'!AA92)), 'Summary, PPI''s'!AA93))</f>
        <v>.</v>
      </c>
      <c r="L93" s="10" t="str">
        <f>IF(L92=".", ".", IF('Summary, PPI''s'!AB93=".",IF(OR('Summary, hourly ad costs'!AB93=-9999,'Summary, hourly ad costs'!AB93=0), ".", 'Predicted PPIs'!L92*('Summary, hourly ad costs'!L93/'Summary, hourly ad costs'!AB93)/('Summary, hourly ad costs'!L92/'Summary, hourly ad costs'!AB92)), 'Summary, PPI''s'!AB93))</f>
        <v>.</v>
      </c>
      <c r="M93" s="10" t="str">
        <f>IF(M92=".", ".", IF('Summary, PPI''s'!AC93=".",IF(OR('Summary, hourly ad costs'!AC93=-9999,'Summary, hourly ad costs'!AC93=0), ".", 'Predicted PPIs'!M92*('Summary, hourly ad costs'!M93/'Summary, hourly ad costs'!AC93)/('Summary, hourly ad costs'!M92/'Summary, hourly ad costs'!AC92)), 'Summary, PPI''s'!AC93))</f>
        <v>.</v>
      </c>
      <c r="N93" s="10" t="str">
        <f>IF(N92=".", ".", IF('Summary, PPI''s'!AD93=".",IF(OR('Summary, hourly ad costs'!AD93=-9999,'Summary, hourly ad costs'!AD93=0), ".", 'Predicted PPIs'!N92*('Summary, hourly ad costs'!N93/'Summary, hourly ad costs'!AD93)/('Summary, hourly ad costs'!N92/'Summary, hourly ad costs'!AD92)), 'Summary, PPI''s'!AD93))</f>
        <v>.</v>
      </c>
      <c r="O93" s="10" t="str">
        <f>IF(O92=".", ".", IF('Summary, PPI''s'!AE93=".",IF(OR('Summary, hourly ad costs'!AE93=-9999,'Summary, hourly ad costs'!AE93=0), ".", 'Predicted PPIs'!O92*('Summary, hourly ad costs'!O93/'Summary, hourly ad costs'!AE93)/('Summary, hourly ad costs'!O92/'Summary, hourly ad costs'!AE92)), 'Summary, PPI''s'!AE93))</f>
        <v>.</v>
      </c>
      <c r="P93" s="10" t="str">
        <f>IF(P92=".", ".", IF('Summary, PPI''s'!AF93=".",IF(OR('Summary, hourly ad costs'!AF93=-9999,'Summary, hourly ad costs'!AF93=0), ".", 'Predicted PPIs'!P92*('Summary, hourly ad costs'!P93/'Summary, hourly ad costs'!AF93)/('Summary, hourly ad costs'!P92/'Summary, hourly ad costs'!AF92)), 'Summary, PPI''s'!AF93))</f>
        <v>.</v>
      </c>
      <c r="R93" s="1">
        <f>IF(E$26=".", 0, 'Summary, PPI''s'!E93)+IF(F$26=".", 0, 'Summary, PPI''s'!F93)+IF(G$26=".", 0, 'Summary, PPI''s'!G93)+IF(H$26=".", 0, 'Summary, PPI''s'!H93)+IF(I$26=".", 0, 'Summary, PPI''s'!I93)+IF(J$26=".", 0, 'Summary, PPI''s'!J93)+IF(K$26=".", 0, 'Summary, PPI''s'!K93)+IF(L$26=".", 0, 'Summary, PPI''s'!L93)+IF(M$26=".", 0, 'Summary, PPI''s'!M93)+IF(B$26=".", 0, 'Summary, PPI''s'!B93)+IF(C$26=".", 0, 'Summary, PPI''s'!C93)+IF(D$26=".", 0, 'Summary, PPI''s'!D93)+IF(N$26=".", 0, 'Summary, PPI''s'!N93)+IF(O$26=".", 0, 'Summary, PPI''s'!O93)+IF(P$26=".", 0, 'Summary, PPI''s'!P93)</f>
        <v>2291068.7555194697</v>
      </c>
      <c r="S93" s="1">
        <f>IF(E$36=".", 0, 'Summary, PPI''s'!E93)+IF(F$36=".", 0, 'Summary, PPI''s'!F93)+IF(G$36=".", 0, 'Summary, PPI''s'!G93)+IF(H$36=".", 0, 'Summary, PPI''s'!H93)+IF(I$36=".", 0, 'Summary, PPI''s'!I93)+IF(J$36=".", 0, 'Summary, PPI''s'!J93)+IF(K$36=".", 0, 'Summary, PPI''s'!K93)+IF(L$36=".", 0, 'Summary, PPI''s'!L93)+IF(M$36=".", 0, 'Summary, PPI''s'!M93)+IF(B$36=".", 0, 'Summary, PPI''s'!B93)+IF(C$36=".", 0, 'Summary, PPI''s'!C93)+IF(D$36=".", 0, 'Summary, PPI''s'!D93)+IF(N$36=".", 0, 'Summary, PPI''s'!N93)+IF(O$36=".", 0, 'Summary, PPI''s'!O93)+IF(P$36=".", 0, 'Summary, PPI''s'!P93)</f>
        <v>2291068.7555194697</v>
      </c>
      <c r="T93" s="1">
        <f>IF(E$46=".", 0, 'Summary, PPI''s'!E93)+IF(F$46=".", 0, 'Summary, PPI''s'!F93)+IF(G$46=".", 0, 'Summary, PPI''s'!G93)+IF(H$46=".", 0, 'Summary, PPI''s'!H93)+IF(I$46=".", 0, 'Summary, PPI''s'!I93)+IF(J$46=".", 0, 'Summary, PPI''s'!J93)+IF(K$46=".", 0, 'Summary, PPI''s'!K93)+IF(L$46=".", 0, 'Summary, PPI''s'!L93)+IF(M$46=".", 0, 'Summary, PPI''s'!M93)+IF(B$46=".", 0, 'Summary, PPI''s'!B93)+IF(C$46=".", 0, 'Summary, PPI''s'!C93)+IF(D$46=".", 0, 'Summary, PPI''s'!D93)+IF(N$46=".", 0, 'Summary, PPI''s'!N93)+IF(O$46=".", 0, 'Summary, PPI''s'!O93)+IF(P$46=".", 0, 'Summary, PPI''s'!P93)</f>
        <v>1944666.3785028819</v>
      </c>
      <c r="U93" s="1">
        <f>IF(E$60=".", 0, 'Summary, PPI''s'!E93)+IF(F$60=".", 0, 'Summary, PPI''s'!F93)+IF(G$60=".", 0, 'Summary, PPI''s'!G93)+IF(H$60=".", 0, 'Summary, PPI''s'!H93)+IF(I$60=".", 0, 'Summary, PPI''s'!I93)+IF(J$60=".", 0, 'Summary, PPI''s'!J93)+IF(K$60=".", 0, 'Summary, PPI''s'!K93)+IF(L$60=".", 0, 'Summary, PPI''s'!L93)+IF(M$60=".", 0, 'Summary, PPI''s'!M93)+IF(B$60=".", 0, 'Summary, PPI''s'!B93)+IF(C$60=".", 0, 'Summary, PPI''s'!C93)+IF(D$60=".", 0, 'Summary, PPI''s'!D93)+IF(N$60=".", 0, 'Summary, PPI''s'!N93)+IF(O$60=".", 0, 'Summary, PPI''s'!O93)+IF(P$60=".", 0, 'Summary, PPI''s'!P93)</f>
        <v>1790283.9081102437</v>
      </c>
      <c r="V93" s="1">
        <f>IF(E$73=".", 0, 'Summary, PPI''s'!E93)+IF(F$73=".", 0, 'Summary, PPI''s'!F93)+IF(G$73=".", 0, 'Summary, PPI''s'!G93)+IF(H$73=".", 0, 'Summary, PPI''s'!H93)+IF(I$73=".", 0, 'Summary, PPI''s'!I93)+IF(J$73=".", 0, 'Summary, PPI''s'!J93)+IF(K$73=".", 0, 'Summary, PPI''s'!K93)+IF(L$73=".", 0, 'Summary, PPI''s'!L93)+IF(M$73=".", 0, 'Summary, PPI''s'!M93)+IF(B$73=".", 0, 'Summary, PPI''s'!B93)+IF(C$73=".", 0, 'Summary, PPI''s'!C93)+IF(D$73=".", 0, 'Summary, PPI''s'!D93)+IF(N$73=".", 0, 'Summary, PPI''s'!N93)+IF(O$73=".", 0, 'Summary, PPI''s'!O93)+IF(P$73=".", 0, 'Summary, PPI''s'!P93)</f>
        <v>1496169.3543589413</v>
      </c>
      <c r="W93" s="1">
        <f>IF(E$94=".",0,'Summary, PPI''s'!E93)+IF(F$94=".",0,'Summary, PPI''s'!F93)+IF(G$94=".",0,'Summary, PPI''s'!G93)+IF(H$94=".",0,'Summary, PPI''s'!H93)+IF(I$94=".",0,'Summary, PPI''s'!I93)+IF(J$94=".",0,'Summary, PPI''s'!J93)+IF(K$94=".",0,'Summary, PPI''s'!K93)+IF(L$94=".",0,'Summary, PPI''s'!L93)+IF(M$94=".",0,'Summary, PPI''s'!M93)+IF(B$94=".",0,'Summary, PPI''s'!B93)+IF(C$94=".",0,'Summary, PPI''s'!C93)+IF(D$94=".",0,'Summary, PPI''s'!D93)+IF(N$94=".",0,'Summary, PPI''s'!N93)+IF(O$94=".",0,'Summary, PPI''s'!O93)+IF(P$94=".",0,'Summary, PPI''s'!P93)</f>
        <v>1496169.3543589413</v>
      </c>
      <c r="X93" s="1">
        <f>IF(E$123=".", 0, 'Summary, PPI''s'!E93)+IF(F$123=".", 0, 'Summary, PPI''s'!F93)+IF(G$123=".", 0, 'Summary, PPI''s'!G93)+IF(H$123=".", 0, 'Summary, PPI''s'!H93)+IF(I$123=".", 0, 'Summary, PPI''s'!I93)+IF(J$123=".", 0, 'Summary, PPI''s'!J93)+IF(K$123=".", 0, 'Summary, PPI''s'!K93)+IF(L$123=".", 0, 'Summary, PPI''s'!L93)+IF(M$123=".", 0, 'Summary, PPI''s'!M93)+IF(B$123=".", 0, 'Summary, PPI''s'!B93)+IF(C$123=".", 0, 'Summary, PPI''s'!C93)+IF(D$123=".", 0, 'Summary, PPI''s'!D93)+IF(N$123=".", 0, 'Summary, PPI''s'!N93)+IF(O$123=".", 0, 'Summary, PPI''s'!O93)+IF(P$123=".", 0, 'Summary, PPI''s'!P93)</f>
        <v>1460504.794641857</v>
      </c>
      <c r="Z93" s="4" t="e">
        <f>Z92*IF(E$26=".", 1, (E93/E92)^(('Summary, PPI''s'!$E93+'Summary, PPI''s'!$E92)/('Predicted PPIs'!R93+'Predicted PPIs'!R92)))*IF(F$26=".", 1, (F93/F92)^(('Summary, PPI''s'!$F93+'Summary, PPI''s'!$F92)/('Predicted PPIs'!R93+'Predicted PPIs'!R92)))*IF(G$26=".", 1, (G93/G92)^(('Summary, PPI''s'!$G93+'Summary, PPI''s'!$G92)/('Predicted PPIs'!R93+'Predicted PPIs'!R92)))*IF(H$26=".", 1, (H93/H92)^(('Summary, PPI''s'!$H93+'Summary, PPI''s'!$H92)/('Predicted PPIs'!R93+'Predicted PPIs'!R92)))*IF(I$26=".", 1, (I93/I92)^(('Summary, PPI''s'!$I93+'Summary, PPI''s'!$I92)/('Predicted PPIs'!R93+'Predicted PPIs'!R92)))*IF(J$26=".", 1, (J93/J92)^(('Summary, PPI''s'!$J93+'Summary, PPI''s'!$J92)/('Predicted PPIs'!R93+'Predicted PPIs'!R92)))*IF(K$26=".", 1, (K93/K92)^(('Summary, PPI''s'!$K93+'Summary, PPI''s'!$K92)/('Predicted PPIs'!R93+'Predicted PPIs'!R92)))*IF(L$26=".", 1, (L93/L92)^(('Summary, PPI''s'!$L93+'Summary, PPI''s'!$L92)/('Predicted PPIs'!R93+'Predicted PPIs'!R92)))*IF(M$26=".", 1, (M93/M92)^(('Summary, PPI''s'!$M93+'Summary, PPI''s'!$M92)/('Predicted PPIs'!R93+'Predicted PPIs'!R92)))*IF(B$26=".", 1, (B93/B92)^(('Summary, PPI''s'!$B93+'Summary, PPI''s'!$B92)/('Predicted PPIs'!R93+'Predicted PPIs'!R92)))*IF(C$26=".", 1, (C93/C92)^(('Summary, PPI''s'!$C93+'Summary, PPI''s'!$C92)/('Predicted PPIs'!R93+'Predicted PPIs'!R92)))*IF(D$26=".", 1, (D93/D92)^(('Summary, PPI''s'!$D93+'Summary, PPI''s'!$D92)/('Predicted PPIs'!R93+'Predicted PPIs'!R92)))*IF(N$26=".", 1, (N93/N92)^(('Summary, PPI''s'!$N93+'Summary, PPI''s'!$N92)/('Predicted PPIs'!R93+'Predicted PPIs'!R92)))*IF(O$26=".", 1, (O93/O92)^(('Summary, PPI''s'!$O93+'Summary, PPI''s'!$O92)/('Predicted PPIs'!R93+'Predicted PPIs'!R92)))*IF(P$26=".", 1, (P93/P92)^(('Summary, PPI''s'!$P93+'Summary, PPI''s'!$P92)/('Predicted PPIs'!R93+'Predicted PPIs'!R92)))</f>
        <v>#VALUE!</v>
      </c>
      <c r="AA93" s="4" t="e">
        <f>AA92*IF(E$36=".", 1, (E93/E92)^(('Summary, PPI''s'!$E93+'Summary, PPI''s'!$E92)/('Predicted PPIs'!S93+'Predicted PPIs'!S92)))*IF(F$36=".", 1, (F93/F92)^(('Summary, PPI''s'!$F93+'Summary, PPI''s'!$F92)/('Predicted PPIs'!S93+'Predicted PPIs'!S92)))*IF(G$36=".", 1, (G93/G92)^(('Summary, PPI''s'!$G93+'Summary, PPI''s'!$G92)/('Predicted PPIs'!S93+'Predicted PPIs'!S92)))*IF(H$36=".", 1, (H93/H92)^(('Summary, PPI''s'!$H93+'Summary, PPI''s'!$H92)/('Predicted PPIs'!S93+'Predicted PPIs'!S92)))*IF(I$36=".", 1, (I93/I92)^(('Summary, PPI''s'!$I93+'Summary, PPI''s'!$I92)/('Predicted PPIs'!S93+'Predicted PPIs'!S92)))*IF(J$36=".", 1, (J93/J92)^(('Summary, PPI''s'!$J93+'Summary, PPI''s'!$J92)/('Predicted PPIs'!S93+'Predicted PPIs'!S92)))*IF(K$36=".", 1, (K93/K92)^(('Summary, PPI''s'!$K93+'Summary, PPI''s'!$K92)/('Predicted PPIs'!S93+'Predicted PPIs'!S92)))*IF(L$36=".", 1, (L93/L92)^(('Summary, PPI''s'!$L93+'Summary, PPI''s'!$L92)/('Predicted PPIs'!S93+'Predicted PPIs'!S92)))*IF(M$36=".", 1, (M93/M92)^(('Summary, PPI''s'!$M93+'Summary, PPI''s'!$M92)/('Predicted PPIs'!S93+'Predicted PPIs'!S92)))*IF(B$36=".", 1, (B93/B92)^(('Summary, PPI''s'!$B93+'Summary, PPI''s'!$B92)/('Predicted PPIs'!S93+'Predicted PPIs'!S92)))*IF(C$36=".", 1, (C93/C92)^(('Summary, PPI''s'!$C93+'Summary, PPI''s'!$C92)/('Predicted PPIs'!S93+'Predicted PPIs'!S92)))*IF(D$36=".", 1, (D93/D92)^(('Summary, PPI''s'!$D93+'Summary, PPI''s'!$D92)/('Predicted PPIs'!S93+'Predicted PPIs'!S92)))*IF(N$36=".", 1, (N93/N92)^(('Summary, PPI''s'!$N93+'Summary, PPI''s'!$N92)/('Predicted PPIs'!S93+'Predicted PPIs'!S92)))*IF(O$36=".", 1, (O93/O92)^(('Summary, PPI''s'!$O93+'Summary, PPI''s'!$O92)/('Predicted PPIs'!S93+'Predicted PPIs'!S92)))*IF(P$36=".", 1, (P93/P92)^(('Summary, PPI''s'!$P93+'Summary, PPI''s'!$P92)/('Predicted PPIs'!S93+'Predicted PPIs'!S92)))</f>
        <v>#VALUE!</v>
      </c>
      <c r="AB93" s="4" t="e">
        <f>AB92*IF(E$46=".", 1, (E93/E92)^(('Summary, PPI''s'!$E93+'Summary, PPI''s'!$E92)/('Predicted PPIs'!T93+'Predicted PPIs'!T92)))*IF(F$46=".", 1, (F93/F92)^(('Summary, PPI''s'!$F93+'Summary, PPI''s'!$F92)/('Predicted PPIs'!T93+'Predicted PPIs'!T92)))*IF(G$46=".", 1, (G93/G92)^(('Summary, PPI''s'!$G93+'Summary, PPI''s'!$G92)/('Predicted PPIs'!T93+'Predicted PPIs'!T92)))*IF(H$46=".", 1, (H93/H92)^(('Summary, PPI''s'!$H93+'Summary, PPI''s'!$H92)/('Predicted PPIs'!T93+'Predicted PPIs'!T92)))*IF(I$46=".", 1, (I93/I92)^(('Summary, PPI''s'!$I93+'Summary, PPI''s'!$I92)/('Predicted PPIs'!T93+'Predicted PPIs'!T92)))*IF(J$46=".", 1, (J93/J92)^(('Summary, PPI''s'!$J93+'Summary, PPI''s'!$J92)/('Predicted PPIs'!T93+'Predicted PPIs'!T92)))*IF(K$46=".", 1, (K93/K92)^(('Summary, PPI''s'!$K93+'Summary, PPI''s'!$K92)/('Predicted PPIs'!T93+'Predicted PPIs'!T92)))*IF(L$46=".", 1, (L93/L92)^(('Summary, PPI''s'!$L93+'Summary, PPI''s'!$L92)/('Predicted PPIs'!T93+'Predicted PPIs'!T92)))*IF(M$46=".", 1, (M93/M92)^(('Summary, PPI''s'!$M93+'Summary, PPI''s'!$M92)/('Predicted PPIs'!T93+'Predicted PPIs'!T92)))*IF(B$46=".", 1, (B93/B92)^(('Summary, PPI''s'!$B93+'Summary, PPI''s'!$B92)/('Predicted PPIs'!T93+'Predicted PPIs'!T92)))*IF(C$46=".", 1, (C93/C92)^(('Summary, PPI''s'!$C93+'Summary, PPI''s'!$C92)/('Predicted PPIs'!T93+'Predicted PPIs'!T92)))*IF(D$46=".", 1, (D93/D92)^(('Summary, PPI''s'!$D93+'Summary, PPI''s'!$D92)/('Predicted PPIs'!T93+'Predicted PPIs'!T92)))*IF(N$46=".", 1, (N93/N92)^(('Summary, PPI''s'!$N93+'Summary, PPI''s'!$N92)/('Predicted PPIs'!T93+'Predicted PPIs'!T92)))*IF(O$46=".", 1, (O93/O92)^(('Summary, PPI''s'!$O93+'Summary, PPI''s'!$O92)/('Predicted PPIs'!T93+'Predicted PPIs'!T92)))*IF(P$46=".", 1, (P93/P92)^(('Summary, PPI''s'!$P93+'Summary, PPI''s'!$P92)/('Predicted PPIs'!T93+'Predicted PPIs'!T92)))</f>
        <v>#VALUE!</v>
      </c>
      <c r="AC93" s="4" t="e">
        <f>AC92*IF(E$60=".",1,(E93/E92)^(('Summary, PPI''s'!$E93+'Summary, PPI''s'!$E92)/('Predicted PPIs'!U93+'Predicted PPIs'!U92)))*IF(F$60=".",1,(F93/F92)^(('Summary, PPI''s'!$F93+'Summary, PPI''s'!$F92)/('Predicted PPIs'!U93+'Predicted PPIs'!U92)))*IF(G$60=".",1,(G93/G92)^(('Summary, PPI''s'!$G93+'Summary, PPI''s'!$G92)/('Predicted PPIs'!U93+'Predicted PPIs'!U92)))*IF(H$60=".",1,(H93/H92)^(('Summary, PPI''s'!$H93+'Summary, PPI''s'!$H92)/('Predicted PPIs'!U93+'Predicted PPIs'!U92)))*IF(I$60=".",1,(I93/I92)^(('Summary, PPI''s'!$I93+'Summary, PPI''s'!$I92)/('Predicted PPIs'!U93+'Predicted PPIs'!U92)))*IF(J$60=".",1,(J93/J92)^(('Summary, PPI''s'!$J93+'Summary, PPI''s'!$J92)/('Predicted PPIs'!U93+'Predicted PPIs'!U92)))*IF(K$60=".",1,(K93/K92)^(('Summary, PPI''s'!$K93+'Summary, PPI''s'!$K92)/('Predicted PPIs'!U93+'Predicted PPIs'!U92)))*IF(L$60=".",1,(L93/L92)^(('Summary, PPI''s'!$L93+'Summary, PPI''s'!$L92)/('Predicted PPIs'!U93+'Predicted PPIs'!U92)))*IF(M$60=".",1,(M93/M92)^(('Summary, PPI''s'!$M93+'Summary, PPI''s'!$M92)/('Predicted PPIs'!U93+'Predicted PPIs'!U92)))*IF(B$60=".",1,(B93/B92)^(('Summary, PPI''s'!$B93+'Summary, PPI''s'!$B92)/('Predicted PPIs'!U93+'Predicted PPIs'!U92)))*IF(C$60=".",1,(C93/C92)^(('Summary, PPI''s'!$C93+'Summary, PPI''s'!$C92)/('Predicted PPIs'!U93+'Predicted PPIs'!U92)))*IF(D$60=".",1,(D93/D92)^(('Summary, PPI''s'!$D93+'Summary, PPI''s'!$D92)/('Predicted PPIs'!U93+'Predicted PPIs'!U92)))*IF(N$60=".",1,(N93/N92)^(('Summary, PPI''s'!$N93+'Summary, PPI''s'!$N92)/('Predicted PPIs'!U93+'Predicted PPIs'!U92)))*IF(O$60=".",1,(O93/O92)^(('Summary, PPI''s'!$O93+'Summary, PPI''s'!$O92)/('Predicted PPIs'!U93+'Predicted PPIs'!U92)))*IF(P$60=".",1,(P93/P92)^(('Summary, PPI''s'!$P93+'Summary, PPI''s'!$P92)/('Predicted PPIs'!U93+'Predicted PPIs'!U92)))</f>
        <v>#VALUE!</v>
      </c>
      <c r="AD93" s="4" t="e">
        <f>AD92*IF(E$73=".", 1, (E93/E92)^(('Summary, PPI''s'!$E93+'Summary, PPI''s'!$E92)/('Predicted PPIs'!V93+'Predicted PPIs'!V92)))*IF(F$73=".", 1, (F93/F92)^(('Summary, PPI''s'!$F93+'Summary, PPI''s'!$F92)/('Predicted PPIs'!V93+'Predicted PPIs'!V92)))*IF(G$73=".", 1, (G93/G92)^(('Summary, PPI''s'!$G93+'Summary, PPI''s'!$G92)/('Predicted PPIs'!V93+'Predicted PPIs'!V92)))*IF(H$73=".", 1, (H93/H92)^(('Summary, PPI''s'!$H93+'Summary, PPI''s'!$H92)/('Predicted PPIs'!V93+'Predicted PPIs'!V92)))*IF(I$73=".", 1, (I93/I92)^(('Summary, PPI''s'!$I93+'Summary, PPI''s'!$I92)/('Predicted PPIs'!V93+'Predicted PPIs'!V92)))*IF(J$73=".", 1, (J93/J92)^(('Summary, PPI''s'!$J93+'Summary, PPI''s'!$J92)/('Predicted PPIs'!V93+'Predicted PPIs'!V92)))*IF(K$73=".", 1, (K93/K92)^(('Summary, PPI''s'!$K93+'Summary, PPI''s'!$K92)/('Predicted PPIs'!V93+'Predicted PPIs'!V92)))*IF(L$73=".", 1, (L93/L92)^(('Summary, PPI''s'!$L93+'Summary, PPI''s'!$L92)/('Predicted PPIs'!V93+'Predicted PPIs'!V92)))*IF(M$73=".", 1, (M93/M92)^(('Summary, PPI''s'!$M93+'Summary, PPI''s'!$M92)/('Predicted PPIs'!V93+'Predicted PPIs'!V92)))*IF(B$73=".", 1, (B93/B92)^(('Summary, PPI''s'!$B93+'Summary, PPI''s'!$B92)/('Predicted PPIs'!V93+'Predicted PPIs'!V92)))*IF(C$73=".", 1, (C93/C92)^(('Summary, PPI''s'!$C93+'Summary, PPI''s'!$C92)/('Predicted PPIs'!V93+'Predicted PPIs'!V92)))*IF(D$73=".", 1, (D93/D92)^(('Summary, PPI''s'!$D93+'Summary, PPI''s'!$D92)/('Predicted PPIs'!V93+'Predicted PPIs'!V92)))*IF(N$73=".", 1, (N93/N92)^(('Summary, PPI''s'!$N93+'Summary, PPI''s'!$N92)/('Predicted PPIs'!V93+'Predicted PPIs'!V92)))*IF(O$73=".", 1, (O93/O92)^(('Summary, PPI''s'!$O93+'Summary, PPI''s'!$O92)/('Predicted PPIs'!V93+'Predicted PPIs'!V92)))*IF(P$73=".", 1, (P93/P92)^(('Summary, PPI''s'!$P93+'Summary, PPI''s'!$P92)/('Predicted PPIs'!V93+'Predicted PPIs'!V92)))</f>
        <v>#VALUE!</v>
      </c>
      <c r="AE93" s="4">
        <f>AE92*IF(E$94=".", 1, (E93/E92)^(('Summary, PPI''s'!$E93+'Summary, PPI''s'!$E92)/('Predicted PPIs'!W93+'Predicted PPIs'!W92)))*IF(F$94=".", 1, (F93/F92)^(('Summary, PPI''s'!$F93+'Summary, PPI''s'!$F92)/('Predicted PPIs'!W93+'Predicted PPIs'!W92)))*IF(G$94=".", 1, (G93/G92)^(('Summary, PPI''s'!$G93+'Summary, PPI''s'!$G92)/('Predicted PPIs'!W93+'Predicted PPIs'!W92)))*IF(H$94=".", 1, (H93/H92)^(('Summary, PPI''s'!$H93+'Summary, PPI''s'!$H92)/('Predicted PPIs'!W93+'Predicted PPIs'!W92)))*IF(I$94=".", 1, (I93/I92)^(('Summary, PPI''s'!$I93+'Summary, PPI''s'!$I92)/('Predicted PPIs'!W93+'Predicted PPIs'!W92)))*IF(J$94=".", 1, (J93/J92)^(('Summary, PPI''s'!$J93+'Summary, PPI''s'!$J92)/('Predicted PPIs'!W93+'Predicted PPIs'!W92)))*IF(K$94=".", 1, (K93/K92)^(('Summary, PPI''s'!$K93+'Summary, PPI''s'!$K92)/('Predicted PPIs'!W93+'Predicted PPIs'!W92)))*IF(L$94=".", 1, (L93/L92)^(('Summary, PPI''s'!$L93+'Summary, PPI''s'!$L92)/('Predicted PPIs'!W93+'Predicted PPIs'!W92)))*IF(M$94=".", 1, (M93/M92)^(('Summary, PPI''s'!$M93+'Summary, PPI''s'!$M92)/('Predicted PPIs'!W93+'Predicted PPIs'!W92)))*IF(B$94=".", 1, (B93/B92)^(('Summary, PPI''s'!$B93+'Summary, PPI''s'!$B92)/('Predicted PPIs'!W93+'Predicted PPIs'!W92)))*IF(C$94=".", 1, (C93/C92)^(('Summary, PPI''s'!$C93+'Summary, PPI''s'!$C92)/('Predicted PPIs'!W93+'Predicted PPIs'!W92)))*IF(D$94=".", 1, (D93/D92)^(('Summary, PPI''s'!$D93+'Summary, PPI''s'!$D92)/('Predicted PPIs'!W93+'Predicted PPIs'!W92)))*IF(N$94=".", 1, (N93/N92)^(('Summary, PPI''s'!$N93+'Summary, PPI''s'!$N92)/('Predicted PPIs'!W93+'Predicted PPIs'!W92)))*IF(O$94=".", 1, (O93/O92)^(('Summary, PPI''s'!$O93+'Summary, PPI''s'!$O92)/('Predicted PPIs'!W93+'Predicted PPIs'!W92)))*IF(P$94=".", 1, (P93/P92)^(('Summary, PPI''s'!$P93+'Summary, PPI''s'!$P92)/('Predicted PPIs'!W93+'Predicted PPIs'!W92)))</f>
        <v>4.3029908092085964</v>
      </c>
      <c r="AF93" s="4">
        <f>AF92*IF(E$123=".", 1, (E93/E92)^(('Summary, PPI''s'!$E93+'Summary, PPI''s'!$E92)/('Predicted PPIs'!X93+'Predicted PPIs'!X92)))*IF(F$123=".", 1, (F93/F92)^(('Summary, PPI''s'!$F93+'Summary, PPI''s'!$F92)/('Predicted PPIs'!X93+'Predicted PPIs'!X92)))*IF(G$123=".", 1, (G93/G92)^(('Summary, PPI''s'!$G93+'Summary, PPI''s'!$G92)/('Predicted PPIs'!X93+'Predicted PPIs'!X92)))*IF(H$123=".", 1, (H93/H92)^(('Summary, PPI''s'!$H93+'Summary, PPI''s'!$H92)/('Predicted PPIs'!X93+'Predicted PPIs'!X92)))*IF(I$123=".", 1, (I93/I92)^(('Summary, PPI''s'!$I93+'Summary, PPI''s'!$I92)/('Predicted PPIs'!X93+'Predicted PPIs'!X92)))*IF(J$123=".", 1, (J93/J92)^(('Summary, PPI''s'!$J93+'Summary, PPI''s'!$J92)/('Predicted PPIs'!X93+'Predicted PPIs'!X92)))*IF(K$123=".", 1, (K93/K92)^(('Summary, PPI''s'!$K93+'Summary, PPI''s'!$K92)/('Predicted PPIs'!X93+'Predicted PPIs'!X92)))*IF(L$123=".", 1, (L93/L92)^(('Summary, PPI''s'!$L93+'Summary, PPI''s'!$L92)/('Predicted PPIs'!X93+'Predicted PPIs'!X92)))*IF(M$123=".", 1, (M93/M92)^(('Summary, PPI''s'!$M93+'Summary, PPI''s'!$M92)/('Predicted PPIs'!X93+'Predicted PPIs'!X92)))*IF(B$123=".", 1, (B93/B92)^(('Summary, PPI''s'!$B93+'Summary, PPI''s'!$B92)/('Predicted PPIs'!X93+'Predicted PPIs'!X92)))*IF(C$123=".", 1, (C93/C92)^(('Summary, PPI''s'!$C93+'Summary, PPI''s'!$C92)/('Predicted PPIs'!X93+'Predicted PPIs'!X92)))*IF(D$123=".", 1, (D93/D92)^(('Summary, PPI''s'!$D93+'Summary, PPI''s'!$D92)/('Predicted PPIs'!X93+'Predicted PPIs'!X92)))*IF(N$123=".", 1, (N93/N92)^(('Summary, PPI''s'!$N93+'Summary, PPI''s'!$N92)/('Predicted PPIs'!X93+'Predicted PPIs'!X92)))*IF(O$123=".", 1, (O93/O92)^(('Summary, PPI''s'!$O93+'Summary, PPI''s'!$O92)/('Predicted PPIs'!X93+'Predicted PPIs'!X92)))*IF(P$123=".", 1, (P93/P92)^(('Summary, PPI''s'!$P93+'Summary, PPI''s'!$P92)/('Predicted PPIs'!X93+'Predicted PPIs'!X92)))</f>
        <v>4.117761204428187</v>
      </c>
      <c r="AH93" s="13">
        <f t="shared" si="152"/>
        <v>5.8844760488854888</v>
      </c>
      <c r="AJ93" s="4">
        <v>70.099999999999994</v>
      </c>
      <c r="AK93" s="4">
        <v>-1.552</v>
      </c>
      <c r="AL93" s="4">
        <v>-5.5519999999999996</v>
      </c>
      <c r="AM93" s="4">
        <v>-0.86</v>
      </c>
      <c r="AN93" s="4">
        <f t="shared" si="176"/>
        <v>93.481099444101304</v>
      </c>
      <c r="AO93" s="4">
        <v>12.2</v>
      </c>
      <c r="AP93" s="4">
        <f t="shared" si="177"/>
        <v>-1.1286631016042781</v>
      </c>
      <c r="AQ93" s="4">
        <f t="shared" si="178"/>
        <v>-2.1336951871657748</v>
      </c>
      <c r="AR93" s="4">
        <f t="shared" si="148"/>
        <v>-9.7960344220435091E-5</v>
      </c>
      <c r="AS93" s="4">
        <v>-0.35399999999999998</v>
      </c>
      <c r="AT93" s="4">
        <v>8.9019999999999992</v>
      </c>
      <c r="AU93" s="4">
        <v>13.85</v>
      </c>
      <c r="AV93" s="4">
        <v>11.587</v>
      </c>
      <c r="AW93" s="4">
        <v>6.3319999999999999</v>
      </c>
      <c r="AX93" s="4">
        <f t="shared" si="179"/>
        <v>8.479418667947483</v>
      </c>
      <c r="AY93" s="4">
        <v>9.9870000000000001</v>
      </c>
      <c r="AZ93" s="4">
        <v>3.3690000000000002</v>
      </c>
      <c r="BA93" s="4">
        <v>7.2629999999999999</v>
      </c>
      <c r="BB93" s="4">
        <f t="shared" si="150"/>
        <v>41.542569662833024</v>
      </c>
      <c r="BC93" s="4">
        <v>8.6349999999999998</v>
      </c>
      <c r="BG93" s="4">
        <f t="shared" si="172"/>
        <v>7.9246683800887272</v>
      </c>
      <c r="BI93" s="4">
        <f>BI$13*'[2]Ordinary Experience'!$D$333/'[2]Ordinary Experience'!$D$413</f>
        <v>122880797.9004796</v>
      </c>
      <c r="BJ93" s="4">
        <f>'[2]Ordinary Experience'!$E$333</f>
        <v>29.4</v>
      </c>
      <c r="BL93" s="4">
        <f t="shared" si="151"/>
        <v>23.047727055857322</v>
      </c>
      <c r="BM93" s="4">
        <f t="shared" si="153"/>
        <v>-8.4624712677876412E-2</v>
      </c>
      <c r="BO93" s="4" t="str">
        <f>IF(OR('Summary, hourly ad costs'!R93=-9999,'Summary, PPI''s'!R93="."),".",(('Summary, hourly ad costs'!B93/'Summary, hourly ad costs'!R93)*100/('Summary, hourly ad costs'!B$11/'Summary, hourly ad costs'!R$11))/('Summary, PPI''s'!R93))</f>
        <v>.</v>
      </c>
      <c r="BP93" s="4" t="str">
        <f>IF(OR('Summary, hourly ad costs'!S93=-9999,'Summary, PPI''s'!S93="."),".",(('Summary, hourly ad costs'!C93/'Summary, hourly ad costs'!S93)*100/('Summary, hourly ad costs'!C$11/'Summary, hourly ad costs'!S$11))/('Summary, PPI''s'!S93))</f>
        <v>.</v>
      </c>
      <c r="BQ93" s="4" t="str">
        <f>IF(OR('Summary, hourly ad costs'!T93=-9999,'Summary, PPI''s'!T93="."),".",(('Summary, hourly ad costs'!D93/'Summary, hourly ad costs'!T93)*100/('Summary, hourly ad costs'!D$11/'Summary, hourly ad costs'!T$11))/('Summary, PPI''s'!T93))</f>
        <v>.</v>
      </c>
      <c r="BR93" s="4" t="str">
        <f>IF(OR('Summary, hourly ad costs'!U93=-9999,'Summary, PPI''s'!U93="."),".",(('Summary, hourly ad costs'!E93/'Summary, hourly ad costs'!U93)*100/('Summary, hourly ad costs'!E$11/'Summary, hourly ad costs'!U$11))/('Summary, PPI''s'!U93))</f>
        <v>.</v>
      </c>
      <c r="BS93" s="4" t="str">
        <f>IF(OR('Summary, hourly ad costs'!V93=-9999,'Summary, PPI''s'!V93="."),".",(('Summary, hourly ad costs'!F93/'Summary, hourly ad costs'!V93)*100/('Summary, hourly ad costs'!F$11/'Summary, hourly ad costs'!V$11))/('Summary, PPI''s'!V93))</f>
        <v>.</v>
      </c>
      <c r="BT93" s="4" t="str">
        <f>IF(OR('Summary, hourly ad costs'!W93=-9999,'Summary, PPI''s'!W93="."),".",(('Summary, hourly ad costs'!G93/'Summary, hourly ad costs'!W93)*100/('Summary, hourly ad costs'!G$11/'Summary, hourly ad costs'!W$11))/('Summary, PPI''s'!W93))</f>
        <v>.</v>
      </c>
      <c r="BU93" s="4" t="str">
        <f>IF(OR('Summary, hourly ad costs'!X93=-9999,'Summary, PPI''s'!X93="."),".",(('Summary, hourly ad costs'!H93/'Summary, hourly ad costs'!X93)*100/('Summary, hourly ad costs'!H$11/'Summary, hourly ad costs'!X$11))/('Summary, PPI''s'!X93))</f>
        <v>.</v>
      </c>
      <c r="BV93" s="4" t="str">
        <f>IF(OR('Summary, hourly ad costs'!Y93=-9999,'Summary, PPI''s'!Y93="."),".",(('Summary, hourly ad costs'!I93/'Summary, hourly ad costs'!Y93)*100/('Summary, hourly ad costs'!I$11/'Summary, hourly ad costs'!Y$11))/('Summary, PPI''s'!Y93))</f>
        <v>.</v>
      </c>
      <c r="BW93" s="4" t="str">
        <f>IF(OR('Summary, hourly ad costs'!Z93=-9999,'Summary, PPI''s'!Z93="."),".",(('Summary, hourly ad costs'!J93/'Summary, hourly ad costs'!Z93)*100/('Summary, hourly ad costs'!J$11/'Summary, hourly ad costs'!Z$11))/('Summary, PPI''s'!Z93))</f>
        <v>.</v>
      </c>
      <c r="BX93" s="4" t="str">
        <f>IF(OR('Summary, hourly ad costs'!AA93=-9999,'Summary, PPI''s'!AA93="."),".",(('Summary, hourly ad costs'!K93/'Summary, hourly ad costs'!AA93)*100/('Summary, hourly ad costs'!K$11/'Summary, hourly ad costs'!AA$11))/('Summary, PPI''s'!AA93))</f>
        <v>.</v>
      </c>
      <c r="BY93" s="4" t="str">
        <f>IF(OR('Summary, hourly ad costs'!AB93=-9999,'Summary, PPI''s'!AB93="."),".",(('Summary, hourly ad costs'!L93/'Summary, hourly ad costs'!AB93)*100/('Summary, hourly ad costs'!L$11/'Summary, hourly ad costs'!AB$11))/('Summary, PPI''s'!AB93))</f>
        <v>.</v>
      </c>
      <c r="BZ93" s="4" t="str">
        <f>IF(OR('Summary, hourly ad costs'!AC93=-9999,'Summary, PPI''s'!AC93="."),".",(('Summary, hourly ad costs'!M93/'Summary, hourly ad costs'!AC93)*100/('Summary, hourly ad costs'!M$11/'Summary, hourly ad costs'!AC$11))/('Summary, PPI''s'!AC93))</f>
        <v>.</v>
      </c>
      <c r="CA93" s="4" t="str">
        <f>IF(OR('Summary, hourly ad costs'!AD93=-9999,'Summary, PPI''s'!AD93="."),".",(('Summary, hourly ad costs'!N93/'Summary, hourly ad costs'!AD93)*100/('Summary, hourly ad costs'!N$11/'Summary, hourly ad costs'!AD$11))/('Summary, PPI''s'!AD93))</f>
        <v>.</v>
      </c>
      <c r="CB93" s="4" t="str">
        <f>IF(OR('Summary, hourly ad costs'!AE93=-9999,'Summary, PPI''s'!AE93="."),".",(('Summary, hourly ad costs'!O93/'Summary, hourly ad costs'!AE93)*100/('Summary, hourly ad costs'!O$11/'Summary, hourly ad costs'!AE$11))/('Summary, PPI''s'!AE93))</f>
        <v>.</v>
      </c>
      <c r="CC93" s="4" t="str">
        <f>IF(OR('Summary, hourly ad costs'!AF93=-9999,'Summary, PPI''s'!AF93="."),".",(('Summary, hourly ad costs'!P93/'Summary, hourly ad costs'!AF93)*100/('Summary, hourly ad costs'!P$11/'Summary, hourly ad costs'!AF$11))/('Summary, PPI''s'!AF93))</f>
        <v>.</v>
      </c>
      <c r="CE93" s="4">
        <f t="shared" si="183"/>
        <v>-0.11193579298501324</v>
      </c>
      <c r="CF93" s="4" t="str">
        <f t="shared" si="184"/>
        <v>.</v>
      </c>
      <c r="CG93" s="4" t="str">
        <f t="shared" si="185"/>
        <v>.</v>
      </c>
      <c r="CH93" s="4">
        <f t="shared" si="145"/>
        <v>-0.13057322352202466</v>
      </c>
      <c r="CI93" s="4">
        <f t="shared" si="145"/>
        <v>-0.14659132374587763</v>
      </c>
      <c r="CJ93" s="4" t="str">
        <f t="shared" si="147"/>
        <v>.</v>
      </c>
      <c r="CK93" s="4">
        <f t="shared" si="149"/>
        <v>9.3290448562305516E-3</v>
      </c>
      <c r="CL93" s="4">
        <f t="shared" si="130"/>
        <v>-0.10275170704171327</v>
      </c>
      <c r="CM93" s="4">
        <f t="shared" si="130"/>
        <v>-2.489849253203108E-2</v>
      </c>
      <c r="CN93" s="4">
        <f t="shared" si="89"/>
        <v>-0.11804474308580729</v>
      </c>
      <c r="CO93" s="4">
        <f t="shared" si="180"/>
        <v>-0.56184967882176884</v>
      </c>
      <c r="CP93" s="4">
        <f t="shared" si="180"/>
        <v>0.41497539655013671</v>
      </c>
      <c r="CQ93" s="4" t="str">
        <f t="shared" si="173"/>
        <v>.</v>
      </c>
      <c r="CR93" s="4" t="str">
        <f t="shared" si="174"/>
        <v>.</v>
      </c>
      <c r="CS93" s="4" t="str">
        <f t="shared" si="175"/>
        <v>.</v>
      </c>
      <c r="CU93" s="5">
        <f>IF(CU92=".", ".", IF('Summary, PPI''s'!R93=".",IF(OR('Summary, hourly ad costs'!R93=-9999,'Summary, hourly ad costs'!R93=0), ".", 'Predicted PPIs'!CU92*('Summary, hourly ad costs'!B93/'Summary, hourly ad costs'!R93)/('Summary, hourly ad costs'!B92/'Summary, hourly ad costs'!R92)/(1-CE92)), 'Summary, PPI''s'!R93))</f>
        <v>27.245512117591318</v>
      </c>
      <c r="CV93" s="5" t="str">
        <f>IF(CV92=".", ".", IF('Summary, PPI''s'!S93=".",IF(OR('Summary, hourly ad costs'!S93=-9999,'Summary, hourly ad costs'!S93=0), ".", 'Predicted PPIs'!CV92*('Summary, hourly ad costs'!C93/'Summary, hourly ad costs'!S93)/('Summary, hourly ad costs'!C92/'Summary, hourly ad costs'!S92)/(1-CF92)), 'Summary, PPI''s'!S93))</f>
        <v>.</v>
      </c>
      <c r="CW93" s="5" t="str">
        <f>IF(CW92=".", ".", IF('Summary, PPI''s'!T93=".",IF(OR('Summary, hourly ad costs'!T93=-9999,'Summary, hourly ad costs'!T93=0), ".", 'Predicted PPIs'!CW92*('Summary, hourly ad costs'!D93/'Summary, hourly ad costs'!T93)/('Summary, hourly ad costs'!D92/'Summary, hourly ad costs'!T92)/(1-CG92)), 'Summary, PPI''s'!T93))</f>
        <v>.</v>
      </c>
      <c r="CX93" s="5">
        <f>IF(CX92=".", ".", IF('Summary, PPI''s'!U93=".",IF(OR('Summary, hourly ad costs'!U93=-9999,'Summary, hourly ad costs'!U93=0), ".", 'Predicted PPIs'!CX92*('Summary, hourly ad costs'!E93/'Summary, hourly ad costs'!U93)/('Summary, hourly ad costs'!E92/'Summary, hourly ad costs'!U92)/(1-CH92)), 'Summary, PPI''s'!U93))</f>
        <v>3.0714151783571064</v>
      </c>
      <c r="CY93" s="5">
        <f>IF(CY92=".", ".", IF('Summary, PPI''s'!V93=".",IF(OR('Summary, hourly ad costs'!V93=-9999,'Summary, hourly ad costs'!V93=0), ".", 'Predicted PPIs'!CY92*('Summary, hourly ad costs'!F93/'Summary, hourly ad costs'!V93)/('Summary, hourly ad costs'!F92/'Summary, hourly ad costs'!V92)/(1-CI92)), 'Summary, PPI''s'!V93))</f>
        <v>6.2138407672748412</v>
      </c>
      <c r="CZ93" s="5" t="str">
        <f>IF(CZ92=".", ".", IF('Summary, PPI''s'!W93=".",IF(OR('Summary, hourly ad costs'!W93=-9999,'Summary, hourly ad costs'!W93=0), ".", 'Predicted PPIs'!CZ92*('Summary, hourly ad costs'!G93/'Summary, hourly ad costs'!W93)/('Summary, hourly ad costs'!G92/'Summary, hourly ad costs'!W92)/(1-CJ92)), 'Summary, PPI''s'!W93))</f>
        <v>.</v>
      </c>
      <c r="DA93" s="5">
        <f>IF(DA92=".", ".", IF('Summary, PPI''s'!X93=".",IF(OR('Summary, hourly ad costs'!X93=-9999,'Summary, hourly ad costs'!X93=0), ".", 'Predicted PPIs'!DA92*('Summary, hourly ad costs'!H93/'Summary, hourly ad costs'!X93)/('Summary, hourly ad costs'!H92/'Summary, hourly ad costs'!X92)/(1-CK92)), 'Summary, PPI''s'!X93))</f>
        <v>1.2163670900172163</v>
      </c>
      <c r="DB93" s="5">
        <f>IF(DB92=".", ".", IF('Summary, PPI''s'!Y93=".",IF(OR('Summary, hourly ad costs'!Y93=-9999,'Summary, hourly ad costs'!Y93=0), ".", 'Predicted PPIs'!DB92*('Summary, hourly ad costs'!I93/'Summary, hourly ad costs'!Y93)/('Summary, hourly ad costs'!I92/'Summary, hourly ad costs'!Y92)/(1-CL92)), 'Summary, PPI''s'!Y93))</f>
        <v>3.522590795682139</v>
      </c>
      <c r="DC93" s="5" t="str">
        <f>IF(DC92=".", ".", IF('Summary, PPI''s'!Z93=".",IF(OR('Summary, hourly ad costs'!Z93=-9999,'Summary, hourly ad costs'!Z93=0), ".", 'Predicted PPIs'!DC92*('Summary, hourly ad costs'!J93/'Summary, hourly ad costs'!Z93)/('Summary, hourly ad costs'!J92/'Summary, hourly ad costs'!Z92)/(1-CM92)), 'Summary, PPI''s'!Z93))</f>
        <v>.</v>
      </c>
      <c r="DD93" s="5" t="str">
        <f>IF(DD92=".", ".", IF('Summary, PPI''s'!AA93=".",IF(OR('Summary, hourly ad costs'!AA93=-9999,'Summary, hourly ad costs'!AA93=0), ".", 'Predicted PPIs'!DD92*('Summary, hourly ad costs'!K93/'Summary, hourly ad costs'!AA93)/('Summary, hourly ad costs'!K92/'Summary, hourly ad costs'!AA92)/(1-CN92)), 'Summary, PPI''s'!AA93))</f>
        <v>.</v>
      </c>
      <c r="DE93" s="5" t="str">
        <f>IF(DE92=".", ".", IF('Summary, PPI''s'!AB93=".",IF(OR('Summary, hourly ad costs'!AB93=-9999,'Summary, hourly ad costs'!AB93=0), ".", 'Predicted PPIs'!DE92*('Summary, hourly ad costs'!L93/'Summary, hourly ad costs'!AB93)/('Summary, hourly ad costs'!L92/'Summary, hourly ad costs'!AB92)/(1-CO92)), 'Summary, PPI''s'!AB93))</f>
        <v>.</v>
      </c>
      <c r="DF93" s="5" t="str">
        <f>IF(DF92=".", ".", IF('Summary, PPI''s'!AC93=".",IF(OR('Summary, hourly ad costs'!AC93=-9999,'Summary, hourly ad costs'!AC93=0), ".", 'Predicted PPIs'!DF92*('Summary, hourly ad costs'!M93/'Summary, hourly ad costs'!AC93)/('Summary, hourly ad costs'!M92/'Summary, hourly ad costs'!AC92)/(1-CP92)), 'Summary, PPI''s'!AC93))</f>
        <v>.</v>
      </c>
      <c r="DG93" s="5" t="str">
        <f>IF(DG92=".", ".", IF('Summary, PPI''s'!AD93=".",IF(OR('Summary, hourly ad costs'!AD93=-9999,'Summary, hourly ad costs'!AD93=0), ".", 'Predicted PPIs'!DG92*('Summary, hourly ad costs'!N93/'Summary, hourly ad costs'!AD93)/('Summary, hourly ad costs'!N92/'Summary, hourly ad costs'!AD92)/(1-CQ92)), 'Summary, PPI''s'!AD93))</f>
        <v>.</v>
      </c>
      <c r="DH93" s="5" t="str">
        <f>IF(DH92=".", ".", IF('Summary, PPI''s'!AE93=".",IF(OR('Summary, hourly ad costs'!AE93=-9999,'Summary, hourly ad costs'!AE93=0), ".", 'Predicted PPIs'!DH92*('Summary, hourly ad costs'!O93/'Summary, hourly ad costs'!AE93)/('Summary, hourly ad costs'!O92/'Summary, hourly ad costs'!AE92)/(1-CR92)), 'Summary, PPI''s'!AE93))</f>
        <v>.</v>
      </c>
      <c r="DI93" s="5" t="str">
        <f>IF(DI92=".", ".", IF('Summary, PPI''s'!AF93=".",IF(OR('Summary, hourly ad costs'!AF93=-9999,'Summary, hourly ad costs'!AF93=0), ".", 'Predicted PPIs'!DI92*('Summary, hourly ad costs'!P93/'Summary, hourly ad costs'!AF93)/('Summary, hourly ad costs'!P92/'Summary, hourly ad costs'!AF92)/(1-CS92)), 'Summary, PPI''s'!AF93))</f>
        <v>.</v>
      </c>
      <c r="DK93" s="4">
        <v>2.597</v>
      </c>
      <c r="DM93" s="5">
        <f t="shared" si="186"/>
        <v>-9.8039837924923101E-2</v>
      </c>
      <c r="DN93" s="4">
        <f t="shared" si="187"/>
        <v>-3.248031719069653E-3</v>
      </c>
      <c r="DO93" s="4">
        <f t="shared" si="181"/>
        <v>-2.3427872916333001E-2</v>
      </c>
      <c r="DP93" s="5">
        <f t="shared" si="188"/>
        <v>3.4154498850218484E-3</v>
      </c>
      <c r="DQ93" s="5">
        <f t="shared" si="189"/>
        <v>0.21654670950421551</v>
      </c>
      <c r="DR93" s="4">
        <f t="shared" si="146"/>
        <v>-2.3001282497626202E-2</v>
      </c>
      <c r="DS93" s="5">
        <f t="shared" si="169"/>
        <v>-0.42474351919646414</v>
      </c>
      <c r="DT93" s="5">
        <f t="shared" si="170"/>
        <v>3.597444867972599E-2</v>
      </c>
      <c r="DU93" s="4">
        <f t="shared" si="171"/>
        <v>-6.5250052186852842E-2</v>
      </c>
      <c r="DV93" s="4">
        <f t="shared" si="131"/>
        <v>4.009344860309255E-3</v>
      </c>
      <c r="DW93" s="4">
        <f t="shared" si="182"/>
        <v>0.22748308728590025</v>
      </c>
      <c r="DX93" s="4">
        <f t="shared" si="182"/>
        <v>-0.59792495289426206</v>
      </c>
      <c r="DY93" s="4">
        <f t="shared" si="108"/>
        <v>-3.1059181428432687E-2</v>
      </c>
      <c r="DZ93" s="4">
        <f t="shared" si="132"/>
        <v>-2.5668298530154982E-2</v>
      </c>
      <c r="EA93" s="4">
        <f t="shared" si="109"/>
        <v>-1.8791975999384803E-2</v>
      </c>
      <c r="EC93" s="1">
        <f t="shared" si="154"/>
        <v>27.245512117591318</v>
      </c>
      <c r="ED93" s="1">
        <f t="shared" si="155"/>
        <v>3.851525473316407</v>
      </c>
      <c r="EE93" s="1">
        <f t="shared" si="156"/>
        <v>2.1978738080467162</v>
      </c>
      <c r="EF93" s="1">
        <f t="shared" si="157"/>
        <v>3.0714151783571064</v>
      </c>
      <c r="EG93" s="1">
        <f t="shared" si="158"/>
        <v>6.2138407672748412</v>
      </c>
      <c r="EH93" s="1">
        <f t="shared" si="159"/>
        <v>2.5998675750979561</v>
      </c>
      <c r="EI93" s="1">
        <f t="shared" si="160"/>
        <v>1.2163670900172163</v>
      </c>
      <c r="EJ93" s="1">
        <f t="shared" si="161"/>
        <v>3.522590795682139</v>
      </c>
      <c r="EK93" s="1">
        <f t="shared" si="162"/>
        <v>8.0908812815930471</v>
      </c>
      <c r="EL93" s="1">
        <f t="shared" si="163"/>
        <v>2.1260910272467965</v>
      </c>
      <c r="EM93" s="1">
        <f t="shared" si="164"/>
        <v>0.15219935177558641</v>
      </c>
      <c r="EN93" s="1">
        <f t="shared" si="165"/>
        <v>2.7619757826686229</v>
      </c>
      <c r="EO93" s="1">
        <f t="shared" si="166"/>
        <v>1.5509708367961723</v>
      </c>
      <c r="EP93" s="1">
        <f t="shared" si="167"/>
        <v>2.5393387181138389</v>
      </c>
      <c r="EQ93" s="1">
        <f t="shared" si="168"/>
        <v>1.9845316955134347</v>
      </c>
      <c r="ES93" s="1">
        <f>IF(EF$26=".", 0, 'Summary, PPI''s'!E93)+IF(EG$26=".", 0, 'Summary, PPI''s'!F93)+IF(EH$26=".", 0, 'Summary, PPI''s'!G93)+IF(EI$26=".", 0, 'Summary, PPI''s'!H93)+IF(EJ$26=".", 0, 'Summary, PPI''s'!I93)+IF(EK$26=".", 0, 'Summary, PPI''s'!J93)+IF(EL$26=".", 0, 'Summary, PPI''s'!K93)+IF(EM$26=".", 0, 'Summary, PPI''s'!L93)+IF(EN$26=".", 0, 'Summary, PPI''s'!M93)+IF(EC$26=".", 0, 'Summary, PPI''s'!B93)+IF(ED$26=".", 0, 'Summary, PPI''s'!C93)+IF(EE$26=".", 0, 'Summary, PPI''s'!D93)+IF(EO$26=".", 0, 'Summary, PPI''s'!N93)+IF(EP$26=".", 0, 'Summary, PPI''s'!O93)+IF(EQ$26=".", 0, 'Summary, PPI''s'!P93)</f>
        <v>2291068.7555194697</v>
      </c>
      <c r="ET93" s="1">
        <f>'Summary, hourly ad costs'!E93+'Summary, hourly ad costs'!F93+'Summary, hourly ad costs'!H93+'Summary, hourly ad costs'!I93+'Summary, hourly ad costs'!J93+'Summary, hourly ad costs'!K93+'Summary, hourly ad costs'!L93+'Summary, hourly ad costs'!M93+'Summary, hourly ad costs'!B93</f>
        <v>1496169.3543589413</v>
      </c>
      <c r="EV93" s="13">
        <f>EV92*IF(EF$26=".", 1, (EF93/EF92)^(('Summary, PPI''s'!$E93+'Summary, PPI''s'!$E92)/('Predicted PPIs'!ES93+'Predicted PPIs'!ES92)))*IF(EG$26=".", 1, (EG93/EG92)^(('Summary, PPI''s'!$F93+'Summary, PPI''s'!$F92)/('Predicted PPIs'!ES93+'Predicted PPIs'!ES92)))*IF(EH$26=".", 1, (EH93/EH92)^(('Summary, PPI''s'!$G93+'Summary, PPI''s'!$G92)/('Predicted PPIs'!ES93+'Predicted PPIs'!ES92)))*IF(EI$26=".", 1, (EI93/EI92)^(('Summary, PPI''s'!$H93+'Summary, PPI''s'!$H92)/('Predicted PPIs'!ES93+'Predicted PPIs'!ES92)))*IF(EJ$26=".", 1, (EJ93/EJ92)^(('Summary, PPI''s'!$I93+'Summary, PPI''s'!$I92)/('Predicted PPIs'!ES93+'Predicted PPIs'!ES92)))*IF(EK$26=".", 1, (EK93/EK92)^(('Summary, PPI''s'!$J93+'Summary, PPI''s'!$J92)/('Predicted PPIs'!ES93+'Predicted PPIs'!ES92)))*IF(EL$26=".", 1, (EL93/EL92)^(('Summary, PPI''s'!$K93+'Summary, PPI''s'!$K92)/('Predicted PPIs'!ES93+'Predicted PPIs'!ES92)))*IF(EM$26=".", 1, (EM93/EM92)^(('Summary, PPI''s'!$L93+'Summary, PPI''s'!$L92)/('Predicted PPIs'!ES93+'Predicted PPIs'!ES92)))*IF(EN$26=".", 1, (EN93/EN92)^(('Summary, PPI''s'!$M93+'Summary, PPI''s'!$M92)/('Predicted PPIs'!ES93+'Predicted PPIs'!ES92)))*IF(EC$26=".", 1, (EC93/EC92)^(('Summary, PPI''s'!$B93+'Summary, PPI''s'!$B92)/('Predicted PPIs'!ES93+'Predicted PPIs'!ES92)))*IF(ED$26=".", 1, (ED93/ED92)^(('Summary, PPI''s'!$C93+'Summary, PPI''s'!$C92)/('Predicted PPIs'!ES93+'Predicted PPIs'!ES92)))*IF(EE$26=".", 1, (EE93/EE92)^(('Summary, PPI''s'!$D93+'Summary, PPI''s'!$D92)/('Predicted PPIs'!ES93+'Predicted PPIs'!ES92)))*IF(EO$26=".", 1, (EO93/EO92)^(('Summary, PPI''s'!$N93+'Summary, PPI''s'!$N92)/('Predicted PPIs'!ES93+'Predicted PPIs'!ES92)))*IF(EP$26=".", 1, (EP93/EP92)^(('Summary, PPI''s'!$O93+'Summary, PPI''s'!$O92)/('Predicted PPIs'!ES93+'Predicted PPIs'!ES92)))*IF(EQ$26=".", 1, (EQ93/EQ92)^(('Summary, PPI''s'!$P93+'Summary, PPI''s'!$P92)/('Predicted PPIs'!ES93+'Predicted PPIs'!ES92)))</f>
        <v>4.5070986200379881</v>
      </c>
      <c r="EW93" s="13">
        <f>EW92*IF(EF$26=".", 1, (EF93/EF92)^(('Summary, PPI''s'!$E93+'Summary, PPI''s'!$E92)/('Predicted PPIs'!ET93+'Predicted PPIs'!ET92)))*IF(EG$26=".", 1, (EG93/EG92)^(('Summary, PPI''s'!$F93+'Summary, PPI''s'!$F92)/('Predicted PPIs'!ET93+'Predicted PPIs'!ET92)))*IF(EH$26=".", 1, (EH93/EH92)^(('Summary, PPI''s'!$G93+'Summary, PPI''s'!$G92)/('Predicted PPIs'!ET93+'Predicted PPIs'!ET92)))*IF(EK$26=".", 1, (EK93/EK92)^(('Summary, PPI''s'!$J93+'Summary, PPI''s'!$J92)/('Predicted PPIs'!ET93+'Predicted PPIs'!ET92)))*IF(EL$26=".", 1, (EL93/EL92)^(('Summary, PPI''s'!$K93+'Summary, PPI''s'!$K92)/('Predicted PPIs'!ET93+'Predicted PPIs'!ET92)))*IF(EM$26=".", 1, (EM93/EM92)^(('Summary, PPI''s'!$L93+'Summary, PPI''s'!$L92)/('Predicted PPIs'!ET93+'Predicted PPIs'!ET92)))*IF(EN$26=".", 1, (EN93/EN92)^(('Summary, PPI''s'!$M93+'Summary, PPI''s'!$M92)/('Predicted PPIs'!ET93+'Predicted PPIs'!ET92)))*IF(EC$26=".", 1, (EC93/EC92)^(('Summary, PPI''s'!$B93+'Summary, PPI''s'!$B92)/('Predicted PPIs'!ET93+'Predicted PPIs'!ET92)))</f>
        <v>8.5574969165995824</v>
      </c>
      <c r="EY93" s="2"/>
    </row>
    <row r="94" spans="1:155" x14ac:dyDescent="0.3">
      <c r="A94" s="4">
        <v>1929</v>
      </c>
      <c r="B94" s="10">
        <f>IF(B93=".", ".", IF('Summary, PPI''s'!R94=".",IF(OR('Summary, hourly ad costs'!R94=-9999,'Summary, hourly ad costs'!R94=0), ".", 'Predicted PPIs'!B93*('Summary, hourly ad costs'!B94/'Summary, hourly ad costs'!R94)/('Summary, hourly ad costs'!B93/'Summary, hourly ad costs'!R93)), 'Summary, PPI''s'!R94))</f>
        <v>50.947207246781247</v>
      </c>
      <c r="C94" s="10" t="str">
        <f>IF(C93=".", ".", IF('Summary, PPI''s'!S94=".",IF(OR('Summary, hourly ad costs'!S94=-9999,'Summary, hourly ad costs'!S94=0), ".", 'Predicted PPIs'!C93*('Summary, hourly ad costs'!C94/'Summary, hourly ad costs'!S94)/('Summary, hourly ad costs'!C93/'Summary, hourly ad costs'!S93)), 'Summary, PPI''s'!S94))</f>
        <v>.</v>
      </c>
      <c r="D94" s="10" t="str">
        <f>IF(D93=".", ".", IF('Summary, PPI''s'!T94=".",IF(OR('Summary, hourly ad costs'!T94=-9999,'Summary, hourly ad costs'!T94=0), ".", 'Predicted PPIs'!D93*('Summary, hourly ad costs'!D94/'Summary, hourly ad costs'!T94)/('Summary, hourly ad costs'!D93/'Summary, hourly ad costs'!T93)), 'Summary, PPI''s'!T94))</f>
        <v>.</v>
      </c>
      <c r="E94" s="10">
        <f>IF(E93=".", ".", IF('Summary, PPI''s'!U94=".",IF(OR('Summary, hourly ad costs'!U94=-9999,'Summary, hourly ad costs'!U94=0), ".", 'Predicted PPIs'!E93*('Summary, hourly ad costs'!E94/'Summary, hourly ad costs'!U94)/('Summary, hourly ad costs'!E93/'Summary, hourly ad costs'!U93)), 'Summary, PPI''s'!U94))</f>
        <v>2.8348444162618773</v>
      </c>
      <c r="F94" s="10">
        <f>IF(F93=".", ".", IF('Summary, PPI''s'!V94=".",IF(OR('Summary, hourly ad costs'!V94=-9999,'Summary, hourly ad costs'!V94=0), ".", 'Predicted PPIs'!F93*('Summary, hourly ad costs'!F94/'Summary, hourly ad costs'!V94)/('Summary, hourly ad costs'!F93/'Summary, hourly ad costs'!V93)), 'Summary, PPI''s'!V94))</f>
        <v>4.3410465859740848</v>
      </c>
      <c r="G94" s="10" t="str">
        <f>IF(G93=".", ".", IF('Summary, PPI''s'!W94=".",IF(OR('Summary, hourly ad costs'!W94=-9999,'Summary, hourly ad costs'!W94=0), ".", 'Predicted PPIs'!G93*('Summary, hourly ad costs'!G94/'Summary, hourly ad costs'!W94)/('Summary, hourly ad costs'!G93/'Summary, hourly ad costs'!W93)), 'Summary, PPI''s'!W94))</f>
        <v>.</v>
      </c>
      <c r="H94" s="10">
        <f>IF(H93=".", ".", IF('Summary, PPI''s'!X94=".",IF(OR('Summary, hourly ad costs'!X94=-9999,'Summary, hourly ad costs'!X94=0), ".", 'Predicted PPIs'!H93*('Summary, hourly ad costs'!H94/'Summary, hourly ad costs'!X94)/('Summary, hourly ad costs'!H93/'Summary, hourly ad costs'!X93)), 'Summary, PPI''s'!X94))</f>
        <v>1.9623647435897424</v>
      </c>
      <c r="I94" s="10">
        <f>IF(I93=".", ".", IF('Summary, PPI''s'!Y94=".",IF(OR('Summary, hourly ad costs'!Y94=-9999,'Summary, hourly ad costs'!Y94=0), ".", 'Predicted PPIs'!I93*('Summary, hourly ad costs'!I94/'Summary, hourly ad costs'!Y94)/('Summary, hourly ad costs'!I93/'Summary, hourly ad costs'!Y93)), 'Summary, PPI''s'!Y94))</f>
        <v>2.8059074148347953</v>
      </c>
      <c r="J94" s="10" t="str">
        <f>IF(J93=".", ".", IF('Summary, PPI''s'!Z94=".",IF(OR('Summary, hourly ad costs'!Z94=-9999,'Summary, hourly ad costs'!Z94=0), ".", 'Predicted PPIs'!J93*('Summary, hourly ad costs'!J94/'Summary, hourly ad costs'!Z94)/('Summary, hourly ad costs'!J93/'Summary, hourly ad costs'!Z93)), 'Summary, PPI''s'!Z94))</f>
        <v>.</v>
      </c>
      <c r="K94" s="10" t="str">
        <f>IF(K93=".", ".", IF('Summary, PPI''s'!AA94=".",IF(OR('Summary, hourly ad costs'!AA94=-9999,'Summary, hourly ad costs'!AA94=0), ".", 'Predicted PPIs'!K93*('Summary, hourly ad costs'!K94/'Summary, hourly ad costs'!AA94)/('Summary, hourly ad costs'!K93/'Summary, hourly ad costs'!AA93)), 'Summary, PPI''s'!AA94))</f>
        <v>.</v>
      </c>
      <c r="L94" s="10" t="str">
        <f>IF(L93=".", ".", IF('Summary, PPI''s'!AB94=".",IF(OR('Summary, hourly ad costs'!AB94=-9999,'Summary, hourly ad costs'!AB94=0), ".", 'Predicted PPIs'!L93*('Summary, hourly ad costs'!L94/'Summary, hourly ad costs'!AB94)/('Summary, hourly ad costs'!L93/'Summary, hourly ad costs'!AB93)), 'Summary, PPI''s'!AB94))</f>
        <v>.</v>
      </c>
      <c r="M94" s="10" t="str">
        <f>IF(M93=".", ".", IF('Summary, PPI''s'!AC94=".",IF(OR('Summary, hourly ad costs'!AC94=-9999,'Summary, hourly ad costs'!AC94=0), ".", 'Predicted PPIs'!M93*('Summary, hourly ad costs'!M94/'Summary, hourly ad costs'!AC94)/('Summary, hourly ad costs'!M93/'Summary, hourly ad costs'!AC93)), 'Summary, PPI''s'!AC94))</f>
        <v>.</v>
      </c>
      <c r="N94" s="10" t="str">
        <f>IF(N93=".", ".", IF('Summary, PPI''s'!AD94=".",IF(OR('Summary, hourly ad costs'!AD94=-9999,'Summary, hourly ad costs'!AD94=0), ".", 'Predicted PPIs'!N93*('Summary, hourly ad costs'!N94/'Summary, hourly ad costs'!AD94)/('Summary, hourly ad costs'!N93/'Summary, hourly ad costs'!AD93)), 'Summary, PPI''s'!AD94))</f>
        <v>.</v>
      </c>
      <c r="O94" s="10" t="str">
        <f>IF(O93=".", ".", IF('Summary, PPI''s'!AE94=".",IF(OR('Summary, hourly ad costs'!AE94=-9999,'Summary, hourly ad costs'!AE94=0), ".", 'Predicted PPIs'!O93*('Summary, hourly ad costs'!O94/'Summary, hourly ad costs'!AE94)/('Summary, hourly ad costs'!O93/'Summary, hourly ad costs'!AE93)), 'Summary, PPI''s'!AE94))</f>
        <v>.</v>
      </c>
      <c r="P94" s="10" t="str">
        <f>IF(P93=".", ".", IF('Summary, PPI''s'!AF94=".",IF(OR('Summary, hourly ad costs'!AF94=-9999,'Summary, hourly ad costs'!AF94=0), ".", 'Predicted PPIs'!P93*('Summary, hourly ad costs'!P94/'Summary, hourly ad costs'!AF94)/('Summary, hourly ad costs'!P93/'Summary, hourly ad costs'!AF93)), 'Summary, PPI''s'!AF94))</f>
        <v>.</v>
      </c>
      <c r="R94" s="1">
        <f>IF(E$26=".", 0, 'Summary, PPI''s'!E94)+IF(F$26=".", 0, 'Summary, PPI''s'!F94)+IF(G$26=".", 0, 'Summary, PPI''s'!G94)+IF(H$26=".", 0, 'Summary, PPI''s'!H94)+IF(I$26=".", 0, 'Summary, PPI''s'!I94)+IF(J$26=".", 0, 'Summary, PPI''s'!J94)+IF(K$26=".", 0, 'Summary, PPI''s'!K94)+IF(L$26=".", 0, 'Summary, PPI''s'!L94)+IF(M$26=".", 0, 'Summary, PPI''s'!M94)+IF(B$26=".", 0, 'Summary, PPI''s'!B94)+IF(C$26=".", 0, 'Summary, PPI''s'!C94)+IF(D$26=".", 0, 'Summary, PPI''s'!D94)+IF(N$26=".", 0, 'Summary, PPI''s'!N94)+IF(O$26=".", 0, 'Summary, PPI''s'!O94)+IF(P$26=".", 0, 'Summary, PPI''s'!P94)</f>
        <v>2575735.6443451997</v>
      </c>
      <c r="S94" s="1">
        <f>IF(E$36=".", 0, 'Summary, PPI''s'!E94)+IF(F$36=".", 0, 'Summary, PPI''s'!F94)+IF(G$36=".", 0, 'Summary, PPI''s'!G94)+IF(H$36=".", 0, 'Summary, PPI''s'!H94)+IF(I$36=".", 0, 'Summary, PPI''s'!I94)+IF(J$36=".", 0, 'Summary, PPI''s'!J94)+IF(K$36=".", 0, 'Summary, PPI''s'!K94)+IF(L$36=".", 0, 'Summary, PPI''s'!L94)+IF(M$36=".", 0, 'Summary, PPI''s'!M94)+IF(B$36=".", 0, 'Summary, PPI''s'!B94)+IF(C$36=".", 0, 'Summary, PPI''s'!C94)+IF(D$36=".", 0, 'Summary, PPI''s'!D94)+IF(N$36=".", 0, 'Summary, PPI''s'!N94)+IF(O$36=".", 0, 'Summary, PPI''s'!O94)+IF(P$36=".", 0, 'Summary, PPI''s'!P94)</f>
        <v>2575735.6443451997</v>
      </c>
      <c r="T94" s="1">
        <f>IF(E$46=".", 0, 'Summary, PPI''s'!E94)+IF(F$46=".", 0, 'Summary, PPI''s'!F94)+IF(G$46=".", 0, 'Summary, PPI''s'!G94)+IF(H$46=".", 0, 'Summary, PPI''s'!H94)+IF(I$46=".", 0, 'Summary, PPI''s'!I94)+IF(J$46=".", 0, 'Summary, PPI''s'!J94)+IF(K$46=".", 0, 'Summary, PPI''s'!K94)+IF(L$46=".", 0, 'Summary, PPI''s'!L94)+IF(M$46=".", 0, 'Summary, PPI''s'!M94)+IF(B$46=".", 0, 'Summary, PPI''s'!B94)+IF(C$46=".", 0, 'Summary, PPI''s'!C94)+IF(D$46=".", 0, 'Summary, PPI''s'!D94)+IF(N$46=".", 0, 'Summary, PPI''s'!N94)+IF(O$46=".", 0, 'Summary, PPI''s'!O94)+IF(P$46=".", 0, 'Summary, PPI''s'!P94)</f>
        <v>2198319.2578928233</v>
      </c>
      <c r="U94" s="1">
        <f>IF(E$60=".", 0, 'Summary, PPI''s'!E94)+IF(F$60=".", 0, 'Summary, PPI''s'!F94)+IF(G$60=".", 0, 'Summary, PPI''s'!G94)+IF(H$60=".", 0, 'Summary, PPI''s'!H94)+IF(I$60=".", 0, 'Summary, PPI''s'!I94)+IF(J$60=".", 0, 'Summary, PPI''s'!J94)+IF(K$60=".", 0, 'Summary, PPI''s'!K94)+IF(L$60=".", 0, 'Summary, PPI''s'!L94)+IF(M$60=".", 0, 'Summary, PPI''s'!M94)+IF(B$60=".", 0, 'Summary, PPI''s'!B94)+IF(C$60=".", 0, 'Summary, PPI''s'!C94)+IF(D$60=".", 0, 'Summary, PPI''s'!D94)+IF(N$60=".", 0, 'Summary, PPI''s'!N94)+IF(O$60=".", 0, 'Summary, PPI''s'!O94)+IF(P$60=".", 0, 'Summary, PPI''s'!P94)</f>
        <v>2017061.6891585079</v>
      </c>
      <c r="V94" s="1">
        <f>IF(E$73=".", 0, 'Summary, PPI''s'!E94)+IF(F$73=".", 0, 'Summary, PPI''s'!F94)+IF(G$73=".", 0, 'Summary, PPI''s'!G94)+IF(H$73=".", 0, 'Summary, PPI''s'!H94)+IF(I$73=".", 0, 'Summary, PPI''s'!I94)+IF(J$73=".", 0, 'Summary, PPI''s'!J94)+IF(K$73=".", 0, 'Summary, PPI''s'!K94)+IF(L$73=".", 0, 'Summary, PPI''s'!L94)+IF(M$73=".", 0, 'Summary, PPI''s'!M94)+IF(B$73=".", 0, 'Summary, PPI''s'!B94)+IF(C$73=".", 0, 'Summary, PPI''s'!C94)+IF(D$73=".", 0, 'Summary, PPI''s'!D94)+IF(N$73=".", 0, 'Summary, PPI''s'!N94)+IF(O$73=".", 0, 'Summary, PPI''s'!O94)+IF(P$73=".", 0, 'Summary, PPI''s'!P94)</f>
        <v>1664429.4663468925</v>
      </c>
      <c r="W94" s="1">
        <f>IF(E$94=".",0,'Summary, PPI''s'!E94)+IF(F$94=".",0,'Summary, PPI''s'!F94)+IF(G$94=".",0,'Summary, PPI''s'!G94)+IF(H$94=".",0,'Summary, PPI''s'!H94)+IF(I$94=".",0,'Summary, PPI''s'!I94)+IF(J$94=".",0,'Summary, PPI''s'!J94)+IF(K$94=".",0,'Summary, PPI''s'!K94)+IF(L$94=".",0,'Summary, PPI''s'!L94)+IF(M$94=".",0,'Summary, PPI''s'!M94)+IF(B$94=".",0,'Summary, PPI''s'!B94)+IF(C$94=".",0,'Summary, PPI''s'!C94)+IF(D$94=".",0,'Summary, PPI''s'!D94)+IF(N$94=".",0,'Summary, PPI''s'!N94)+IF(O$94=".",0,'Summary, PPI''s'!O94)+IF(P$94=".",0,'Summary, PPI''s'!P94)</f>
        <v>1664429.4663468925</v>
      </c>
      <c r="X94" s="1">
        <f>IF(E$123=".", 0, 'Summary, PPI''s'!E94)+IF(F$123=".", 0, 'Summary, PPI''s'!F94)+IF(G$123=".", 0, 'Summary, PPI''s'!G94)+IF(H$123=".", 0, 'Summary, PPI''s'!H94)+IF(I$123=".", 0, 'Summary, PPI''s'!I94)+IF(J$123=".", 0, 'Summary, PPI''s'!J94)+IF(K$123=".", 0, 'Summary, PPI''s'!K94)+IF(L$123=".", 0, 'Summary, PPI''s'!L94)+IF(M$123=".", 0, 'Summary, PPI''s'!M94)+IF(B$123=".", 0, 'Summary, PPI''s'!B94)+IF(C$123=".", 0, 'Summary, PPI''s'!C94)+IF(D$123=".", 0, 'Summary, PPI''s'!D94)+IF(N$123=".", 0, 'Summary, PPI''s'!N94)+IF(O$123=".", 0, 'Summary, PPI''s'!O94)+IF(P$123=".", 0, 'Summary, PPI''s'!P94)</f>
        <v>1635093.3326276077</v>
      </c>
      <c r="Z94" s="4" t="e">
        <f>Z93*IF(E$26=".", 1, (E94/E93)^(('Summary, PPI''s'!$E94+'Summary, PPI''s'!$E93)/('Predicted PPIs'!R94+'Predicted PPIs'!R93)))*IF(F$26=".", 1, (F94/F93)^(('Summary, PPI''s'!$F94+'Summary, PPI''s'!$F93)/('Predicted PPIs'!R94+'Predicted PPIs'!R93)))*IF(G$26=".", 1, (G94/G93)^(('Summary, PPI''s'!$G94+'Summary, PPI''s'!$G93)/('Predicted PPIs'!R94+'Predicted PPIs'!R93)))*IF(H$26=".", 1, (H94/H93)^(('Summary, PPI''s'!$H94+'Summary, PPI''s'!$H93)/('Predicted PPIs'!R94+'Predicted PPIs'!R93)))*IF(I$26=".", 1, (I94/I93)^(('Summary, PPI''s'!$I94+'Summary, PPI''s'!$I93)/('Predicted PPIs'!R94+'Predicted PPIs'!R93)))*IF(J$26=".", 1, (J94/J93)^(('Summary, PPI''s'!$J94+'Summary, PPI''s'!$J93)/('Predicted PPIs'!R94+'Predicted PPIs'!R93)))*IF(K$26=".", 1, (K94/K93)^(('Summary, PPI''s'!$K94+'Summary, PPI''s'!$K93)/('Predicted PPIs'!R94+'Predicted PPIs'!R93)))*IF(L$26=".", 1, (L94/L93)^(('Summary, PPI''s'!$L94+'Summary, PPI''s'!$L93)/('Predicted PPIs'!R94+'Predicted PPIs'!R93)))*IF(M$26=".", 1, (M94/M93)^(('Summary, PPI''s'!$M94+'Summary, PPI''s'!$M93)/('Predicted PPIs'!R94+'Predicted PPIs'!R93)))*IF(B$26=".", 1, (B94/B93)^(('Summary, PPI''s'!$B94+'Summary, PPI''s'!$B93)/('Predicted PPIs'!R94+'Predicted PPIs'!R93)))*IF(C$26=".", 1, (C94/C93)^(('Summary, PPI''s'!$C94+'Summary, PPI''s'!$C93)/('Predicted PPIs'!R94+'Predicted PPIs'!R93)))*IF(D$26=".", 1, (D94/D93)^(('Summary, PPI''s'!$D94+'Summary, PPI''s'!$D93)/('Predicted PPIs'!R94+'Predicted PPIs'!R93)))*IF(N$26=".", 1, (N94/N93)^(('Summary, PPI''s'!$N94+'Summary, PPI''s'!$N93)/('Predicted PPIs'!R94+'Predicted PPIs'!R93)))*IF(O$26=".", 1, (O94/O93)^(('Summary, PPI''s'!$O94+'Summary, PPI''s'!$O93)/('Predicted PPIs'!R94+'Predicted PPIs'!R93)))*IF(P$26=".", 1, (P94/P93)^(('Summary, PPI''s'!$P94+'Summary, PPI''s'!$P93)/('Predicted PPIs'!R94+'Predicted PPIs'!R93)))</f>
        <v>#VALUE!</v>
      </c>
      <c r="AA94" s="4" t="e">
        <f>AA93*IF(E$36=".", 1, (E94/E93)^(('Summary, PPI''s'!$E94+'Summary, PPI''s'!$E93)/('Predicted PPIs'!S94+'Predicted PPIs'!S93)))*IF(F$36=".", 1, (F94/F93)^(('Summary, PPI''s'!$F94+'Summary, PPI''s'!$F93)/('Predicted PPIs'!S94+'Predicted PPIs'!S93)))*IF(G$36=".", 1, (G94/G93)^(('Summary, PPI''s'!$G94+'Summary, PPI''s'!$G93)/('Predicted PPIs'!S94+'Predicted PPIs'!S93)))*IF(H$36=".", 1, (H94/H93)^(('Summary, PPI''s'!$H94+'Summary, PPI''s'!$H93)/('Predicted PPIs'!S94+'Predicted PPIs'!S93)))*IF(I$36=".", 1, (I94/I93)^(('Summary, PPI''s'!$I94+'Summary, PPI''s'!$I93)/('Predicted PPIs'!S94+'Predicted PPIs'!S93)))*IF(J$36=".", 1, (J94/J93)^(('Summary, PPI''s'!$J94+'Summary, PPI''s'!$J93)/('Predicted PPIs'!S94+'Predicted PPIs'!S93)))*IF(K$36=".", 1, (K94/K93)^(('Summary, PPI''s'!$K94+'Summary, PPI''s'!$K93)/('Predicted PPIs'!S94+'Predicted PPIs'!S93)))*IF(L$36=".", 1, (L94/L93)^(('Summary, PPI''s'!$L94+'Summary, PPI''s'!$L93)/('Predicted PPIs'!S94+'Predicted PPIs'!S93)))*IF(M$36=".", 1, (M94/M93)^(('Summary, PPI''s'!$M94+'Summary, PPI''s'!$M93)/('Predicted PPIs'!S94+'Predicted PPIs'!S93)))*IF(B$36=".", 1, (B94/B93)^(('Summary, PPI''s'!$B94+'Summary, PPI''s'!$B93)/('Predicted PPIs'!S94+'Predicted PPIs'!S93)))*IF(C$36=".", 1, (C94/C93)^(('Summary, PPI''s'!$C94+'Summary, PPI''s'!$C93)/('Predicted PPIs'!S94+'Predicted PPIs'!S93)))*IF(D$36=".", 1, (D94/D93)^(('Summary, PPI''s'!$D94+'Summary, PPI''s'!$D93)/('Predicted PPIs'!S94+'Predicted PPIs'!S93)))*IF(N$36=".", 1, (N94/N93)^(('Summary, PPI''s'!$N94+'Summary, PPI''s'!$N93)/('Predicted PPIs'!S94+'Predicted PPIs'!S93)))*IF(O$36=".", 1, (O94/O93)^(('Summary, PPI''s'!$O94+'Summary, PPI''s'!$O93)/('Predicted PPIs'!S94+'Predicted PPIs'!S93)))*IF(P$36=".", 1, (P94/P93)^(('Summary, PPI''s'!$P94+'Summary, PPI''s'!$P93)/('Predicted PPIs'!S94+'Predicted PPIs'!S93)))</f>
        <v>#VALUE!</v>
      </c>
      <c r="AB94" s="4" t="e">
        <f>AB93*IF(E$46=".", 1, (E94/E93)^(('Summary, PPI''s'!$E94+'Summary, PPI''s'!$E93)/('Predicted PPIs'!T94+'Predicted PPIs'!T93)))*IF(F$46=".", 1, (F94/F93)^(('Summary, PPI''s'!$F94+'Summary, PPI''s'!$F93)/('Predicted PPIs'!T94+'Predicted PPIs'!T93)))*IF(G$46=".", 1, (G94/G93)^(('Summary, PPI''s'!$G94+'Summary, PPI''s'!$G93)/('Predicted PPIs'!T94+'Predicted PPIs'!T93)))*IF(H$46=".", 1, (H94/H93)^(('Summary, PPI''s'!$H94+'Summary, PPI''s'!$H93)/('Predicted PPIs'!T94+'Predicted PPIs'!T93)))*IF(I$46=".", 1, (I94/I93)^(('Summary, PPI''s'!$I94+'Summary, PPI''s'!$I93)/('Predicted PPIs'!T94+'Predicted PPIs'!T93)))*IF(J$46=".", 1, (J94/J93)^(('Summary, PPI''s'!$J94+'Summary, PPI''s'!$J93)/('Predicted PPIs'!T94+'Predicted PPIs'!T93)))*IF(K$46=".", 1, (K94/K93)^(('Summary, PPI''s'!$K94+'Summary, PPI''s'!$K93)/('Predicted PPIs'!T94+'Predicted PPIs'!T93)))*IF(L$46=".", 1, (L94/L93)^(('Summary, PPI''s'!$L94+'Summary, PPI''s'!$L93)/('Predicted PPIs'!T94+'Predicted PPIs'!T93)))*IF(M$46=".", 1, (M94/M93)^(('Summary, PPI''s'!$M94+'Summary, PPI''s'!$M93)/('Predicted PPIs'!T94+'Predicted PPIs'!T93)))*IF(B$46=".", 1, (B94/B93)^(('Summary, PPI''s'!$B94+'Summary, PPI''s'!$B93)/('Predicted PPIs'!T94+'Predicted PPIs'!T93)))*IF(C$46=".", 1, (C94/C93)^(('Summary, PPI''s'!$C94+'Summary, PPI''s'!$C93)/('Predicted PPIs'!T94+'Predicted PPIs'!T93)))*IF(D$46=".", 1, (D94/D93)^(('Summary, PPI''s'!$D94+'Summary, PPI''s'!$D93)/('Predicted PPIs'!T94+'Predicted PPIs'!T93)))*IF(N$46=".", 1, (N94/N93)^(('Summary, PPI''s'!$N94+'Summary, PPI''s'!$N93)/('Predicted PPIs'!T94+'Predicted PPIs'!T93)))*IF(O$46=".", 1, (O94/O93)^(('Summary, PPI''s'!$O94+'Summary, PPI''s'!$O93)/('Predicted PPIs'!T94+'Predicted PPIs'!T93)))*IF(P$46=".", 1, (P94/P93)^(('Summary, PPI''s'!$P94+'Summary, PPI''s'!$P93)/('Predicted PPIs'!T94+'Predicted PPIs'!T93)))</f>
        <v>#VALUE!</v>
      </c>
      <c r="AC94" s="4" t="e">
        <f>AC93*IF(E$60=".",1,(E94/E93)^(('Summary, PPI''s'!$E94+'Summary, PPI''s'!$E93)/('Predicted PPIs'!U94+'Predicted PPIs'!U93)))*IF(F$60=".",1,(F94/F93)^(('Summary, PPI''s'!$F94+'Summary, PPI''s'!$F93)/('Predicted PPIs'!U94+'Predicted PPIs'!U93)))*IF(G$60=".",1,(G94/G93)^(('Summary, PPI''s'!$G94+'Summary, PPI''s'!$G93)/('Predicted PPIs'!U94+'Predicted PPIs'!U93)))*IF(H$60=".",1,(H94/H93)^(('Summary, PPI''s'!$H94+'Summary, PPI''s'!$H93)/('Predicted PPIs'!U94+'Predicted PPIs'!U93)))*IF(I$60=".",1,(I94/I93)^(('Summary, PPI''s'!$I94+'Summary, PPI''s'!$I93)/('Predicted PPIs'!U94+'Predicted PPIs'!U93)))*IF(J$60=".",1,(J94/J93)^(('Summary, PPI''s'!$J94+'Summary, PPI''s'!$J93)/('Predicted PPIs'!U94+'Predicted PPIs'!U93)))*IF(K$60=".",1,(K94/K93)^(('Summary, PPI''s'!$K94+'Summary, PPI''s'!$K93)/('Predicted PPIs'!U94+'Predicted PPIs'!U93)))*IF(L$60=".",1,(L94/L93)^(('Summary, PPI''s'!$L94+'Summary, PPI''s'!$L93)/('Predicted PPIs'!U94+'Predicted PPIs'!U93)))*IF(M$60=".",1,(M94/M93)^(('Summary, PPI''s'!$M94+'Summary, PPI''s'!$M93)/('Predicted PPIs'!U94+'Predicted PPIs'!U93)))*IF(B$60=".",1,(B94/B93)^(('Summary, PPI''s'!$B94+'Summary, PPI''s'!$B93)/('Predicted PPIs'!U94+'Predicted PPIs'!U93)))*IF(C$60=".",1,(C94/C93)^(('Summary, PPI''s'!$C94+'Summary, PPI''s'!$C93)/('Predicted PPIs'!U94+'Predicted PPIs'!U93)))*IF(D$60=".",1,(D94/D93)^(('Summary, PPI''s'!$D94+'Summary, PPI''s'!$D93)/('Predicted PPIs'!U94+'Predicted PPIs'!U93)))*IF(N$60=".",1,(N94/N93)^(('Summary, PPI''s'!$N94+'Summary, PPI''s'!$N93)/('Predicted PPIs'!U94+'Predicted PPIs'!U93)))*IF(O$60=".",1,(O94/O93)^(('Summary, PPI''s'!$O94+'Summary, PPI''s'!$O93)/('Predicted PPIs'!U94+'Predicted PPIs'!U93)))*IF(P$60=".",1,(P94/P93)^(('Summary, PPI''s'!$P94+'Summary, PPI''s'!$P93)/('Predicted PPIs'!U94+'Predicted PPIs'!U93)))</f>
        <v>#VALUE!</v>
      </c>
      <c r="AD94" s="4" t="e">
        <f>AD93*IF(E$73=".", 1, (E94/E93)^(('Summary, PPI''s'!$E94+'Summary, PPI''s'!$E93)/('Predicted PPIs'!V94+'Predicted PPIs'!V93)))*IF(F$73=".", 1, (F94/F93)^(('Summary, PPI''s'!$F94+'Summary, PPI''s'!$F93)/('Predicted PPIs'!V94+'Predicted PPIs'!V93)))*IF(G$73=".", 1, (G94/G93)^(('Summary, PPI''s'!$G94+'Summary, PPI''s'!$G93)/('Predicted PPIs'!V94+'Predicted PPIs'!V93)))*IF(H$73=".", 1, (H94/H93)^(('Summary, PPI''s'!$H94+'Summary, PPI''s'!$H93)/('Predicted PPIs'!V94+'Predicted PPIs'!V93)))*IF(I$73=".", 1, (I94/I93)^(('Summary, PPI''s'!$I94+'Summary, PPI''s'!$I93)/('Predicted PPIs'!V94+'Predicted PPIs'!V93)))*IF(J$73=".", 1, (J94/J93)^(('Summary, PPI''s'!$J94+'Summary, PPI''s'!$J93)/('Predicted PPIs'!V94+'Predicted PPIs'!V93)))*IF(K$73=".", 1, (K94/K93)^(('Summary, PPI''s'!$K94+'Summary, PPI''s'!$K93)/('Predicted PPIs'!V94+'Predicted PPIs'!V93)))*IF(L$73=".", 1, (L94/L93)^(('Summary, PPI''s'!$L94+'Summary, PPI''s'!$L93)/('Predicted PPIs'!V94+'Predicted PPIs'!V93)))*IF(M$73=".", 1, (M94/M93)^(('Summary, PPI''s'!$M94+'Summary, PPI''s'!$M93)/('Predicted PPIs'!V94+'Predicted PPIs'!V93)))*IF(B$73=".", 1, (B94/B93)^(('Summary, PPI''s'!$B94+'Summary, PPI''s'!$B93)/('Predicted PPIs'!V94+'Predicted PPIs'!V93)))*IF(C$73=".", 1, (C94/C93)^(('Summary, PPI''s'!$C94+'Summary, PPI''s'!$C93)/('Predicted PPIs'!V94+'Predicted PPIs'!V93)))*IF(D$73=".", 1, (D94/D93)^(('Summary, PPI''s'!$D94+'Summary, PPI''s'!$D93)/('Predicted PPIs'!V94+'Predicted PPIs'!V93)))*IF(N$73=".", 1, (N94/N93)^(('Summary, PPI''s'!$N94+'Summary, PPI''s'!$N93)/('Predicted PPIs'!V94+'Predicted PPIs'!V93)))*IF(O$73=".", 1, (O94/O93)^(('Summary, PPI''s'!$O94+'Summary, PPI''s'!$O93)/('Predicted PPIs'!V94+'Predicted PPIs'!V93)))*IF(P$73=".", 1, (P94/P93)^(('Summary, PPI''s'!$P94+'Summary, PPI''s'!$P93)/('Predicted PPIs'!V94+'Predicted PPIs'!V93)))</f>
        <v>#VALUE!</v>
      </c>
      <c r="AE94" s="4">
        <f>AE93*IF(E$94=".", 1, (E94/E93)^(('Summary, PPI''s'!$E94+'Summary, PPI''s'!$E93)/('Predicted PPIs'!W94+'Predicted PPIs'!W93)))*IF(F$94=".", 1, (F94/F93)^(('Summary, PPI''s'!$F94+'Summary, PPI''s'!$F93)/('Predicted PPIs'!W94+'Predicted PPIs'!W93)))*IF(G$94=".", 1, (G94/G93)^(('Summary, PPI''s'!$G94+'Summary, PPI''s'!$G93)/('Predicted PPIs'!W94+'Predicted PPIs'!W93)))*IF(H$94=".", 1, (H94/H93)^(('Summary, PPI''s'!$H94+'Summary, PPI''s'!$H93)/('Predicted PPIs'!W94+'Predicted PPIs'!W93)))*IF(I$94=".", 1, (I94/I93)^(('Summary, PPI''s'!$I94+'Summary, PPI''s'!$I93)/('Predicted PPIs'!W94+'Predicted PPIs'!W93)))*IF(J$94=".", 1, (J94/J93)^(('Summary, PPI''s'!$J94+'Summary, PPI''s'!$J93)/('Predicted PPIs'!W94+'Predicted PPIs'!W93)))*IF(K$94=".", 1, (K94/K93)^(('Summary, PPI''s'!$K94+'Summary, PPI''s'!$K93)/('Predicted PPIs'!W94+'Predicted PPIs'!W93)))*IF(L$94=".", 1, (L94/L93)^(('Summary, PPI''s'!$L94+'Summary, PPI''s'!$L93)/('Predicted PPIs'!W94+'Predicted PPIs'!W93)))*IF(M$94=".", 1, (M94/M93)^(('Summary, PPI''s'!$M94+'Summary, PPI''s'!$M93)/('Predicted PPIs'!W94+'Predicted PPIs'!W93)))*IF(B$94=".", 1, (B94/B93)^(('Summary, PPI''s'!$B94+'Summary, PPI''s'!$B93)/('Predicted PPIs'!W94+'Predicted PPIs'!W93)))*IF(C$94=".", 1, (C94/C93)^(('Summary, PPI''s'!$C94+'Summary, PPI''s'!$C93)/('Predicted PPIs'!W94+'Predicted PPIs'!W93)))*IF(D$94=".", 1, (D94/D93)^(('Summary, PPI''s'!$D94+'Summary, PPI''s'!$D93)/('Predicted PPIs'!W94+'Predicted PPIs'!W93)))*IF(N$94=".", 1, (N94/N93)^(('Summary, PPI''s'!$N94+'Summary, PPI''s'!$N93)/('Predicted PPIs'!W94+'Predicted PPIs'!W93)))*IF(O$94=".", 1, (O94/O93)^(('Summary, PPI''s'!$O94+'Summary, PPI''s'!$O93)/('Predicted PPIs'!W94+'Predicted PPIs'!W93)))*IF(P$94=".", 1, (P94/P93)^(('Summary, PPI''s'!$P94+'Summary, PPI''s'!$P93)/('Predicted PPIs'!W94+'Predicted PPIs'!W93)))</f>
        <v>4.8908976875367793</v>
      </c>
      <c r="AF94" s="4">
        <f>AF93*IF(E$123=".", 1, (E94/E93)^(('Summary, PPI''s'!$E94+'Summary, PPI''s'!$E93)/('Predicted PPIs'!X94+'Predicted PPIs'!X93)))*IF(F$123=".", 1, (F94/F93)^(('Summary, PPI''s'!$F94+'Summary, PPI''s'!$F93)/('Predicted PPIs'!X94+'Predicted PPIs'!X93)))*IF(G$123=".", 1, (G94/G93)^(('Summary, PPI''s'!$G94+'Summary, PPI''s'!$G93)/('Predicted PPIs'!X94+'Predicted PPIs'!X93)))*IF(H$123=".", 1, (H94/H93)^(('Summary, PPI''s'!$H94+'Summary, PPI''s'!$H93)/('Predicted PPIs'!X94+'Predicted PPIs'!X93)))*IF(I$123=".", 1, (I94/I93)^(('Summary, PPI''s'!$I94+'Summary, PPI''s'!$I93)/('Predicted PPIs'!X94+'Predicted PPIs'!X93)))*IF(J$123=".", 1, (J94/J93)^(('Summary, PPI''s'!$J94+'Summary, PPI''s'!$J93)/('Predicted PPIs'!X94+'Predicted PPIs'!X93)))*IF(K$123=".", 1, (K94/K93)^(('Summary, PPI''s'!$K94+'Summary, PPI''s'!$K93)/('Predicted PPIs'!X94+'Predicted PPIs'!X93)))*IF(L$123=".", 1, (L94/L93)^(('Summary, PPI''s'!$L94+'Summary, PPI''s'!$L93)/('Predicted PPIs'!X94+'Predicted PPIs'!X93)))*IF(M$123=".", 1, (M94/M93)^(('Summary, PPI''s'!$M94+'Summary, PPI''s'!$M93)/('Predicted PPIs'!X94+'Predicted PPIs'!X93)))*IF(B$123=".", 1, (B94/B93)^(('Summary, PPI''s'!$B94+'Summary, PPI''s'!$B93)/('Predicted PPIs'!X94+'Predicted PPIs'!X93)))*IF(C$123=".", 1, (C94/C93)^(('Summary, PPI''s'!$C94+'Summary, PPI''s'!$C93)/('Predicted PPIs'!X94+'Predicted PPIs'!X93)))*IF(D$123=".", 1, (D94/D93)^(('Summary, PPI''s'!$D94+'Summary, PPI''s'!$D93)/('Predicted PPIs'!X94+'Predicted PPIs'!X93)))*IF(N$123=".", 1, (N94/N93)^(('Summary, PPI''s'!$N94+'Summary, PPI''s'!$N93)/('Predicted PPIs'!X94+'Predicted PPIs'!X93)))*IF(O$123=".", 1, (O94/O93)^(('Summary, PPI''s'!$O94+'Summary, PPI''s'!$O93)/('Predicted PPIs'!X94+'Predicted PPIs'!X93)))*IF(P$123=".", 1, (P94/P93)^(('Summary, PPI''s'!$P94+'Summary, PPI''s'!$P93)/('Predicted PPIs'!X94+'Predicted PPIs'!X93)))</f>
        <v>4.6836069394737647</v>
      </c>
      <c r="AH94" s="13">
        <f t="shared" si="152"/>
        <v>6.6884573023647409</v>
      </c>
      <c r="AJ94" s="4">
        <v>77.400000000000006</v>
      </c>
      <c r="AK94" s="4">
        <v>-1.7130000000000001</v>
      </c>
      <c r="AL94" s="4">
        <v>-5.8680000000000003</v>
      </c>
      <c r="AM94" s="4">
        <v>-0.91300000000000003</v>
      </c>
      <c r="AN94" s="4">
        <f t="shared" si="176"/>
        <v>103.21593576281658</v>
      </c>
      <c r="AO94" s="4">
        <v>15.8</v>
      </c>
      <c r="AP94" s="4">
        <f t="shared" si="177"/>
        <v>-1.4617112299465242</v>
      </c>
      <c r="AQ94" s="4">
        <f t="shared" si="178"/>
        <v>-2.7633101604278072</v>
      </c>
      <c r="AR94" s="4">
        <f t="shared" si="148"/>
        <v>-1.887528583759603E-4</v>
      </c>
      <c r="AS94" s="4">
        <v>-0.38800000000000001</v>
      </c>
      <c r="AT94" s="4">
        <v>9.2959999999999994</v>
      </c>
      <c r="AU94" s="4">
        <v>15.307</v>
      </c>
      <c r="AV94" s="4">
        <v>11.904999999999999</v>
      </c>
      <c r="AW94" s="4">
        <v>6.657</v>
      </c>
      <c r="AX94" s="4">
        <f t="shared" si="179"/>
        <v>8.8547153378162005</v>
      </c>
      <c r="AY94" s="4">
        <v>10.412000000000001</v>
      </c>
      <c r="AZ94" s="4">
        <v>3.5590000000000002</v>
      </c>
      <c r="BA94" s="4">
        <v>9.641</v>
      </c>
      <c r="BB94" s="4">
        <f t="shared" si="150"/>
        <v>55.144143483322765</v>
      </c>
      <c r="BC94" s="4">
        <v>9.0370000000000008</v>
      </c>
      <c r="BD94" s="5">
        <f>'[2]Ordinary Experience'!$AD$332</f>
        <v>207</v>
      </c>
      <c r="BE94" s="5">
        <f>'[2]Ordinary Experience'!$AC$332</f>
        <v>2.09820105612964</v>
      </c>
      <c r="BG94" s="4">
        <f t="shared" si="172"/>
        <v>8.5032158060257714</v>
      </c>
      <c r="BI94" s="4">
        <f>BI$13*'[2]Ordinary Experience'!$D$332/'[2]Ordinary Experience'!$D$413</f>
        <v>121091155.02916037</v>
      </c>
      <c r="BJ94" s="4">
        <f>'[2]Ordinary Experience'!$E$332</f>
        <v>29.631614117570692</v>
      </c>
      <c r="BL94" s="4">
        <f t="shared" si="151"/>
        <v>25.17844579711354</v>
      </c>
      <c r="BM94" s="4">
        <f t="shared" si="153"/>
        <v>2.5460774101677686E-2</v>
      </c>
      <c r="BO94" s="4" t="str">
        <f>IF(OR('Summary, hourly ad costs'!R94=-9999,'Summary, PPI''s'!R94="."),".",(('Summary, hourly ad costs'!B94/'Summary, hourly ad costs'!R94)*100/('Summary, hourly ad costs'!B$11/'Summary, hourly ad costs'!R$11))/('Summary, PPI''s'!R94))</f>
        <v>.</v>
      </c>
      <c r="BP94" s="4" t="str">
        <f>IF(OR('Summary, hourly ad costs'!S94=-9999,'Summary, PPI''s'!S94="."),".",(('Summary, hourly ad costs'!C94/'Summary, hourly ad costs'!S94)*100/('Summary, hourly ad costs'!C$11/'Summary, hourly ad costs'!S$11))/('Summary, PPI''s'!S94))</f>
        <v>.</v>
      </c>
      <c r="BQ94" s="4" t="str">
        <f>IF(OR('Summary, hourly ad costs'!T94=-9999,'Summary, PPI''s'!T94="."),".",(('Summary, hourly ad costs'!D94/'Summary, hourly ad costs'!T94)*100/('Summary, hourly ad costs'!D$11/'Summary, hourly ad costs'!T$11))/('Summary, PPI''s'!T94))</f>
        <v>.</v>
      </c>
      <c r="BR94" s="4" t="str">
        <f>IF(OR('Summary, hourly ad costs'!U94=-9999,'Summary, PPI''s'!U94="."),".",(('Summary, hourly ad costs'!E94/'Summary, hourly ad costs'!U94)*100/('Summary, hourly ad costs'!E$11/'Summary, hourly ad costs'!U$11))/('Summary, PPI''s'!U94))</f>
        <v>.</v>
      </c>
      <c r="BS94" s="4" t="str">
        <f>IF(OR('Summary, hourly ad costs'!V94=-9999,'Summary, PPI''s'!V94="."),".",(('Summary, hourly ad costs'!F94/'Summary, hourly ad costs'!V94)*100/('Summary, hourly ad costs'!F$11/'Summary, hourly ad costs'!V$11))/('Summary, PPI''s'!V94))</f>
        <v>.</v>
      </c>
      <c r="BT94" s="4" t="str">
        <f>IF(OR('Summary, hourly ad costs'!W94=-9999,'Summary, PPI''s'!W94="."),".",(('Summary, hourly ad costs'!G94/'Summary, hourly ad costs'!W94)*100/('Summary, hourly ad costs'!G$11/'Summary, hourly ad costs'!W$11))/('Summary, PPI''s'!W94))</f>
        <v>.</v>
      </c>
      <c r="BU94" s="4" t="str">
        <f>IF(OR('Summary, hourly ad costs'!X94=-9999,'Summary, PPI''s'!X94="."),".",(('Summary, hourly ad costs'!H94/'Summary, hourly ad costs'!X94)*100/('Summary, hourly ad costs'!H$11/'Summary, hourly ad costs'!X$11))/('Summary, PPI''s'!X94))</f>
        <v>.</v>
      </c>
      <c r="BV94" s="4" t="str">
        <f>IF(OR('Summary, hourly ad costs'!Y94=-9999,'Summary, PPI''s'!Y94="."),".",(('Summary, hourly ad costs'!I94/'Summary, hourly ad costs'!Y94)*100/('Summary, hourly ad costs'!I$11/'Summary, hourly ad costs'!Y$11))/('Summary, PPI''s'!Y94))</f>
        <v>.</v>
      </c>
      <c r="BW94" s="4" t="str">
        <f>IF(OR('Summary, hourly ad costs'!Z94=-9999,'Summary, PPI''s'!Z94="."),".",(('Summary, hourly ad costs'!J94/'Summary, hourly ad costs'!Z94)*100/('Summary, hourly ad costs'!J$11/'Summary, hourly ad costs'!Z$11))/('Summary, PPI''s'!Z94))</f>
        <v>.</v>
      </c>
      <c r="BX94" s="4" t="str">
        <f>IF(OR('Summary, hourly ad costs'!AA94=-9999,'Summary, PPI''s'!AA94="."),".",(('Summary, hourly ad costs'!K94/'Summary, hourly ad costs'!AA94)*100/('Summary, hourly ad costs'!K$11/'Summary, hourly ad costs'!AA$11))/('Summary, PPI''s'!AA94))</f>
        <v>.</v>
      </c>
      <c r="BY94" s="4" t="str">
        <f>IF(OR('Summary, hourly ad costs'!AB94=-9999,'Summary, PPI''s'!AB94="."),".",(('Summary, hourly ad costs'!L94/'Summary, hourly ad costs'!AB94)*100/('Summary, hourly ad costs'!L$11/'Summary, hourly ad costs'!AB$11))/('Summary, PPI''s'!AB94))</f>
        <v>.</v>
      </c>
      <c r="BZ94" s="4" t="str">
        <f>IF(OR('Summary, hourly ad costs'!AC94=-9999,'Summary, PPI''s'!AC94="."),".",(('Summary, hourly ad costs'!M94/'Summary, hourly ad costs'!AC94)*100/('Summary, hourly ad costs'!M$11/'Summary, hourly ad costs'!AC$11))/('Summary, PPI''s'!AC94))</f>
        <v>.</v>
      </c>
      <c r="CA94" s="4" t="str">
        <f>IF(OR('Summary, hourly ad costs'!AD94=-9999,'Summary, PPI''s'!AD94="."),".",(('Summary, hourly ad costs'!N94/'Summary, hourly ad costs'!AD94)*100/('Summary, hourly ad costs'!N$11/'Summary, hourly ad costs'!AD$11))/('Summary, PPI''s'!AD94))</f>
        <v>.</v>
      </c>
      <c r="CB94" s="4" t="str">
        <f>IF(OR('Summary, hourly ad costs'!AE94=-9999,'Summary, PPI''s'!AE94="."),".",(('Summary, hourly ad costs'!O94/'Summary, hourly ad costs'!AE94)*100/('Summary, hourly ad costs'!O$11/'Summary, hourly ad costs'!AE$11))/('Summary, PPI''s'!AE94))</f>
        <v>.</v>
      </c>
      <c r="CC94" s="4" t="str">
        <f>IF(OR('Summary, hourly ad costs'!AF94=-9999,'Summary, PPI''s'!AF94="."),".",(('Summary, hourly ad costs'!P94/'Summary, hourly ad costs'!AF94)*100/('Summary, hourly ad costs'!P$11/'Summary, hourly ad costs'!AF$11))/('Summary, PPI''s'!AF94))</f>
        <v>.</v>
      </c>
      <c r="CE94" s="4">
        <f t="shared" si="183"/>
        <v>-7.8304768746762683E-3</v>
      </c>
      <c r="CF94" s="4" t="str">
        <f t="shared" si="184"/>
        <v>.</v>
      </c>
      <c r="CG94" s="4" t="str">
        <f t="shared" si="185"/>
        <v>.</v>
      </c>
      <c r="CH94" s="4">
        <f t="shared" si="145"/>
        <v>1.1681047631385735E-2</v>
      </c>
      <c r="CI94" s="4">
        <f t="shared" si="145"/>
        <v>1.4970566723036965E-2</v>
      </c>
      <c r="CJ94" s="4" t="str">
        <f t="shared" si="147"/>
        <v>.</v>
      </c>
      <c r="CK94" s="4">
        <f t="shared" si="149"/>
        <v>3.0965610335763434E-3</v>
      </c>
      <c r="CL94" s="4">
        <f t="shared" si="130"/>
        <v>1.018524054043031E-2</v>
      </c>
      <c r="CM94" s="4">
        <f t="shared" si="130"/>
        <v>2.0448050554051318E-2</v>
      </c>
      <c r="CN94" s="4">
        <f t="shared" si="89"/>
        <v>-4.1202560746320949E-3</v>
      </c>
      <c r="CO94" s="4">
        <f t="shared" si="180"/>
        <v>0.16142957117858089</v>
      </c>
      <c r="CP94" s="4">
        <f t="shared" si="180"/>
        <v>0.12347079661433714</v>
      </c>
      <c r="CQ94" s="4" t="str">
        <f t="shared" si="173"/>
        <v>.</v>
      </c>
      <c r="CR94" s="4" t="str">
        <f t="shared" si="174"/>
        <v>.</v>
      </c>
      <c r="CS94" s="4" t="str">
        <f t="shared" si="175"/>
        <v>.</v>
      </c>
      <c r="CU94" s="5">
        <f>IF(CU93=".", ".", IF('Summary, PPI''s'!R94=".",IF(OR('Summary, hourly ad costs'!R94=-9999,'Summary, hourly ad costs'!R94=0), ".", 'Predicted PPIs'!CU93*('Summary, hourly ad costs'!B94/'Summary, hourly ad costs'!R94)/('Summary, hourly ad costs'!B93/'Summary, hourly ad costs'!R93)/(1-CE93)), 'Summary, PPI''s'!R94))</f>
        <v>31.207310538033013</v>
      </c>
      <c r="CV94" s="5" t="str">
        <f>IF(CV93=".", ".", IF('Summary, PPI''s'!S94=".",IF(OR('Summary, hourly ad costs'!S94=-9999,'Summary, hourly ad costs'!S94=0), ".", 'Predicted PPIs'!CV93*('Summary, hourly ad costs'!C94/'Summary, hourly ad costs'!S94)/('Summary, hourly ad costs'!C93/'Summary, hourly ad costs'!S93)/(1-CF93)), 'Summary, PPI''s'!S94))</f>
        <v>.</v>
      </c>
      <c r="CW94" s="5" t="str">
        <f>IF(CW93=".", ".", IF('Summary, PPI''s'!T94=".",IF(OR('Summary, hourly ad costs'!T94=-9999,'Summary, hourly ad costs'!T94=0), ".", 'Predicted PPIs'!CW93*('Summary, hourly ad costs'!D94/'Summary, hourly ad costs'!T94)/('Summary, hourly ad costs'!D93/'Summary, hourly ad costs'!T93)/(1-CG93)), 'Summary, PPI''s'!T94))</f>
        <v>.</v>
      </c>
      <c r="CX94" s="5">
        <f>IF(CX93=".", ".", IF('Summary, PPI''s'!U94=".",IF(OR('Summary, hourly ad costs'!U94=-9999,'Summary, hourly ad costs'!U94=0), ".", 'Predicted PPIs'!CX93*('Summary, hourly ad costs'!E94/'Summary, hourly ad costs'!U94)/('Summary, hourly ad costs'!E93/'Summary, hourly ad costs'!U93)/(1-CH93)), 'Summary, PPI''s'!U94))</f>
        <v>3.162324738348373</v>
      </c>
      <c r="CY94" s="5">
        <f>IF(CY93=".", ".", IF('Summary, PPI''s'!V94=".",IF(OR('Summary, hourly ad costs'!V94=-9999,'Summary, hourly ad costs'!V94=0), ".", 'Predicted PPIs'!CY93*('Summary, hourly ad costs'!F94/'Summary, hourly ad costs'!V94)/('Summary, hourly ad costs'!F93/'Summary, hourly ad costs'!V93)/(1-CI93)), 'Summary, PPI''s'!V94))</f>
        <v>5.2769144658495764</v>
      </c>
      <c r="CZ94" s="5" t="str">
        <f>IF(CZ93=".", ".", IF('Summary, PPI''s'!W94=".",IF(OR('Summary, hourly ad costs'!W94=-9999,'Summary, hourly ad costs'!W94=0), ".", 'Predicted PPIs'!CZ93*('Summary, hourly ad costs'!G94/'Summary, hourly ad costs'!W94)/('Summary, hourly ad costs'!G93/'Summary, hourly ad costs'!W93)/(1-CJ93)), 'Summary, PPI''s'!W94))</f>
        <v>.</v>
      </c>
      <c r="DA94" s="5">
        <f>IF(DA93=".", ".", IF('Summary, PPI''s'!X94=".",IF(OR('Summary, hourly ad costs'!X94=-9999,'Summary, hourly ad costs'!X94=0), ".", 'Predicted PPIs'!DA93*('Summary, hourly ad costs'!H94/'Summary, hourly ad costs'!X94)/('Summary, hourly ad costs'!H93/'Summary, hourly ad costs'!X93)/(1-CK93)), 'Summary, PPI''s'!X94))</f>
        <v>2.184499070808934</v>
      </c>
      <c r="DB94" s="5">
        <f>IF(DB93=".", ".", IF('Summary, PPI''s'!Y94=".",IF(OR('Summary, hourly ad costs'!Y94=-9999,'Summary, hourly ad costs'!Y94=0), ".", 'Predicted PPIs'!DB93*('Summary, hourly ad costs'!I94/'Summary, hourly ad costs'!Y94)/('Summary, hourly ad costs'!I93/'Summary, hourly ad costs'!Y93)/(1-CL93)), 'Summary, PPI''s'!Y94))</f>
        <v>3.5128683554693438</v>
      </c>
      <c r="DC94" s="5" t="str">
        <f>IF(DC93=".", ".", IF('Summary, PPI''s'!Z94=".",IF(OR('Summary, hourly ad costs'!Z94=-9999,'Summary, hourly ad costs'!Z94=0), ".", 'Predicted PPIs'!DC93*('Summary, hourly ad costs'!J94/'Summary, hourly ad costs'!Z94)/('Summary, hourly ad costs'!J93/'Summary, hourly ad costs'!Z93)/(1-CM93)), 'Summary, PPI''s'!Z94))</f>
        <v>.</v>
      </c>
      <c r="DD94" s="5" t="str">
        <f>IF(DD93=".", ".", IF('Summary, PPI''s'!AA94=".",IF(OR('Summary, hourly ad costs'!AA94=-9999,'Summary, hourly ad costs'!AA94=0), ".", 'Predicted PPIs'!DD93*('Summary, hourly ad costs'!K94/'Summary, hourly ad costs'!AA94)/('Summary, hourly ad costs'!K93/'Summary, hourly ad costs'!AA93)/(1-CN93)), 'Summary, PPI''s'!AA94))</f>
        <v>.</v>
      </c>
      <c r="DE94" s="5" t="str">
        <f>IF(DE93=".", ".", IF('Summary, PPI''s'!AB94=".",IF(OR('Summary, hourly ad costs'!AB94=-9999,'Summary, hourly ad costs'!AB94=0), ".", 'Predicted PPIs'!DE93*('Summary, hourly ad costs'!L94/'Summary, hourly ad costs'!AB94)/('Summary, hourly ad costs'!L93/'Summary, hourly ad costs'!AB93)/(1-CO93)), 'Summary, PPI''s'!AB94))</f>
        <v>.</v>
      </c>
      <c r="DF94" s="5" t="str">
        <f>IF(DF93=".", ".", IF('Summary, PPI''s'!AC94=".",IF(OR('Summary, hourly ad costs'!AC94=-9999,'Summary, hourly ad costs'!AC94=0), ".", 'Predicted PPIs'!DF93*('Summary, hourly ad costs'!M94/'Summary, hourly ad costs'!AC94)/('Summary, hourly ad costs'!M93/'Summary, hourly ad costs'!AC93)/(1-CP93)), 'Summary, PPI''s'!AC94))</f>
        <v>.</v>
      </c>
      <c r="DG94" s="5" t="str">
        <f>IF(DG93=".", ".", IF('Summary, PPI''s'!AD94=".",IF(OR('Summary, hourly ad costs'!AD94=-9999,'Summary, hourly ad costs'!AD94=0), ".", 'Predicted PPIs'!DG93*('Summary, hourly ad costs'!N94/'Summary, hourly ad costs'!AD94)/('Summary, hourly ad costs'!N93/'Summary, hourly ad costs'!AD93)/(1-CQ93)), 'Summary, PPI''s'!AD94))</f>
        <v>.</v>
      </c>
      <c r="DH94" s="5" t="str">
        <f>IF(DH93=".", ".", IF('Summary, PPI''s'!AE94=".",IF(OR('Summary, hourly ad costs'!AE94=-9999,'Summary, hourly ad costs'!AE94=0), ".", 'Predicted PPIs'!DH93*('Summary, hourly ad costs'!O94/'Summary, hourly ad costs'!AE94)/('Summary, hourly ad costs'!O93/'Summary, hourly ad costs'!AE93)/(1-CR93)), 'Summary, PPI''s'!AE94))</f>
        <v>.</v>
      </c>
      <c r="DI94" s="5" t="str">
        <f>IF(DI93=".", ".", IF('Summary, PPI''s'!AF94=".",IF(OR('Summary, hourly ad costs'!AF94=-9999,'Summary, hourly ad costs'!AF94=0), ".", 'Predicted PPIs'!DI93*('Summary, hourly ad costs'!P94/'Summary, hourly ad costs'!AF94)/('Summary, hourly ad costs'!P93/'Summary, hourly ad costs'!AF93)/(1-CS93)), 'Summary, PPI''s'!AF94))</f>
        <v>.</v>
      </c>
      <c r="DK94" s="4">
        <v>2.6829999999999998</v>
      </c>
      <c r="DM94" s="5">
        <f t="shared" si="186"/>
        <v>-9.9875131902309788E-2</v>
      </c>
      <c r="DN94" s="4">
        <f t="shared" si="187"/>
        <v>-2.4578514464213198E-2</v>
      </c>
      <c r="DO94" s="4">
        <f t="shared" si="181"/>
        <v>-2.2668777990748987E-2</v>
      </c>
      <c r="DP94" s="5">
        <f t="shared" si="188"/>
        <v>-2.3079722675253933E-2</v>
      </c>
      <c r="DQ94" s="5">
        <f t="shared" si="189"/>
        <v>-6.048466868051261E-2</v>
      </c>
      <c r="DR94" s="4">
        <f t="shared" si="146"/>
        <v>-7.7643684852146001E-3</v>
      </c>
      <c r="DS94" s="5">
        <f t="shared" ref="DS94:DS122" si="190">IF(OR(DA94=".", DA95="."), ".",(DA94/$DK94)/(DA95/$DK95)-1)</f>
        <v>-3.08430132593146E-2</v>
      </c>
      <c r="DT94" s="4">
        <f>_xlfn.FORECAST.LINEAR($BM94,DT$4:DT$93,$BM$4:$BM$93)</f>
        <v>-7.7531310234918681E-3</v>
      </c>
      <c r="DU94" s="4">
        <f t="shared" si="171"/>
        <v>-2.0959090849769518E-2</v>
      </c>
      <c r="DV94" s="4">
        <f t="shared" si="131"/>
        <v>-9.7914077819914085E-5</v>
      </c>
      <c r="DW94" s="4">
        <f t="shared" si="182"/>
        <v>-9.1879843436920156E-2</v>
      </c>
      <c r="DX94" s="4">
        <f t="shared" si="182"/>
        <v>-5.4180594425878303E-3</v>
      </c>
      <c r="DY94" s="4">
        <f t="shared" si="108"/>
        <v>-1.690225578150718E-2</v>
      </c>
      <c r="DZ94" s="4">
        <f t="shared" si="132"/>
        <v>-1.0230416234318028E-2</v>
      </c>
      <c r="EA94" s="4">
        <f t="shared" si="109"/>
        <v>-9.9469749604058581E-3</v>
      </c>
      <c r="EC94" s="1">
        <f t="shared" si="154"/>
        <v>31.207310538033013</v>
      </c>
      <c r="ED94" s="1">
        <f t="shared" si="155"/>
        <v>3.9661869500060773</v>
      </c>
      <c r="EE94" s="1">
        <f t="shared" si="156"/>
        <v>2.218677789874556</v>
      </c>
      <c r="EF94" s="1">
        <f t="shared" si="157"/>
        <v>3.162324738348373</v>
      </c>
      <c r="EG94" s="1">
        <f t="shared" si="158"/>
        <v>5.2769144658495764</v>
      </c>
      <c r="EH94" s="1">
        <f t="shared" si="159"/>
        <v>2.6255710341541065</v>
      </c>
      <c r="EI94" s="1">
        <f t="shared" si="160"/>
        <v>2.184499070808934</v>
      </c>
      <c r="EJ94" s="1">
        <f t="shared" si="161"/>
        <v>3.5128683554693438</v>
      </c>
      <c r="EK94" s="1">
        <f t="shared" si="162"/>
        <v>7.8468073039856643</v>
      </c>
      <c r="EL94" s="1">
        <f t="shared" si="163"/>
        <v>2.2053387777497049</v>
      </c>
      <c r="EM94" s="1">
        <f t="shared" si="164"/>
        <v>0.20354176192235734</v>
      </c>
      <c r="EN94" s="1">
        <f t="shared" si="165"/>
        <v>1.7857152630726942</v>
      </c>
      <c r="EO94" s="1">
        <f t="shared" si="166"/>
        <v>1.55406350184132</v>
      </c>
      <c r="EP94" s="1">
        <f t="shared" si="167"/>
        <v>2.5577755116967786</v>
      </c>
      <c r="EQ94" s="1">
        <f t="shared" si="168"/>
        <v>2.0124321495911408</v>
      </c>
      <c r="ES94" s="1">
        <f>IF(EF$26=".", 0, 'Summary, PPI''s'!E94)+IF(EG$26=".", 0, 'Summary, PPI''s'!F94)+IF(EH$26=".", 0, 'Summary, PPI''s'!G94)+IF(EI$26=".", 0, 'Summary, PPI''s'!H94)+IF(EJ$26=".", 0, 'Summary, PPI''s'!I94)+IF(EK$26=".", 0, 'Summary, PPI''s'!J94)+IF(EL$26=".", 0, 'Summary, PPI''s'!K94)+IF(EM$26=".", 0, 'Summary, PPI''s'!L94)+IF(EN$26=".", 0, 'Summary, PPI''s'!M94)+IF(EC$26=".", 0, 'Summary, PPI''s'!B94)+IF(ED$26=".", 0, 'Summary, PPI''s'!C94)+IF(EE$26=".", 0, 'Summary, PPI''s'!D94)+IF(EO$26=".", 0, 'Summary, PPI''s'!N94)+IF(EP$26=".", 0, 'Summary, PPI''s'!O94)+IF(EQ$26=".", 0, 'Summary, PPI''s'!P94)</f>
        <v>2575735.6443451997</v>
      </c>
      <c r="ET94" s="1">
        <f>'Summary, hourly ad costs'!E94+'Summary, hourly ad costs'!F94+'Summary, hourly ad costs'!H94+'Summary, hourly ad costs'!I94+'Summary, hourly ad costs'!J94+'Summary, hourly ad costs'!K94+'Summary, hourly ad costs'!L94+'Summary, hourly ad costs'!M94+'Summary, hourly ad costs'!B94</f>
        <v>1664429.4663468925</v>
      </c>
      <c r="EV94" s="13">
        <f>EV93*IF(EF$26=".", 1, (EF94/EF93)^(('Summary, PPI''s'!$E94+'Summary, PPI''s'!$E93)/('Predicted PPIs'!ES94+'Predicted PPIs'!ES93)))*IF(EG$26=".", 1, (EG94/EG93)^(('Summary, PPI''s'!$F94+'Summary, PPI''s'!$F93)/('Predicted PPIs'!ES94+'Predicted PPIs'!ES93)))*IF(EH$26=".", 1, (EH94/EH93)^(('Summary, PPI''s'!$G94+'Summary, PPI''s'!$G93)/('Predicted PPIs'!ES94+'Predicted PPIs'!ES93)))*IF(EI$26=".", 1, (EI94/EI93)^(('Summary, PPI''s'!$H94+'Summary, PPI''s'!$H93)/('Predicted PPIs'!ES94+'Predicted PPIs'!ES93)))*IF(EJ$26=".", 1, (EJ94/EJ93)^(('Summary, PPI''s'!$I94+'Summary, PPI''s'!$I93)/('Predicted PPIs'!ES94+'Predicted PPIs'!ES93)))*IF(EK$26=".", 1, (EK94/EK93)^(('Summary, PPI''s'!$J94+'Summary, PPI''s'!$J93)/('Predicted PPIs'!ES94+'Predicted PPIs'!ES93)))*IF(EL$26=".", 1, (EL94/EL93)^(('Summary, PPI''s'!$K94+'Summary, PPI''s'!$K93)/('Predicted PPIs'!ES94+'Predicted PPIs'!ES93)))*IF(EM$26=".", 1, (EM94/EM93)^(('Summary, PPI''s'!$L94+'Summary, PPI''s'!$L93)/('Predicted PPIs'!ES94+'Predicted PPIs'!ES93)))*IF(EN$26=".", 1, (EN94/EN93)^(('Summary, PPI''s'!$M94+'Summary, PPI''s'!$M93)/('Predicted PPIs'!ES94+'Predicted PPIs'!ES93)))*IF(EC$26=".", 1, (EC94/EC93)^(('Summary, PPI''s'!$B94+'Summary, PPI''s'!$B93)/('Predicted PPIs'!ES94+'Predicted PPIs'!ES93)))*IF(ED$26=".", 1, (ED94/ED93)^(('Summary, PPI''s'!$C94+'Summary, PPI''s'!$C93)/('Predicted PPIs'!ES94+'Predicted PPIs'!ES93)))*IF(EE$26=".", 1, (EE94/EE93)^(('Summary, PPI''s'!$D94+'Summary, PPI''s'!$D93)/('Predicted PPIs'!ES94+'Predicted PPIs'!ES93)))*IF(EO$26=".", 1, (EO94/EO93)^(('Summary, PPI''s'!$N94+'Summary, PPI''s'!$N93)/('Predicted PPIs'!ES94+'Predicted PPIs'!ES93)))*IF(EP$26=".", 1, (EP94/EP93)^(('Summary, PPI''s'!$O94+'Summary, PPI''s'!$O93)/('Predicted PPIs'!ES94+'Predicted PPIs'!ES93)))*IF(EQ$26=".", 1, (EQ94/EQ93)^(('Summary, PPI''s'!$P94+'Summary, PPI''s'!$P93)/('Predicted PPIs'!ES94+'Predicted PPIs'!ES93)))</f>
        <v>4.5465525038074679</v>
      </c>
      <c r="EW94" s="13">
        <f>EW93*IF(EF$26=".", 1, (EF94/EF93)^(('Summary, PPI''s'!$E94+'Summary, PPI''s'!$E93)/('Predicted PPIs'!ET94+'Predicted PPIs'!ET93)))*IF(EG$26=".", 1, (EG94/EG93)^(('Summary, PPI''s'!$F94+'Summary, PPI''s'!$F93)/('Predicted PPIs'!ET94+'Predicted PPIs'!ET93)))*IF(EH$26=".", 1, (EH94/EH93)^(('Summary, PPI''s'!$G94+'Summary, PPI''s'!$G93)/('Predicted PPIs'!ET94+'Predicted PPIs'!ET93)))*IF(EK$26=".", 1, (EK94/EK93)^(('Summary, PPI''s'!$J94+'Summary, PPI''s'!$J93)/('Predicted PPIs'!ET94+'Predicted PPIs'!ET93)))*IF(EL$26=".", 1, (EL94/EL93)^(('Summary, PPI''s'!$K94+'Summary, PPI''s'!$K93)/('Predicted PPIs'!ET94+'Predicted PPIs'!ET93)))*IF(EM$26=".", 1, (EM94/EM93)^(('Summary, PPI''s'!$L94+'Summary, PPI''s'!$L93)/('Predicted PPIs'!ET94+'Predicted PPIs'!ET93)))*IF(EN$26=".", 1, (EN94/EN93)^(('Summary, PPI''s'!$M94+'Summary, PPI''s'!$M93)/('Predicted PPIs'!ET94+'Predicted PPIs'!ET93)))*IF(EC$26=".", 1, (EC94/EC93)^(('Summary, PPI''s'!$B94+'Summary, PPI''s'!$B93)/('Predicted PPIs'!ET94+'Predicted PPIs'!ET93)))</f>
        <v>8.5976854385629178</v>
      </c>
      <c r="EY94" s="2"/>
    </row>
    <row r="95" spans="1:155" x14ac:dyDescent="0.3">
      <c r="A95" s="4">
        <v>1928</v>
      </c>
      <c r="B95" s="10">
        <f>IF(B94=".", ".", IF('Summary, PPI''s'!R95=".",IF(OR('Summary, hourly ad costs'!R95=-9999,'Summary, hourly ad costs'!R95=0), ".", 'Predicted PPIs'!B94*('Summary, hourly ad costs'!B95/'Summary, hourly ad costs'!R95)/('Summary, hourly ad costs'!B94/'Summary, hourly ad costs'!R94)), 'Summary, PPI''s'!R95))</f>
        <v>55.402113829270249</v>
      </c>
      <c r="C95" s="10" t="str">
        <f>IF(C94=".", ".", IF('Summary, PPI''s'!S95=".",IF(OR('Summary, hourly ad costs'!S95=-9999,'Summary, hourly ad costs'!S95=0), ".", 'Predicted PPIs'!C94*('Summary, hourly ad costs'!C95/'Summary, hourly ad costs'!S95)/('Summary, hourly ad costs'!C94/'Summary, hourly ad costs'!S94)), 'Summary, PPI''s'!S95))</f>
        <v>.</v>
      </c>
      <c r="D95" s="10" t="str">
        <f>IF(D94=".", ".", IF('Summary, PPI''s'!T95=".",IF(OR('Summary, hourly ad costs'!T95=-9999,'Summary, hourly ad costs'!T95=0), ".", 'Predicted PPIs'!D94*('Summary, hourly ad costs'!D95/'Summary, hourly ad costs'!T95)/('Summary, hourly ad costs'!D94/'Summary, hourly ad costs'!T94)), 'Summary, PPI''s'!T95))</f>
        <v>.</v>
      </c>
      <c r="E95" s="10">
        <f>IF(E94=".", ".", IF('Summary, PPI''s'!U95=".",IF(OR('Summary, hourly ad costs'!U95=-9999,'Summary, hourly ad costs'!U95=0), ".", 'Predicted PPIs'!E94*('Summary, hourly ad costs'!E95/'Summary, hourly ad costs'!U95)/('Summary, hourly ad costs'!E94/'Summary, hourly ad costs'!U94)), 'Summary, PPI''s'!U95))</f>
        <v>2.7854056615278338</v>
      </c>
      <c r="F95" s="10">
        <f>IF(F94=".", ".", IF('Summary, PPI''s'!V95=".",IF(OR('Summary, hourly ad costs'!V95=-9999,'Summary, hourly ad costs'!V95=0), ".", 'Predicted PPIs'!F94*('Summary, hourly ad costs'!F95/'Summary, hourly ad costs'!V95)/('Summary, hourly ad costs'!F94/'Summary, hourly ad costs'!V94)), 'Summary, PPI''s'!V95))</f>
        <v>4.4203942823719382</v>
      </c>
      <c r="G95" s="10" t="str">
        <f>IF(G94=".", ".", IF('Summary, PPI''s'!W95=".",IF(OR('Summary, hourly ad costs'!W95=-9999,'Summary, hourly ad costs'!W95=0), ".", 'Predicted PPIs'!G94*('Summary, hourly ad costs'!G95/'Summary, hourly ad costs'!W95)/('Summary, hourly ad costs'!G94/'Summary, hourly ad costs'!W94)), 'Summary, PPI''s'!W95))</f>
        <v>.</v>
      </c>
      <c r="H95" s="10">
        <f>IF(H94=".", ".", IF('Summary, PPI''s'!X95=".",IF(OR('Summary, hourly ad costs'!X95=-9999,'Summary, hourly ad costs'!X95=0), ".", 'Predicted PPIs'!H94*('Summary, hourly ad costs'!H95/'Summary, hourly ad costs'!X95)/('Summary, hourly ad costs'!H94/'Summary, hourly ad costs'!X94)), 'Summary, PPI''s'!X95))</f>
        <v>1.9604687390065649</v>
      </c>
      <c r="I95" s="10">
        <f>IF(I94=".", ".", IF('Summary, PPI''s'!Y95=".",IF(OR('Summary, hourly ad costs'!Y95=-9999,'Summary, hourly ad costs'!Y95=0), ".", 'Predicted PPIs'!I94*('Summary, hourly ad costs'!I95/'Summary, hourly ad costs'!Y95)/('Summary, hourly ad costs'!I94/'Summary, hourly ad costs'!Y94)), 'Summary, PPI''s'!Y95))</f>
        <v>1.5248100332183607</v>
      </c>
      <c r="J95" s="10" t="str">
        <f>IF(J94=".", ".", IF('Summary, PPI''s'!Z95=".",IF(OR('Summary, hourly ad costs'!Z95=-9999,'Summary, hourly ad costs'!Z95=0), ".", 'Predicted PPIs'!J94*('Summary, hourly ad costs'!J95/'Summary, hourly ad costs'!Z95)/('Summary, hourly ad costs'!J94/'Summary, hourly ad costs'!Z94)), 'Summary, PPI''s'!Z95))</f>
        <v>.</v>
      </c>
      <c r="K95" s="10" t="str">
        <f>IF(K94=".", ".", IF('Summary, PPI''s'!AA95=".",IF(OR('Summary, hourly ad costs'!AA95=-9999,'Summary, hourly ad costs'!AA95=0), ".", 'Predicted PPIs'!K94*('Summary, hourly ad costs'!K95/'Summary, hourly ad costs'!AA95)/('Summary, hourly ad costs'!K94/'Summary, hourly ad costs'!AA94)), 'Summary, PPI''s'!AA95))</f>
        <v>.</v>
      </c>
      <c r="L95" s="10" t="str">
        <f>IF(L94=".", ".", IF('Summary, PPI''s'!AB95=".",IF(OR('Summary, hourly ad costs'!AB95=-9999,'Summary, hourly ad costs'!AB95=0), ".", 'Predicted PPIs'!L94*('Summary, hourly ad costs'!L95/'Summary, hourly ad costs'!AB95)/('Summary, hourly ad costs'!L94/'Summary, hourly ad costs'!AB94)), 'Summary, PPI''s'!AB95))</f>
        <v>.</v>
      </c>
      <c r="M95" s="10" t="str">
        <f>IF(M94=".", ".", IF('Summary, PPI''s'!AC95=".",IF(OR('Summary, hourly ad costs'!AC95=-9999,'Summary, hourly ad costs'!AC95=0), ".", 'Predicted PPIs'!M94*('Summary, hourly ad costs'!M95/'Summary, hourly ad costs'!AC95)/('Summary, hourly ad costs'!M94/'Summary, hourly ad costs'!AC94)), 'Summary, PPI''s'!AC95))</f>
        <v>.</v>
      </c>
      <c r="N95" s="10" t="str">
        <f>IF(N94=".", ".", IF('Summary, PPI''s'!AD95=".",IF(OR('Summary, hourly ad costs'!AD95=-9999,'Summary, hourly ad costs'!AD95=0), ".", 'Predicted PPIs'!N94*('Summary, hourly ad costs'!N95/'Summary, hourly ad costs'!AD95)/('Summary, hourly ad costs'!N94/'Summary, hourly ad costs'!AD94)), 'Summary, PPI''s'!AD95))</f>
        <v>.</v>
      </c>
      <c r="O95" s="10" t="str">
        <f>IF(O94=".", ".", IF('Summary, PPI''s'!AE95=".",IF(OR('Summary, hourly ad costs'!AE95=-9999,'Summary, hourly ad costs'!AE95=0), ".", 'Predicted PPIs'!O94*('Summary, hourly ad costs'!O95/'Summary, hourly ad costs'!AE95)/('Summary, hourly ad costs'!O94/'Summary, hourly ad costs'!AE94)), 'Summary, PPI''s'!AE95))</f>
        <v>.</v>
      </c>
      <c r="P95" s="10" t="str">
        <f>IF(P94=".", ".", IF('Summary, PPI''s'!AF95=".",IF(OR('Summary, hourly ad costs'!AF95=-9999,'Summary, hourly ad costs'!AF95=0), ".", 'Predicted PPIs'!P94*('Summary, hourly ad costs'!P95/'Summary, hourly ad costs'!AF95)/('Summary, hourly ad costs'!P94/'Summary, hourly ad costs'!AF94)), 'Summary, PPI''s'!AF95))</f>
        <v>.</v>
      </c>
      <c r="R95" s="1">
        <f>IF(E$26=".", 0, 'Summary, PPI''s'!E95)+IF(F$26=".", 0, 'Summary, PPI''s'!F95)+IF(G$26=".", 0, 'Summary, PPI''s'!G95)+IF(H$26=".", 0, 'Summary, PPI''s'!H95)+IF(I$26=".", 0, 'Summary, PPI''s'!I95)+IF(J$26=".", 0, 'Summary, PPI''s'!J95)+IF(K$26=".", 0, 'Summary, PPI''s'!K95)+IF(L$26=".", 0, 'Summary, PPI''s'!L95)+IF(M$26=".", 0, 'Summary, PPI''s'!M95)+IF(B$26=".", 0, 'Summary, PPI''s'!B95)+IF(C$26=".", 0, 'Summary, PPI''s'!C95)+IF(D$26=".", 0, 'Summary, PPI''s'!D95)+IF(N$26=".", 0, 'Summary, PPI''s'!N95)+IF(O$26=".", 0, 'Summary, PPI''s'!O95)+IF(P$26=".", 0, 'Summary, PPI''s'!P95)</f>
        <v>2443767.7127875052</v>
      </c>
      <c r="S95" s="1">
        <f>IF(E$36=".", 0, 'Summary, PPI''s'!E95)+IF(F$36=".", 0, 'Summary, PPI''s'!F95)+IF(G$36=".", 0, 'Summary, PPI''s'!G95)+IF(H$36=".", 0, 'Summary, PPI''s'!H95)+IF(I$36=".", 0, 'Summary, PPI''s'!I95)+IF(J$36=".", 0, 'Summary, PPI''s'!J95)+IF(K$36=".", 0, 'Summary, PPI''s'!K95)+IF(L$36=".", 0, 'Summary, PPI''s'!L95)+IF(M$36=".", 0, 'Summary, PPI''s'!M95)+IF(B$36=".", 0, 'Summary, PPI''s'!B95)+IF(C$36=".", 0, 'Summary, PPI''s'!C95)+IF(D$36=".", 0, 'Summary, PPI''s'!D95)+IF(N$36=".", 0, 'Summary, PPI''s'!N95)+IF(O$36=".", 0, 'Summary, PPI''s'!O95)+IF(P$36=".", 0, 'Summary, PPI''s'!P95)</f>
        <v>2443767.7127875052</v>
      </c>
      <c r="T95" s="1">
        <f>IF(E$46=".", 0, 'Summary, PPI''s'!E95)+IF(F$46=".", 0, 'Summary, PPI''s'!F95)+IF(G$46=".", 0, 'Summary, PPI''s'!G95)+IF(H$46=".", 0, 'Summary, PPI''s'!H95)+IF(I$46=".", 0, 'Summary, PPI''s'!I95)+IF(J$46=".", 0, 'Summary, PPI''s'!J95)+IF(K$46=".", 0, 'Summary, PPI''s'!K95)+IF(L$46=".", 0, 'Summary, PPI''s'!L95)+IF(M$46=".", 0, 'Summary, PPI''s'!M95)+IF(B$46=".", 0, 'Summary, PPI''s'!B95)+IF(C$46=".", 0, 'Summary, PPI''s'!C95)+IF(D$46=".", 0, 'Summary, PPI''s'!D95)+IF(N$46=".", 0, 'Summary, PPI''s'!N95)+IF(O$46=".", 0, 'Summary, PPI''s'!O95)+IF(P$46=".", 0, 'Summary, PPI''s'!P95)</f>
        <v>2089474.7316864263</v>
      </c>
      <c r="U95" s="1">
        <f>IF(E$60=".", 0, 'Summary, PPI''s'!E95)+IF(F$60=".", 0, 'Summary, PPI''s'!F95)+IF(G$60=".", 0, 'Summary, PPI''s'!G95)+IF(H$60=".", 0, 'Summary, PPI''s'!H95)+IF(I$60=".", 0, 'Summary, PPI''s'!I95)+IF(J$60=".", 0, 'Summary, PPI''s'!J95)+IF(K$60=".", 0, 'Summary, PPI''s'!K95)+IF(L$60=".", 0, 'Summary, PPI''s'!L95)+IF(M$60=".", 0, 'Summary, PPI''s'!M95)+IF(B$60=".", 0, 'Summary, PPI''s'!B95)+IF(C$60=".", 0, 'Summary, PPI''s'!C95)+IF(D$60=".", 0, 'Summary, PPI''s'!D95)+IF(N$60=".", 0, 'Summary, PPI''s'!N95)+IF(O$60=".", 0, 'Summary, PPI''s'!O95)+IF(P$60=".", 0, 'Summary, PPI''s'!P95)</f>
        <v>1924202.0207882405</v>
      </c>
      <c r="V95" s="1">
        <f>IF(E$73=".", 0, 'Summary, PPI''s'!E95)+IF(F$73=".", 0, 'Summary, PPI''s'!F95)+IF(G$73=".", 0, 'Summary, PPI''s'!G95)+IF(H$73=".", 0, 'Summary, PPI''s'!H95)+IF(I$73=".", 0, 'Summary, PPI''s'!I95)+IF(J$73=".", 0, 'Summary, PPI''s'!J95)+IF(K$73=".", 0, 'Summary, PPI''s'!K95)+IF(L$73=".", 0, 'Summary, PPI''s'!L95)+IF(M$73=".", 0, 'Summary, PPI''s'!M95)+IF(B$73=".", 0, 'Summary, PPI''s'!B95)+IF(C$73=".", 0, 'Summary, PPI''s'!C95)+IF(D$73=".", 0, 'Summary, PPI''s'!D95)+IF(N$73=".", 0, 'Summary, PPI''s'!N95)+IF(O$73=".", 0, 'Summary, PPI''s'!O95)+IF(P$73=".", 0, 'Summary, PPI''s'!P95)</f>
        <v>1574744.7803864521</v>
      </c>
      <c r="W95" s="1">
        <f>IF(E$94=".",0,'Summary, PPI''s'!E95)+IF(F$94=".",0,'Summary, PPI''s'!F95)+IF(G$94=".",0,'Summary, PPI''s'!G95)+IF(H$94=".",0,'Summary, PPI''s'!H95)+IF(I$94=".",0,'Summary, PPI''s'!I95)+IF(J$94=".",0,'Summary, PPI''s'!J95)+IF(K$94=".",0,'Summary, PPI''s'!K95)+IF(L$94=".",0,'Summary, PPI''s'!L95)+IF(M$94=".",0,'Summary, PPI''s'!M95)+IF(B$94=".",0,'Summary, PPI''s'!B95)+IF(C$94=".",0,'Summary, PPI''s'!C95)+IF(D$94=".",0,'Summary, PPI''s'!D95)+IF(N$94=".",0,'Summary, PPI''s'!N95)+IF(O$94=".",0,'Summary, PPI''s'!O95)+IF(P$94=".",0,'Summary, PPI''s'!P95)</f>
        <v>1574744.7803864521</v>
      </c>
      <c r="X95" s="1">
        <f>IF(E$123=".", 0, 'Summary, PPI''s'!E95)+IF(F$123=".", 0, 'Summary, PPI''s'!F95)+IF(G$123=".", 0, 'Summary, PPI''s'!G95)+IF(H$123=".", 0, 'Summary, PPI''s'!H95)+IF(I$123=".", 0, 'Summary, PPI''s'!I95)+IF(J$123=".", 0, 'Summary, PPI''s'!J95)+IF(K$123=".", 0, 'Summary, PPI''s'!K95)+IF(L$123=".", 0, 'Summary, PPI''s'!L95)+IF(M$123=".", 0, 'Summary, PPI''s'!M95)+IF(B$123=".", 0, 'Summary, PPI''s'!B95)+IF(C$123=".", 0, 'Summary, PPI''s'!C95)+IF(D$123=".", 0, 'Summary, PPI''s'!D95)+IF(N$123=".", 0, 'Summary, PPI''s'!N95)+IF(O$123=".", 0, 'Summary, PPI''s'!O95)+IF(P$123=".", 0, 'Summary, PPI''s'!P95)</f>
        <v>1562172.1237658383</v>
      </c>
      <c r="Z95" s="4" t="e">
        <f>Z94*IF(E$26=".", 1, (E95/E94)^(('Summary, PPI''s'!$E95+'Summary, PPI''s'!$E94)/('Predicted PPIs'!R95+'Predicted PPIs'!R94)))*IF(F$26=".", 1, (F95/F94)^(('Summary, PPI''s'!$F95+'Summary, PPI''s'!$F94)/('Predicted PPIs'!R95+'Predicted PPIs'!R94)))*IF(G$26=".", 1, (G95/G94)^(('Summary, PPI''s'!$G95+'Summary, PPI''s'!$G94)/('Predicted PPIs'!R95+'Predicted PPIs'!R94)))*IF(H$26=".", 1, (H95/H94)^(('Summary, PPI''s'!$H95+'Summary, PPI''s'!$H94)/('Predicted PPIs'!R95+'Predicted PPIs'!R94)))*IF(I$26=".", 1, (I95/I94)^(('Summary, PPI''s'!$I95+'Summary, PPI''s'!$I94)/('Predicted PPIs'!R95+'Predicted PPIs'!R94)))*IF(J$26=".", 1, (J95/J94)^(('Summary, PPI''s'!$J95+'Summary, PPI''s'!$J94)/('Predicted PPIs'!R95+'Predicted PPIs'!R94)))*IF(K$26=".", 1, (K95/K94)^(('Summary, PPI''s'!$K95+'Summary, PPI''s'!$K94)/('Predicted PPIs'!R95+'Predicted PPIs'!R94)))*IF(L$26=".", 1, (L95/L94)^(('Summary, PPI''s'!$L95+'Summary, PPI''s'!$L94)/('Predicted PPIs'!R95+'Predicted PPIs'!R94)))*IF(M$26=".", 1, (M95/M94)^(('Summary, PPI''s'!$M95+'Summary, PPI''s'!$M94)/('Predicted PPIs'!R95+'Predicted PPIs'!R94)))*IF(B$26=".", 1, (B95/B94)^(('Summary, PPI''s'!$B95+'Summary, PPI''s'!$B94)/('Predicted PPIs'!R95+'Predicted PPIs'!R94)))*IF(C$26=".", 1, (C95/C94)^(('Summary, PPI''s'!$C95+'Summary, PPI''s'!$C94)/('Predicted PPIs'!R95+'Predicted PPIs'!R94)))*IF(D$26=".", 1, (D95/D94)^(('Summary, PPI''s'!$D95+'Summary, PPI''s'!$D94)/('Predicted PPIs'!R95+'Predicted PPIs'!R94)))*IF(N$26=".", 1, (N95/N94)^(('Summary, PPI''s'!$N95+'Summary, PPI''s'!$N94)/('Predicted PPIs'!R95+'Predicted PPIs'!R94)))*IF(O$26=".", 1, (O95/O94)^(('Summary, PPI''s'!$O95+'Summary, PPI''s'!$O94)/('Predicted PPIs'!R95+'Predicted PPIs'!R94)))*IF(P$26=".", 1, (P95/P94)^(('Summary, PPI''s'!$P95+'Summary, PPI''s'!$P94)/('Predicted PPIs'!R95+'Predicted PPIs'!R94)))</f>
        <v>#VALUE!</v>
      </c>
      <c r="AA95" s="4" t="e">
        <f>AA94*IF(E$36=".", 1, (E95/E94)^(('Summary, PPI''s'!$E95+'Summary, PPI''s'!$E94)/('Predicted PPIs'!S95+'Predicted PPIs'!S94)))*IF(F$36=".", 1, (F95/F94)^(('Summary, PPI''s'!$F95+'Summary, PPI''s'!$F94)/('Predicted PPIs'!S95+'Predicted PPIs'!S94)))*IF(G$36=".", 1, (G95/G94)^(('Summary, PPI''s'!$G95+'Summary, PPI''s'!$G94)/('Predicted PPIs'!S95+'Predicted PPIs'!S94)))*IF(H$36=".", 1, (H95/H94)^(('Summary, PPI''s'!$H95+'Summary, PPI''s'!$H94)/('Predicted PPIs'!S95+'Predicted PPIs'!S94)))*IF(I$36=".", 1, (I95/I94)^(('Summary, PPI''s'!$I95+'Summary, PPI''s'!$I94)/('Predicted PPIs'!S95+'Predicted PPIs'!S94)))*IF(J$36=".", 1, (J95/J94)^(('Summary, PPI''s'!$J95+'Summary, PPI''s'!$J94)/('Predicted PPIs'!S95+'Predicted PPIs'!S94)))*IF(K$36=".", 1, (K95/K94)^(('Summary, PPI''s'!$K95+'Summary, PPI''s'!$K94)/('Predicted PPIs'!S95+'Predicted PPIs'!S94)))*IF(L$36=".", 1, (L95/L94)^(('Summary, PPI''s'!$L95+'Summary, PPI''s'!$L94)/('Predicted PPIs'!S95+'Predicted PPIs'!S94)))*IF(M$36=".", 1, (M95/M94)^(('Summary, PPI''s'!$M95+'Summary, PPI''s'!$M94)/('Predicted PPIs'!S95+'Predicted PPIs'!S94)))*IF(B$36=".", 1, (B95/B94)^(('Summary, PPI''s'!$B95+'Summary, PPI''s'!$B94)/('Predicted PPIs'!S95+'Predicted PPIs'!S94)))*IF(C$36=".", 1, (C95/C94)^(('Summary, PPI''s'!$C95+'Summary, PPI''s'!$C94)/('Predicted PPIs'!S95+'Predicted PPIs'!S94)))*IF(D$36=".", 1, (D95/D94)^(('Summary, PPI''s'!$D95+'Summary, PPI''s'!$D94)/('Predicted PPIs'!S95+'Predicted PPIs'!S94)))*IF(N$36=".", 1, (N95/N94)^(('Summary, PPI''s'!$N95+'Summary, PPI''s'!$N94)/('Predicted PPIs'!S95+'Predicted PPIs'!S94)))*IF(O$36=".", 1, (O95/O94)^(('Summary, PPI''s'!$O95+'Summary, PPI''s'!$O94)/('Predicted PPIs'!S95+'Predicted PPIs'!S94)))*IF(P$36=".", 1, (P95/P94)^(('Summary, PPI''s'!$P95+'Summary, PPI''s'!$P94)/('Predicted PPIs'!S95+'Predicted PPIs'!S94)))</f>
        <v>#VALUE!</v>
      </c>
      <c r="AB95" s="4" t="e">
        <f>AB94*IF(E$46=".", 1, (E95/E94)^(('Summary, PPI''s'!$E95+'Summary, PPI''s'!$E94)/('Predicted PPIs'!T95+'Predicted PPIs'!T94)))*IF(F$46=".", 1, (F95/F94)^(('Summary, PPI''s'!$F95+'Summary, PPI''s'!$F94)/('Predicted PPIs'!T95+'Predicted PPIs'!T94)))*IF(G$46=".", 1, (G95/G94)^(('Summary, PPI''s'!$G95+'Summary, PPI''s'!$G94)/('Predicted PPIs'!T95+'Predicted PPIs'!T94)))*IF(H$46=".", 1, (H95/H94)^(('Summary, PPI''s'!$H95+'Summary, PPI''s'!$H94)/('Predicted PPIs'!T95+'Predicted PPIs'!T94)))*IF(I$46=".", 1, (I95/I94)^(('Summary, PPI''s'!$I95+'Summary, PPI''s'!$I94)/('Predicted PPIs'!T95+'Predicted PPIs'!T94)))*IF(J$46=".", 1, (J95/J94)^(('Summary, PPI''s'!$J95+'Summary, PPI''s'!$J94)/('Predicted PPIs'!T95+'Predicted PPIs'!T94)))*IF(K$46=".", 1, (K95/K94)^(('Summary, PPI''s'!$K95+'Summary, PPI''s'!$K94)/('Predicted PPIs'!T95+'Predicted PPIs'!T94)))*IF(L$46=".", 1, (L95/L94)^(('Summary, PPI''s'!$L95+'Summary, PPI''s'!$L94)/('Predicted PPIs'!T95+'Predicted PPIs'!T94)))*IF(M$46=".", 1, (M95/M94)^(('Summary, PPI''s'!$M95+'Summary, PPI''s'!$M94)/('Predicted PPIs'!T95+'Predicted PPIs'!T94)))*IF(B$46=".", 1, (B95/B94)^(('Summary, PPI''s'!$B95+'Summary, PPI''s'!$B94)/('Predicted PPIs'!T95+'Predicted PPIs'!T94)))*IF(C$46=".", 1, (C95/C94)^(('Summary, PPI''s'!$C95+'Summary, PPI''s'!$C94)/('Predicted PPIs'!T95+'Predicted PPIs'!T94)))*IF(D$46=".", 1, (D95/D94)^(('Summary, PPI''s'!$D95+'Summary, PPI''s'!$D94)/('Predicted PPIs'!T95+'Predicted PPIs'!T94)))*IF(N$46=".", 1, (N95/N94)^(('Summary, PPI''s'!$N95+'Summary, PPI''s'!$N94)/('Predicted PPIs'!T95+'Predicted PPIs'!T94)))*IF(O$46=".", 1, (O95/O94)^(('Summary, PPI''s'!$O95+'Summary, PPI''s'!$O94)/('Predicted PPIs'!T95+'Predicted PPIs'!T94)))*IF(P$46=".", 1, (P95/P94)^(('Summary, PPI''s'!$P95+'Summary, PPI''s'!$P94)/('Predicted PPIs'!T95+'Predicted PPIs'!T94)))</f>
        <v>#VALUE!</v>
      </c>
      <c r="AC95" s="4" t="e">
        <f>AC94*IF(E$60=".",1,(E95/E94)^(('Summary, PPI''s'!$E95+'Summary, PPI''s'!$E94)/('Predicted PPIs'!U95+'Predicted PPIs'!U94)))*IF(F$60=".",1,(F95/F94)^(('Summary, PPI''s'!$F95+'Summary, PPI''s'!$F94)/('Predicted PPIs'!U95+'Predicted PPIs'!U94)))*IF(G$60=".",1,(G95/G94)^(('Summary, PPI''s'!$G95+'Summary, PPI''s'!$G94)/('Predicted PPIs'!U95+'Predicted PPIs'!U94)))*IF(H$60=".",1,(H95/H94)^(('Summary, PPI''s'!$H95+'Summary, PPI''s'!$H94)/('Predicted PPIs'!U95+'Predicted PPIs'!U94)))*IF(I$60=".",1,(I95/I94)^(('Summary, PPI''s'!$I95+'Summary, PPI''s'!$I94)/('Predicted PPIs'!U95+'Predicted PPIs'!U94)))*IF(J$60=".",1,(J95/J94)^(('Summary, PPI''s'!$J95+'Summary, PPI''s'!$J94)/('Predicted PPIs'!U95+'Predicted PPIs'!U94)))*IF(K$60=".",1,(K95/K94)^(('Summary, PPI''s'!$K95+'Summary, PPI''s'!$K94)/('Predicted PPIs'!U95+'Predicted PPIs'!U94)))*IF(L$60=".",1,(L95/L94)^(('Summary, PPI''s'!$L95+'Summary, PPI''s'!$L94)/('Predicted PPIs'!U95+'Predicted PPIs'!U94)))*IF(M$60=".",1,(M95/M94)^(('Summary, PPI''s'!$M95+'Summary, PPI''s'!$M94)/('Predicted PPIs'!U95+'Predicted PPIs'!U94)))*IF(B$60=".",1,(B95/B94)^(('Summary, PPI''s'!$B95+'Summary, PPI''s'!$B94)/('Predicted PPIs'!U95+'Predicted PPIs'!U94)))*IF(C$60=".",1,(C95/C94)^(('Summary, PPI''s'!$C95+'Summary, PPI''s'!$C94)/('Predicted PPIs'!U95+'Predicted PPIs'!U94)))*IF(D$60=".",1,(D95/D94)^(('Summary, PPI''s'!$D95+'Summary, PPI''s'!$D94)/('Predicted PPIs'!U95+'Predicted PPIs'!U94)))*IF(N$60=".",1,(N95/N94)^(('Summary, PPI''s'!$N95+'Summary, PPI''s'!$N94)/('Predicted PPIs'!U95+'Predicted PPIs'!U94)))*IF(O$60=".",1,(O95/O94)^(('Summary, PPI''s'!$O95+'Summary, PPI''s'!$O94)/('Predicted PPIs'!U95+'Predicted PPIs'!U94)))*IF(P$60=".",1,(P95/P94)^(('Summary, PPI''s'!$P95+'Summary, PPI''s'!$P94)/('Predicted PPIs'!U95+'Predicted PPIs'!U94)))</f>
        <v>#VALUE!</v>
      </c>
      <c r="AD95" s="4" t="e">
        <f>AD94*IF(E$73=".", 1, (E95/E94)^(('Summary, PPI''s'!$E95+'Summary, PPI''s'!$E94)/('Predicted PPIs'!V95+'Predicted PPIs'!V94)))*IF(F$73=".", 1, (F95/F94)^(('Summary, PPI''s'!$F95+'Summary, PPI''s'!$F94)/('Predicted PPIs'!V95+'Predicted PPIs'!V94)))*IF(G$73=".", 1, (G95/G94)^(('Summary, PPI''s'!$G95+'Summary, PPI''s'!$G94)/('Predicted PPIs'!V95+'Predicted PPIs'!V94)))*IF(H$73=".", 1, (H95/H94)^(('Summary, PPI''s'!$H95+'Summary, PPI''s'!$H94)/('Predicted PPIs'!V95+'Predicted PPIs'!V94)))*IF(I$73=".", 1, (I95/I94)^(('Summary, PPI''s'!$I95+'Summary, PPI''s'!$I94)/('Predicted PPIs'!V95+'Predicted PPIs'!V94)))*IF(J$73=".", 1, (J95/J94)^(('Summary, PPI''s'!$J95+'Summary, PPI''s'!$J94)/('Predicted PPIs'!V95+'Predicted PPIs'!V94)))*IF(K$73=".", 1, (K95/K94)^(('Summary, PPI''s'!$K95+'Summary, PPI''s'!$K94)/('Predicted PPIs'!V95+'Predicted PPIs'!V94)))*IF(L$73=".", 1, (L95/L94)^(('Summary, PPI''s'!$L95+'Summary, PPI''s'!$L94)/('Predicted PPIs'!V95+'Predicted PPIs'!V94)))*IF(M$73=".", 1, (M95/M94)^(('Summary, PPI''s'!$M95+'Summary, PPI''s'!$M94)/('Predicted PPIs'!V95+'Predicted PPIs'!V94)))*IF(B$73=".", 1, (B95/B94)^(('Summary, PPI''s'!$B95+'Summary, PPI''s'!$B94)/('Predicted PPIs'!V95+'Predicted PPIs'!V94)))*IF(C$73=".", 1, (C95/C94)^(('Summary, PPI''s'!$C95+'Summary, PPI''s'!$C94)/('Predicted PPIs'!V95+'Predicted PPIs'!V94)))*IF(D$73=".", 1, (D95/D94)^(('Summary, PPI''s'!$D95+'Summary, PPI''s'!$D94)/('Predicted PPIs'!V95+'Predicted PPIs'!V94)))*IF(N$73=".", 1, (N95/N94)^(('Summary, PPI''s'!$N95+'Summary, PPI''s'!$N94)/('Predicted PPIs'!V95+'Predicted PPIs'!V94)))*IF(O$73=".", 1, (O95/O94)^(('Summary, PPI''s'!$O95+'Summary, PPI''s'!$O94)/('Predicted PPIs'!V95+'Predicted PPIs'!V94)))*IF(P$73=".", 1, (P95/P94)^(('Summary, PPI''s'!$P95+'Summary, PPI''s'!$P94)/('Predicted PPIs'!V95+'Predicted PPIs'!V94)))</f>
        <v>#VALUE!</v>
      </c>
      <c r="AE95" s="4">
        <f>AE94*IF(E$94=".", 1, (E95/E94)^(('Summary, PPI''s'!$E95+'Summary, PPI''s'!$E94)/('Predicted PPIs'!W95+'Predicted PPIs'!W94)))*IF(F$94=".", 1, (F95/F94)^(('Summary, PPI''s'!$F95+'Summary, PPI''s'!$F94)/('Predicted PPIs'!W95+'Predicted PPIs'!W94)))*IF(G$94=".", 1, (G95/G94)^(('Summary, PPI''s'!$G95+'Summary, PPI''s'!$G94)/('Predicted PPIs'!W95+'Predicted PPIs'!W94)))*IF(H$94=".", 1, (H95/H94)^(('Summary, PPI''s'!$H95+'Summary, PPI''s'!$H94)/('Predicted PPIs'!W95+'Predicted PPIs'!W94)))*IF(I$94=".", 1, (I95/I94)^(('Summary, PPI''s'!$I95+'Summary, PPI''s'!$I94)/('Predicted PPIs'!W95+'Predicted PPIs'!W94)))*IF(J$94=".", 1, (J95/J94)^(('Summary, PPI''s'!$J95+'Summary, PPI''s'!$J94)/('Predicted PPIs'!W95+'Predicted PPIs'!W94)))*IF(K$94=".", 1, (K95/K94)^(('Summary, PPI''s'!$K95+'Summary, PPI''s'!$K94)/('Predicted PPIs'!W95+'Predicted PPIs'!W94)))*IF(L$94=".", 1, (L95/L94)^(('Summary, PPI''s'!$L95+'Summary, PPI''s'!$L94)/('Predicted PPIs'!W95+'Predicted PPIs'!W94)))*IF(M$94=".", 1, (M95/M94)^(('Summary, PPI''s'!$M95+'Summary, PPI''s'!$M94)/('Predicted PPIs'!W95+'Predicted PPIs'!W94)))*IF(B$94=".", 1, (B95/B94)^(('Summary, PPI''s'!$B95+'Summary, PPI''s'!$B94)/('Predicted PPIs'!W95+'Predicted PPIs'!W94)))*IF(C$94=".", 1, (C95/C94)^(('Summary, PPI''s'!$C95+'Summary, PPI''s'!$C94)/('Predicted PPIs'!W95+'Predicted PPIs'!W94)))*IF(D$94=".", 1, (D95/D94)^(('Summary, PPI''s'!$D95+'Summary, PPI''s'!$D94)/('Predicted PPIs'!W95+'Predicted PPIs'!W94)))*IF(N$94=".", 1, (N95/N94)^(('Summary, PPI''s'!$N95+'Summary, PPI''s'!$N94)/('Predicted PPIs'!W95+'Predicted PPIs'!W94)))*IF(O$94=".", 1, (O95/O94)^(('Summary, PPI''s'!$O95+'Summary, PPI''s'!$O94)/('Predicted PPIs'!W95+'Predicted PPIs'!W94)))*IF(P$94=".", 1, (P95/P94)^(('Summary, PPI''s'!$P95+'Summary, PPI''s'!$P94)/('Predicted PPIs'!W95+'Predicted PPIs'!W94)))</f>
        <v>4.9111446172779578</v>
      </c>
      <c r="AF95" s="4">
        <f>AF94*IF(E$123=".", 1, (E95/E94)^(('Summary, PPI''s'!$E95+'Summary, PPI''s'!$E94)/('Predicted PPIs'!X95+'Predicted PPIs'!X94)))*IF(F$123=".", 1, (F95/F94)^(('Summary, PPI''s'!$F95+'Summary, PPI''s'!$F94)/('Predicted PPIs'!X95+'Predicted PPIs'!X94)))*IF(G$123=".", 1, (G95/G94)^(('Summary, PPI''s'!$G95+'Summary, PPI''s'!$G94)/('Predicted PPIs'!X95+'Predicted PPIs'!X94)))*IF(H$123=".", 1, (H95/H94)^(('Summary, PPI''s'!$H95+'Summary, PPI''s'!$H94)/('Predicted PPIs'!X95+'Predicted PPIs'!X94)))*IF(I$123=".", 1, (I95/I94)^(('Summary, PPI''s'!$I95+'Summary, PPI''s'!$I94)/('Predicted PPIs'!X95+'Predicted PPIs'!X94)))*IF(J$123=".", 1, (J95/J94)^(('Summary, PPI''s'!$J95+'Summary, PPI''s'!$J94)/('Predicted PPIs'!X95+'Predicted PPIs'!X94)))*IF(K$123=".", 1, (K95/K94)^(('Summary, PPI''s'!$K95+'Summary, PPI''s'!$K94)/('Predicted PPIs'!X95+'Predicted PPIs'!X94)))*IF(L$123=".", 1, (L95/L94)^(('Summary, PPI''s'!$L95+'Summary, PPI''s'!$L94)/('Predicted PPIs'!X95+'Predicted PPIs'!X94)))*IF(M$123=".", 1, (M95/M94)^(('Summary, PPI''s'!$M95+'Summary, PPI''s'!$M94)/('Predicted PPIs'!X95+'Predicted PPIs'!X94)))*IF(B$123=".", 1, (B95/B94)^(('Summary, PPI''s'!$B95+'Summary, PPI''s'!$B94)/('Predicted PPIs'!X95+'Predicted PPIs'!X94)))*IF(C$123=".", 1, (C95/C94)^(('Summary, PPI''s'!$C95+'Summary, PPI''s'!$C94)/('Predicted PPIs'!X95+'Predicted PPIs'!X94)))*IF(D$123=".", 1, (D95/D94)^(('Summary, PPI''s'!$D95+'Summary, PPI''s'!$D94)/('Predicted PPIs'!X95+'Predicted PPIs'!X94)))*IF(N$123=".", 1, (N95/N94)^(('Summary, PPI''s'!$N95+'Summary, PPI''s'!$N94)/('Predicted PPIs'!X95+'Predicted PPIs'!X94)))*IF(O$123=".", 1, (O95/O94)^(('Summary, PPI''s'!$O95+'Summary, PPI''s'!$O94)/('Predicted PPIs'!X95+'Predicted PPIs'!X94)))*IF(P$123=".", 1, (P95/P94)^(('Summary, PPI''s'!$P95+'Summary, PPI''s'!$P94)/('Predicted PPIs'!X95+'Predicted PPIs'!X94)))</f>
        <v>4.7409980454091132</v>
      </c>
      <c r="AH95" s="13">
        <f t="shared" si="152"/>
        <v>6.7704150683653177</v>
      </c>
      <c r="AJ95" s="4">
        <f>AJ94*BI95*BE95*(100-BJ95)/(BI94*BE94*(100-BJ94))</f>
        <v>73.832482310591999</v>
      </c>
      <c r="AK95" s="4">
        <f t="shared" ref="AK95:AK123" si="191">AK94*$AJ95/$AJ94</f>
        <v>-1.6340444728429468</v>
      </c>
      <c r="AL95" s="4">
        <f t="shared" ref="AL95:AL123" si="192">AL94*$AJ95/$AJ94</f>
        <v>-5.5975323798262773</v>
      </c>
      <c r="AM95" s="4">
        <f t="shared" ref="AM95:AM123" si="193">AM94*$AJ95/$AJ94</f>
        <v>-0.87091804069212519</v>
      </c>
      <c r="AN95" s="4">
        <f t="shared" si="176"/>
        <v>98.458510999733264</v>
      </c>
      <c r="AO95" s="4">
        <v>16</v>
      </c>
      <c r="AP95" s="4">
        <f t="shared" si="177"/>
        <v>-1.4802139037433155</v>
      </c>
      <c r="AQ95" s="4">
        <f t="shared" si="178"/>
        <v>-2.7982887700534755</v>
      </c>
      <c r="AR95" s="4">
        <f t="shared" si="148"/>
        <v>-2.4754473229634139E-4</v>
      </c>
      <c r="AS95" s="4">
        <f>AS94*AO95/AO93</f>
        <v>-0.50885245901639353</v>
      </c>
      <c r="AT95" s="4">
        <f t="shared" ref="AT95:AT123" si="194">AT94*$BD95/$BD94</f>
        <v>9.2870183574879235</v>
      </c>
      <c r="AU95" s="4">
        <f t="shared" ref="AU95:AU123" si="195">AU94*$BD95/$BD94</f>
        <v>15.292210628019326</v>
      </c>
      <c r="AV95" s="4">
        <f t="shared" ref="AV95:AV123" si="196">AV94*$BD95/$BD94</f>
        <v>11.893497584541064</v>
      </c>
      <c r="AW95" s="4">
        <f t="shared" ref="AW95:AW123" si="197">AW94*$BD95/$BD94</f>
        <v>6.6505681159420291</v>
      </c>
      <c r="AX95" s="4">
        <f t="shared" ref="AX95:AX123" si="198">AX94*$BD95/$BD94</f>
        <v>8.8461600572965722</v>
      </c>
      <c r="AY95" s="4">
        <f t="shared" ref="AY95:AY123" si="199">AY94*$BD95/$BD94</f>
        <v>10.401940096618359</v>
      </c>
      <c r="AZ95" s="4">
        <f t="shared" ref="AZ95:AZ123" si="200">AZ94*$BD95/$BD94</f>
        <v>3.5555613526570049</v>
      </c>
      <c r="BA95" s="4">
        <f t="shared" ref="BA95:BA123" si="201">BA94*$BD95/$BD94</f>
        <v>9.6316850241545904</v>
      </c>
      <c r="BB95" s="4">
        <f t="shared" ref="BB95:BB123" si="202">BB94*$BD95/$BD94</f>
        <v>55.090864117638397</v>
      </c>
      <c r="BC95" s="4">
        <f t="shared" ref="BC95:BC123" si="203">BC94*$BD95/$BD94</f>
        <v>9.028268599033817</v>
      </c>
      <c r="BD95" s="5">
        <f>'[2]Ordinary Experience'!$AD$331</f>
        <v>206.8</v>
      </c>
      <c r="BE95" s="5">
        <f>'[2]Ordinary Experience'!$AC$331</f>
        <v>2.0378317625848572</v>
      </c>
      <c r="BG95" s="4">
        <f t="shared" si="172"/>
        <v>8.1442187946287188</v>
      </c>
      <c r="BI95" s="4">
        <f>BI$13*'[2]Ordinary Experience'!$D$331/'[2]Ordinary Experience'!$D$413</f>
        <v>119327576.61755806</v>
      </c>
      <c r="BJ95" s="4">
        <f>'[2]Ordinary Experience'!$E$331</f>
        <v>29.865052898388253</v>
      </c>
      <c r="BL95" s="4">
        <f t="shared" si="151"/>
        <v>24.553299778014733</v>
      </c>
      <c r="BM95" s="4">
        <f t="shared" si="153"/>
        <v>-2.1362386142415035E-3</v>
      </c>
      <c r="BO95" s="4" t="str">
        <f>IF(OR('Summary, hourly ad costs'!R95=-9999,'Summary, PPI''s'!R95="."),".",(('Summary, hourly ad costs'!B95/'Summary, hourly ad costs'!R95)*100/('Summary, hourly ad costs'!B$11/'Summary, hourly ad costs'!R$11))/('Summary, PPI''s'!R95))</f>
        <v>.</v>
      </c>
      <c r="BP95" s="4" t="str">
        <f>IF(OR('Summary, hourly ad costs'!S95=-9999,'Summary, PPI''s'!S95="."),".",(('Summary, hourly ad costs'!C95/'Summary, hourly ad costs'!S95)*100/('Summary, hourly ad costs'!C$11/'Summary, hourly ad costs'!S$11))/('Summary, PPI''s'!S95))</f>
        <v>.</v>
      </c>
      <c r="BQ95" s="4" t="str">
        <f>IF(OR('Summary, hourly ad costs'!T95=-9999,'Summary, PPI''s'!T95="."),".",(('Summary, hourly ad costs'!D95/'Summary, hourly ad costs'!T95)*100/('Summary, hourly ad costs'!D$11/'Summary, hourly ad costs'!T$11))/('Summary, PPI''s'!T95))</f>
        <v>.</v>
      </c>
      <c r="BR95" s="4" t="str">
        <f>IF(OR('Summary, hourly ad costs'!U95=-9999,'Summary, PPI''s'!U95="."),".",(('Summary, hourly ad costs'!E95/'Summary, hourly ad costs'!U95)*100/('Summary, hourly ad costs'!E$11/'Summary, hourly ad costs'!U$11))/('Summary, PPI''s'!U95))</f>
        <v>.</v>
      </c>
      <c r="BS95" s="4" t="str">
        <f>IF(OR('Summary, hourly ad costs'!V95=-9999,'Summary, PPI''s'!V95="."),".",(('Summary, hourly ad costs'!F95/'Summary, hourly ad costs'!V95)*100/('Summary, hourly ad costs'!F$11/'Summary, hourly ad costs'!V$11))/('Summary, PPI''s'!V95))</f>
        <v>.</v>
      </c>
      <c r="BT95" s="4" t="str">
        <f>IF(OR('Summary, hourly ad costs'!W95=-9999,'Summary, PPI''s'!W95="."),".",(('Summary, hourly ad costs'!G95/'Summary, hourly ad costs'!W95)*100/('Summary, hourly ad costs'!G$11/'Summary, hourly ad costs'!W$11))/('Summary, PPI''s'!W95))</f>
        <v>.</v>
      </c>
      <c r="BU95" s="4" t="str">
        <f>IF(OR('Summary, hourly ad costs'!X95=-9999,'Summary, PPI''s'!X95="."),".",(('Summary, hourly ad costs'!H95/'Summary, hourly ad costs'!X95)*100/('Summary, hourly ad costs'!H$11/'Summary, hourly ad costs'!X$11))/('Summary, PPI''s'!X95))</f>
        <v>.</v>
      </c>
      <c r="BV95" s="4" t="str">
        <f>IF(OR('Summary, hourly ad costs'!Y95=-9999,'Summary, PPI''s'!Y95="."),".",(('Summary, hourly ad costs'!I95/'Summary, hourly ad costs'!Y95)*100/('Summary, hourly ad costs'!I$11/'Summary, hourly ad costs'!Y$11))/('Summary, PPI''s'!Y95))</f>
        <v>.</v>
      </c>
      <c r="BW95" s="4" t="str">
        <f>IF(OR('Summary, hourly ad costs'!Z95=-9999,'Summary, PPI''s'!Z95="."),".",(('Summary, hourly ad costs'!J95/'Summary, hourly ad costs'!Z95)*100/('Summary, hourly ad costs'!J$11/'Summary, hourly ad costs'!Z$11))/('Summary, PPI''s'!Z95))</f>
        <v>.</v>
      </c>
      <c r="BX95" s="4" t="str">
        <f>IF(OR('Summary, hourly ad costs'!AA95=-9999,'Summary, PPI''s'!AA95="."),".",(('Summary, hourly ad costs'!K95/'Summary, hourly ad costs'!AA95)*100/('Summary, hourly ad costs'!K$11/'Summary, hourly ad costs'!AA$11))/('Summary, PPI''s'!AA95))</f>
        <v>.</v>
      </c>
      <c r="BY95" s="4" t="str">
        <f>IF(OR('Summary, hourly ad costs'!AB95=-9999,'Summary, PPI''s'!AB95="."),".",(('Summary, hourly ad costs'!L95/'Summary, hourly ad costs'!AB95)*100/('Summary, hourly ad costs'!L$11/'Summary, hourly ad costs'!AB$11))/('Summary, PPI''s'!AB95))</f>
        <v>.</v>
      </c>
      <c r="BZ95" s="4" t="str">
        <f>IF(OR('Summary, hourly ad costs'!AC95=-9999,'Summary, PPI''s'!AC95="."),".",(('Summary, hourly ad costs'!M95/'Summary, hourly ad costs'!AC95)*100/('Summary, hourly ad costs'!M$11/'Summary, hourly ad costs'!AC$11))/('Summary, PPI''s'!AC95))</f>
        <v>.</v>
      </c>
      <c r="CA95" s="4" t="str">
        <f>IF(OR('Summary, hourly ad costs'!AD95=-9999,'Summary, PPI''s'!AD95="."),".",(('Summary, hourly ad costs'!N95/'Summary, hourly ad costs'!AD95)*100/('Summary, hourly ad costs'!N$11/'Summary, hourly ad costs'!AD$11))/('Summary, PPI''s'!AD95))</f>
        <v>.</v>
      </c>
      <c r="CB95" s="4" t="str">
        <f>IF(OR('Summary, hourly ad costs'!AE95=-9999,'Summary, PPI''s'!AE95="."),".",(('Summary, hourly ad costs'!O95/'Summary, hourly ad costs'!AE95)*100/('Summary, hourly ad costs'!O$11/'Summary, hourly ad costs'!AE$11))/('Summary, PPI''s'!AE95))</f>
        <v>.</v>
      </c>
      <c r="CC95" s="4" t="str">
        <f>IF(OR('Summary, hourly ad costs'!AF95=-9999,'Summary, PPI''s'!AF95="."),".",(('Summary, hourly ad costs'!P95/'Summary, hourly ad costs'!AF95)*100/('Summary, hourly ad costs'!P$11/'Summary, hourly ad costs'!AF$11))/('Summary, PPI''s'!AF95))</f>
        <v>.</v>
      </c>
      <c r="CE95" s="4">
        <f t="shared" si="183"/>
        <v>-3.3928337878324485E-2</v>
      </c>
      <c r="CF95" s="4" t="str">
        <f t="shared" si="184"/>
        <v>.</v>
      </c>
      <c r="CG95" s="4" t="str">
        <f t="shared" si="185"/>
        <v>.</v>
      </c>
      <c r="CH95" s="4">
        <f t="shared" si="145"/>
        <v>-2.3980264724673274E-2</v>
      </c>
      <c r="CI95" s="4">
        <f t="shared" si="145"/>
        <v>-2.5530916952163248E-2</v>
      </c>
      <c r="CJ95" s="4" t="str">
        <f t="shared" si="147"/>
        <v>.</v>
      </c>
      <c r="CK95" s="4">
        <f t="shared" si="149"/>
        <v>4.6589644015150641E-3</v>
      </c>
      <c r="CL95" s="4">
        <f t="shared" si="130"/>
        <v>-1.8126596648087953E-2</v>
      </c>
      <c r="CM95" s="4">
        <f t="shared" si="130"/>
        <v>9.0802566442548614E-3</v>
      </c>
      <c r="CN95" s="4">
        <f t="shared" ref="CN95:CN123" si="204">_xlfn.FORECAST.LINEAR($BM95,CN$9:CN$29,$BM$9:$BM$29)</f>
        <v>-3.2679656670259884E-2</v>
      </c>
      <c r="CO95" s="4">
        <f t="shared" si="180"/>
        <v>-1.9887214924120239E-2</v>
      </c>
      <c r="CP95" s="4">
        <f t="shared" si="180"/>
        <v>0.19654724280643693</v>
      </c>
      <c r="CQ95" s="4" t="str">
        <f t="shared" si="173"/>
        <v>.</v>
      </c>
      <c r="CR95" s="4" t="str">
        <f t="shared" si="174"/>
        <v>.</v>
      </c>
      <c r="CS95" s="4" t="str">
        <f t="shared" si="175"/>
        <v>.</v>
      </c>
      <c r="CU95" s="5">
        <f>IF(CU94=".", ".", IF('Summary, PPI''s'!R95=".",IF(OR('Summary, hourly ad costs'!R95=-9999,'Summary, hourly ad costs'!R95=0), ".", 'Predicted PPIs'!CU94*('Summary, hourly ad costs'!B95/'Summary, hourly ad costs'!R95)/('Summary, hourly ad costs'!B94/'Summary, hourly ad costs'!R94)/(1-CE94)), 'Summary, PPI''s'!R95))</f>
        <v>33.672457081732304</v>
      </c>
      <c r="CV95" s="5" t="str">
        <f>IF(CV94=".", ".", IF('Summary, PPI''s'!S95=".",IF(OR('Summary, hourly ad costs'!S95=-9999,'Summary, hourly ad costs'!S95=0), ".", 'Predicted PPIs'!CV94*('Summary, hourly ad costs'!C95/'Summary, hourly ad costs'!S95)/('Summary, hourly ad costs'!C94/'Summary, hourly ad costs'!S94)/(1-CF94)), 'Summary, PPI''s'!S95))</f>
        <v>.</v>
      </c>
      <c r="CW95" s="5" t="str">
        <f>IF(CW94=".", ".", IF('Summary, PPI''s'!T95=".",IF(OR('Summary, hourly ad costs'!T95=-9999,'Summary, hourly ad costs'!T95=0), ".", 'Predicted PPIs'!CW94*('Summary, hourly ad costs'!D95/'Summary, hourly ad costs'!T95)/('Summary, hourly ad costs'!D94/'Summary, hourly ad costs'!T94)/(1-CG94)), 'Summary, PPI''s'!T95))</f>
        <v>.</v>
      </c>
      <c r="CX95" s="5">
        <f>IF(CX94=".", ".", IF('Summary, PPI''s'!U95=".",IF(OR('Summary, hourly ad costs'!U95=-9999,'Summary, hourly ad costs'!U95=0), ".", 'Predicted PPIs'!CX94*('Summary, hourly ad costs'!E95/'Summary, hourly ad costs'!U95)/('Summary, hourly ad costs'!E94/'Summary, hourly ad costs'!U94)/(1-CH94)), 'Summary, PPI''s'!U95))</f>
        <v>3.1438988668603196</v>
      </c>
      <c r="CY95" s="5">
        <f>IF(CY94=".", ".", IF('Summary, PPI''s'!V95=".",IF(OR('Summary, hourly ad costs'!V95=-9999,'Summary, hourly ad costs'!V95=0), ".", 'Predicted PPIs'!CY94*('Summary, hourly ad costs'!F95/'Summary, hourly ad costs'!V95)/('Summary, hourly ad costs'!F94/'Summary, hourly ad costs'!V94)/(1-CI94)), 'Summary, PPI''s'!V95))</f>
        <v>5.4550333371889641</v>
      </c>
      <c r="CZ95" s="5" t="str">
        <f>IF(CZ94=".", ".", IF('Summary, PPI''s'!W95=".",IF(OR('Summary, hourly ad costs'!W95=-9999,'Summary, hourly ad costs'!W95=0), ".", 'Predicted PPIs'!CZ94*('Summary, hourly ad costs'!G95/'Summary, hourly ad costs'!W95)/('Summary, hourly ad costs'!G94/'Summary, hourly ad costs'!W94)/(1-CJ94)), 'Summary, PPI''s'!W95))</f>
        <v>.</v>
      </c>
      <c r="DA95" s="5">
        <f>IF(DA94=".", ".", IF('Summary, PPI''s'!X95=".",IF(OR('Summary, hourly ad costs'!X95=-9999,'Summary, hourly ad costs'!X95=0), ".", 'Predicted PPIs'!DA94*('Summary, hourly ad costs'!H95/'Summary, hourly ad costs'!X95)/('Summary, hourly ad costs'!H94/'Summary, hourly ad costs'!X94)/(1-CK94)), 'Summary, PPI''s'!X95))</f>
        <v>2.1891673339496673</v>
      </c>
      <c r="DB95" s="5" t="s">
        <v>5</v>
      </c>
      <c r="DC95" s="5" t="str">
        <f>IF(DC94=".", ".", IF('Summary, PPI''s'!Z95=".",IF(OR('Summary, hourly ad costs'!Z95=-9999,'Summary, hourly ad costs'!Z95=0), ".", 'Predicted PPIs'!DC94*('Summary, hourly ad costs'!J95/'Summary, hourly ad costs'!Z95)/('Summary, hourly ad costs'!J94/'Summary, hourly ad costs'!Z94)/(1-CM94)), 'Summary, PPI''s'!Z95))</f>
        <v>.</v>
      </c>
      <c r="DD95" s="5" t="str">
        <f>IF(DD94=".", ".", IF('Summary, PPI''s'!AA95=".",IF(OR('Summary, hourly ad costs'!AA95=-9999,'Summary, hourly ad costs'!AA95=0), ".", 'Predicted PPIs'!DD94*('Summary, hourly ad costs'!K95/'Summary, hourly ad costs'!AA95)/('Summary, hourly ad costs'!K94/'Summary, hourly ad costs'!AA94)/(1-CN94)), 'Summary, PPI''s'!AA95))</f>
        <v>.</v>
      </c>
      <c r="DE95" s="5" t="str">
        <f>IF(DE94=".", ".", IF('Summary, PPI''s'!AB95=".",IF(OR('Summary, hourly ad costs'!AB95=-9999,'Summary, hourly ad costs'!AB95=0), ".", 'Predicted PPIs'!DE94*('Summary, hourly ad costs'!L95/'Summary, hourly ad costs'!AB95)/('Summary, hourly ad costs'!L94/'Summary, hourly ad costs'!AB94)/(1-CO94)), 'Summary, PPI''s'!AB95))</f>
        <v>.</v>
      </c>
      <c r="DF95" s="5" t="str">
        <f>IF(DF94=".", ".", IF('Summary, PPI''s'!AC95=".",IF(OR('Summary, hourly ad costs'!AC95=-9999,'Summary, hourly ad costs'!AC95=0), ".", 'Predicted PPIs'!DF94*('Summary, hourly ad costs'!M95/'Summary, hourly ad costs'!AC95)/('Summary, hourly ad costs'!M94/'Summary, hourly ad costs'!AC94)/(1-CP94)), 'Summary, PPI''s'!AC95))</f>
        <v>.</v>
      </c>
      <c r="DG95" s="5" t="str">
        <f>IF(DG94=".", ".", IF('Summary, PPI''s'!AD95=".",IF(OR('Summary, hourly ad costs'!AD95=-9999,'Summary, hourly ad costs'!AD95=0), ".", 'Predicted PPIs'!DG94*('Summary, hourly ad costs'!N95/'Summary, hourly ad costs'!AD95)/('Summary, hourly ad costs'!N94/'Summary, hourly ad costs'!AD94)/(1-CQ94)), 'Summary, PPI''s'!AD95))</f>
        <v>.</v>
      </c>
      <c r="DH95" s="5" t="str">
        <f>IF(DH94=".", ".", IF('Summary, PPI''s'!AE95=".",IF(OR('Summary, hourly ad costs'!AE95=-9999,'Summary, hourly ad costs'!AE95=0), ".", 'Predicted PPIs'!DH94*('Summary, hourly ad costs'!O95/'Summary, hourly ad costs'!AE95)/('Summary, hourly ad costs'!O94/'Summary, hourly ad costs'!AE94)/(1-CR94)), 'Summary, PPI''s'!AE95))</f>
        <v>.</v>
      </c>
      <c r="DI95" s="5" t="str">
        <f>IF(DI94=".", ".", IF('Summary, PPI''s'!AF95=".",IF(OR('Summary, hourly ad costs'!AF95=-9999,'Summary, hourly ad costs'!AF95=0), ".", 'Predicted PPIs'!DI94*('Summary, hourly ad costs'!P95/'Summary, hourly ad costs'!AF95)/('Summary, hourly ad costs'!P94/'Summary, hourly ad costs'!AF94)/(1-CS94)), 'Summary, PPI''s'!AF95))</f>
        <v>.</v>
      </c>
      <c r="DK95" s="4">
        <f t="shared" ref="DK95:DK123" si="205">DK94*BE95/BE94</f>
        <v>2.6058049122807012</v>
      </c>
      <c r="DM95" s="5">
        <f t="shared" si="186"/>
        <v>3.6082294074505139E-2</v>
      </c>
      <c r="DN95" s="4">
        <f t="shared" si="187"/>
        <v>-1.9231237354622843E-2</v>
      </c>
      <c r="DO95" s="4">
        <f t="shared" si="181"/>
        <v>-2.2859073305115735E-2</v>
      </c>
      <c r="DP95" s="5">
        <f t="shared" si="188"/>
        <v>3.9143098231136708E-2</v>
      </c>
      <c r="DQ95" s="5">
        <f t="shared" si="189"/>
        <v>-7.4419873504285583E-2</v>
      </c>
      <c r="DR95" s="4">
        <f t="shared" si="146"/>
        <v>-1.1584066449524163E-2</v>
      </c>
      <c r="DS95" s="5">
        <f t="shared" si="190"/>
        <v>-4.6478035549757379E-3</v>
      </c>
      <c r="DT95" s="4">
        <f t="shared" ref="DT95:DT122" si="206">_xlfn.FORECAST.LINEAR($BM95,DT$4:DT$93,$BM$4:$BM$93)</f>
        <v>1.2183803167899129E-2</v>
      </c>
      <c r="DU95" s="4">
        <f t="shared" si="171"/>
        <v>-3.2062264019793493E-2</v>
      </c>
      <c r="DV95" s="4">
        <f t="shared" si="131"/>
        <v>9.3172280219954427E-4</v>
      </c>
      <c r="DW95" s="4">
        <f t="shared" si="182"/>
        <v>-1.1819672764287978E-2</v>
      </c>
      <c r="DX95" s="4">
        <f t="shared" si="182"/>
        <v>-0.15395190119776223</v>
      </c>
      <c r="DY95" s="4">
        <f t="shared" si="108"/>
        <v>-2.0451214581851854E-2</v>
      </c>
      <c r="DZ95" s="4">
        <f t="shared" si="132"/>
        <v>-1.4100494357133791E-2</v>
      </c>
      <c r="EA95" s="4">
        <f t="shared" si="109"/>
        <v>-1.2164302723454416E-2</v>
      </c>
      <c r="EC95" s="1">
        <f t="shared" si="154"/>
        <v>33.672457081732304</v>
      </c>
      <c r="ED95" s="1">
        <f t="shared" si="155"/>
        <v>3.7596651140237798</v>
      </c>
      <c r="EE95" s="1">
        <f t="shared" si="156"/>
        <v>2.1070772811062235</v>
      </c>
      <c r="EF95" s="1">
        <f t="shared" si="157"/>
        <v>3.1438988668603196</v>
      </c>
      <c r="EG95" s="1">
        <f t="shared" si="158"/>
        <v>5.4550333371889641</v>
      </c>
      <c r="EH95" s="1">
        <f t="shared" si="159"/>
        <v>2.5303814744343542</v>
      </c>
      <c r="EI95" s="1">
        <f t="shared" si="160"/>
        <v>2.1891673339496673</v>
      </c>
      <c r="EJ95" s="1">
        <f t="shared" si="161"/>
        <v>3.385547758306418</v>
      </c>
      <c r="EK95" s="1">
        <f t="shared" si="162"/>
        <v>7.46458852581973</v>
      </c>
      <c r="EL95" s="1">
        <f t="shared" si="163"/>
        <v>2.1416772248464473</v>
      </c>
      <c r="EM95" s="1">
        <f t="shared" si="164"/>
        <v>0.18105057421859105</v>
      </c>
      <c r="EN95" s="1">
        <f t="shared" si="165"/>
        <v>1.7249906867581521</v>
      </c>
      <c r="EO95" s="1">
        <f t="shared" si="166"/>
        <v>1.4842627078877577</v>
      </c>
      <c r="EP95" s="1">
        <f t="shared" si="167"/>
        <v>2.4590265094444184</v>
      </c>
      <c r="EQ95" s="1">
        <f t="shared" si="168"/>
        <v>1.9352804072540926</v>
      </c>
      <c r="ES95" s="1">
        <f>IF(EF$26=".", 0, 'Summary, PPI''s'!E95)+IF(EG$26=".", 0, 'Summary, PPI''s'!F95)+IF(EH$26=".", 0, 'Summary, PPI''s'!G95)+IF(EI$26=".", 0, 'Summary, PPI''s'!H95)+IF(EJ$26=".", 0, 'Summary, PPI''s'!I95)+IF(EK$26=".", 0, 'Summary, PPI''s'!J95)+IF(EL$26=".", 0, 'Summary, PPI''s'!K95)+IF(EM$26=".", 0, 'Summary, PPI''s'!L95)+IF(EN$26=".", 0, 'Summary, PPI''s'!M95)+IF(EC$26=".", 0, 'Summary, PPI''s'!B95)+IF(ED$26=".", 0, 'Summary, PPI''s'!C95)+IF(EE$26=".", 0, 'Summary, PPI''s'!D95)+IF(EO$26=".", 0, 'Summary, PPI''s'!N95)+IF(EP$26=".", 0, 'Summary, PPI''s'!O95)+IF(EQ$26=".", 0, 'Summary, PPI''s'!P95)</f>
        <v>2443767.7127875052</v>
      </c>
      <c r="ET95" s="1">
        <f>'Summary, hourly ad costs'!E95+'Summary, hourly ad costs'!F95+'Summary, hourly ad costs'!H95+'Summary, hourly ad costs'!I95+'Summary, hourly ad costs'!J95+'Summary, hourly ad costs'!K95+'Summary, hourly ad costs'!L95+'Summary, hourly ad costs'!M95+'Summary, hourly ad costs'!B95</f>
        <v>1574744.7803864521</v>
      </c>
      <c r="EV95" s="13">
        <f>EV94*IF(EF$26=".", 1, (EF95/EF94)^(('Summary, PPI''s'!$E95+'Summary, PPI''s'!$E94)/('Predicted PPIs'!ES95+'Predicted PPIs'!ES94)))*IF(EG$26=".", 1, (EG95/EG94)^(('Summary, PPI''s'!$F95+'Summary, PPI''s'!$F94)/('Predicted PPIs'!ES95+'Predicted PPIs'!ES94)))*IF(EH$26=".", 1, (EH95/EH94)^(('Summary, PPI''s'!$G95+'Summary, PPI''s'!$G94)/('Predicted PPIs'!ES95+'Predicted PPIs'!ES94)))*IF(EI$26=".", 1, (EI95/EI94)^(('Summary, PPI''s'!$H95+'Summary, PPI''s'!$H94)/('Predicted PPIs'!ES95+'Predicted PPIs'!ES94)))*IF(EJ$26=".", 1, (EJ95/EJ94)^(('Summary, PPI''s'!$I95+'Summary, PPI''s'!$I94)/('Predicted PPIs'!ES95+'Predicted PPIs'!ES94)))*IF(EK$26=".", 1, (EK95/EK94)^(('Summary, PPI''s'!$J95+'Summary, PPI''s'!$J94)/('Predicted PPIs'!ES95+'Predicted PPIs'!ES94)))*IF(EL$26=".", 1, (EL95/EL94)^(('Summary, PPI''s'!$K95+'Summary, PPI''s'!$K94)/('Predicted PPIs'!ES95+'Predicted PPIs'!ES94)))*IF(EM$26=".", 1, (EM95/EM94)^(('Summary, PPI''s'!$L95+'Summary, PPI''s'!$L94)/('Predicted PPIs'!ES95+'Predicted PPIs'!ES94)))*IF(EN$26=".", 1, (EN95/EN94)^(('Summary, PPI''s'!$M95+'Summary, PPI''s'!$M94)/('Predicted PPIs'!ES95+'Predicted PPIs'!ES94)))*IF(EC$26=".", 1, (EC95/EC94)^(('Summary, PPI''s'!$B95+'Summary, PPI''s'!$B94)/('Predicted PPIs'!ES95+'Predicted PPIs'!ES94)))*IF(ED$26=".", 1, (ED95/ED94)^(('Summary, PPI''s'!$C95+'Summary, PPI''s'!$C94)/('Predicted PPIs'!ES95+'Predicted PPIs'!ES94)))*IF(EE$26=".", 1, (EE95/EE94)^(('Summary, PPI''s'!$D95+'Summary, PPI''s'!$D94)/('Predicted PPIs'!ES95+'Predicted PPIs'!ES94)))*IF(EO$26=".", 1, (EO95/EO94)^(('Summary, PPI''s'!$N95+'Summary, PPI''s'!$N94)/('Predicted PPIs'!ES95+'Predicted PPIs'!ES94)))*IF(EP$26=".", 1, (EP95/EP94)^(('Summary, PPI''s'!$O95+'Summary, PPI''s'!$O94)/('Predicted PPIs'!ES95+'Predicted PPIs'!ES94)))*IF(EQ$26=".", 1, (EQ95/EQ94)^(('Summary, PPI''s'!$P95+'Summary, PPI''s'!$P94)/('Predicted PPIs'!ES95+'Predicted PPIs'!ES94)))</f>
        <v>4.5258270837918086</v>
      </c>
      <c r="EW95" s="13">
        <f>EW94*IF(EF$26=".", 1, (EF95/EF94)^(('Summary, PPI''s'!$E95+'Summary, PPI''s'!$E94)/('Predicted PPIs'!ET95+'Predicted PPIs'!ET94)))*IF(EG$26=".", 1, (EG95/EG94)^(('Summary, PPI''s'!$F95+'Summary, PPI''s'!$F94)/('Predicted PPIs'!ET95+'Predicted PPIs'!ET94)))*IF(EH$26=".", 1, (EH95/EH94)^(('Summary, PPI''s'!$G95+'Summary, PPI''s'!$G94)/('Predicted PPIs'!ET95+'Predicted PPIs'!ET94)))*IF(EK$26=".", 1, (EK95/EK94)^(('Summary, PPI''s'!$J95+'Summary, PPI''s'!$J94)/('Predicted PPIs'!ET95+'Predicted PPIs'!ET94)))*IF(EL$26=".", 1, (EL95/EL94)^(('Summary, PPI''s'!$K95+'Summary, PPI''s'!$K94)/('Predicted PPIs'!ET95+'Predicted PPIs'!ET94)))*IF(EM$26=".", 1, (EM95/EM94)^(('Summary, PPI''s'!$L95+'Summary, PPI''s'!$L94)/('Predicted PPIs'!ET95+'Predicted PPIs'!ET94)))*IF(EN$26=".", 1, (EN95/EN94)^(('Summary, PPI''s'!$M95+'Summary, PPI''s'!$M94)/('Predicted PPIs'!ET95+'Predicted PPIs'!ET94)))*IF(EC$26=".", 1, (EC95/EC94)^(('Summary, PPI''s'!$B95+'Summary, PPI''s'!$B94)/('Predicted PPIs'!ET95+'Predicted PPIs'!ET94)))</f>
        <v>8.7691304740474649</v>
      </c>
      <c r="EY95" s="2"/>
    </row>
    <row r="96" spans="1:155" x14ac:dyDescent="0.3">
      <c r="A96" s="4">
        <v>1927</v>
      </c>
      <c r="B96" s="10">
        <f>IF(B95=".", ".", IF('Summary, PPI''s'!R96=".",IF(OR('Summary, hourly ad costs'!R96=-9999,'Summary, hourly ad costs'!R96=0), ".", 'Predicted PPIs'!B95*('Summary, hourly ad costs'!B96/'Summary, hourly ad costs'!R96)/('Summary, hourly ad costs'!B95/'Summary, hourly ad costs'!R95)), 'Summary, PPI''s'!R96))</f>
        <v>55.12714715147429</v>
      </c>
      <c r="C96" s="10" t="str">
        <f>IF(C95=".", ".", IF('Summary, PPI''s'!S96=".",IF(OR('Summary, hourly ad costs'!S96=-9999,'Summary, hourly ad costs'!S96=0), ".", 'Predicted PPIs'!C95*('Summary, hourly ad costs'!C96/'Summary, hourly ad costs'!S96)/('Summary, hourly ad costs'!C95/'Summary, hourly ad costs'!S95)), 'Summary, PPI''s'!S96))</f>
        <v>.</v>
      </c>
      <c r="D96" s="10" t="str">
        <f>IF(D95=".", ".", IF('Summary, PPI''s'!T96=".",IF(OR('Summary, hourly ad costs'!T96=-9999,'Summary, hourly ad costs'!T96=0), ".", 'Predicted PPIs'!D95*('Summary, hourly ad costs'!D96/'Summary, hourly ad costs'!T96)/('Summary, hourly ad costs'!D95/'Summary, hourly ad costs'!T95)), 'Summary, PPI''s'!T96))</f>
        <v>.</v>
      </c>
      <c r="E96" s="10">
        <f>IF(E95=".", ".", IF('Summary, PPI''s'!U96=".",IF(OR('Summary, hourly ad costs'!U96=-9999,'Summary, hourly ad costs'!U96=0), ".", 'Predicted PPIs'!E95*('Summary, hourly ad costs'!E96/'Summary, hourly ad costs'!U96)/('Summary, hourly ad costs'!E95/'Summary, hourly ad costs'!U95)), 'Summary, PPI''s'!U96))</f>
        <v>2.7368291024245677</v>
      </c>
      <c r="F96" s="10">
        <f>IF(F95=".", ".", IF('Summary, PPI''s'!V96=".",IF(OR('Summary, hourly ad costs'!V96=-9999,'Summary, hourly ad costs'!V96=0), ".", 'Predicted PPIs'!F95*('Summary, hourly ad costs'!F96/'Summary, hourly ad costs'!V96)/('Summary, hourly ad costs'!F95/'Summary, hourly ad costs'!V95)), 'Summary, PPI''s'!V96))</f>
        <v>4.8835848899399901</v>
      </c>
      <c r="G96" s="10" t="str">
        <f>IF(G95=".", ".", IF('Summary, PPI''s'!W96=".",IF(OR('Summary, hourly ad costs'!W96=-9999,'Summary, hourly ad costs'!W96=0), ".", 'Predicted PPIs'!G95*('Summary, hourly ad costs'!G96/'Summary, hourly ad costs'!W96)/('Summary, hourly ad costs'!G95/'Summary, hourly ad costs'!W95)), 'Summary, PPI''s'!W96))</f>
        <v>.</v>
      </c>
      <c r="H96" s="10">
        <f>IF(H95=".", ".", IF('Summary, PPI''s'!X96=".",IF(OR('Summary, hourly ad costs'!X96=-9999,'Summary, hourly ad costs'!X96=0), ".", 'Predicted PPIs'!H95*('Summary, hourly ad costs'!H96/'Summary, hourly ad costs'!X96)/('Summary, hourly ad costs'!H95/'Summary, hourly ad costs'!X95)), 'Summary, PPI''s'!X96))</f>
        <v>1.9547807252570288</v>
      </c>
      <c r="I96" s="10">
        <f>IF(I95=".", ".", IF('Summary, PPI''s'!Y96=".",IF(OR('Summary, hourly ad costs'!Y96=-9999,'Summary, hourly ad costs'!Y96=0), ".", 'Predicted PPIs'!I95*('Summary, hourly ad costs'!I96/'Summary, hourly ad costs'!Y96)/('Summary, hourly ad costs'!I95/'Summary, hourly ad costs'!Y95)), 'Summary, PPI''s'!Y96))</f>
        <v>0.72607535461553629</v>
      </c>
      <c r="J96" s="10" t="str">
        <f>IF(J95=".", ".", IF('Summary, PPI''s'!Z96=".",IF(OR('Summary, hourly ad costs'!Z96=-9999,'Summary, hourly ad costs'!Z96=0), ".", 'Predicted PPIs'!J95*('Summary, hourly ad costs'!J96/'Summary, hourly ad costs'!Z96)/('Summary, hourly ad costs'!J95/'Summary, hourly ad costs'!Z95)), 'Summary, PPI''s'!Z96))</f>
        <v>.</v>
      </c>
      <c r="K96" s="10" t="str">
        <f>IF(K95=".", ".", IF('Summary, PPI''s'!AA96=".",IF(OR('Summary, hourly ad costs'!AA96=-9999,'Summary, hourly ad costs'!AA96=0), ".", 'Predicted PPIs'!K95*('Summary, hourly ad costs'!K96/'Summary, hourly ad costs'!AA96)/('Summary, hourly ad costs'!K95/'Summary, hourly ad costs'!AA95)), 'Summary, PPI''s'!AA96))</f>
        <v>.</v>
      </c>
      <c r="L96" s="10" t="str">
        <f>IF(L95=".", ".", IF('Summary, PPI''s'!AB96=".",IF(OR('Summary, hourly ad costs'!AB96=-9999,'Summary, hourly ad costs'!AB96=0), ".", 'Predicted PPIs'!L95*('Summary, hourly ad costs'!L96/'Summary, hourly ad costs'!AB96)/('Summary, hourly ad costs'!L95/'Summary, hourly ad costs'!AB95)), 'Summary, PPI''s'!AB96))</f>
        <v>.</v>
      </c>
      <c r="M96" s="10" t="str">
        <f>IF(M95=".", ".", IF('Summary, PPI''s'!AC96=".",IF(OR('Summary, hourly ad costs'!AC96=-9999,'Summary, hourly ad costs'!AC96=0), ".", 'Predicted PPIs'!M95*('Summary, hourly ad costs'!M96/'Summary, hourly ad costs'!AC96)/('Summary, hourly ad costs'!M95/'Summary, hourly ad costs'!AC95)), 'Summary, PPI''s'!AC96))</f>
        <v>.</v>
      </c>
      <c r="N96" s="10" t="str">
        <f>IF(N95=".", ".", IF('Summary, PPI''s'!AD96=".",IF(OR('Summary, hourly ad costs'!AD96=-9999,'Summary, hourly ad costs'!AD96=0), ".", 'Predicted PPIs'!N95*('Summary, hourly ad costs'!N96/'Summary, hourly ad costs'!AD96)/('Summary, hourly ad costs'!N95/'Summary, hourly ad costs'!AD95)), 'Summary, PPI''s'!AD96))</f>
        <v>.</v>
      </c>
      <c r="O96" s="10" t="str">
        <f>IF(O95=".", ".", IF('Summary, PPI''s'!AE96=".",IF(OR('Summary, hourly ad costs'!AE96=-9999,'Summary, hourly ad costs'!AE96=0), ".", 'Predicted PPIs'!O95*('Summary, hourly ad costs'!O96/'Summary, hourly ad costs'!AE96)/('Summary, hourly ad costs'!O95/'Summary, hourly ad costs'!AE95)), 'Summary, PPI''s'!AE96))</f>
        <v>.</v>
      </c>
      <c r="P96" s="10" t="str">
        <f>IF(P95=".", ".", IF('Summary, PPI''s'!AF96=".",IF(OR('Summary, hourly ad costs'!AF96=-9999,'Summary, hourly ad costs'!AF96=0), ".", 'Predicted PPIs'!P95*('Summary, hourly ad costs'!P96/'Summary, hourly ad costs'!AF96)/('Summary, hourly ad costs'!P95/'Summary, hourly ad costs'!AF95)), 'Summary, PPI''s'!AF96))</f>
        <v>.</v>
      </c>
      <c r="R96" s="1">
        <f>IF(E$26=".", 0, 'Summary, PPI''s'!E96)+IF(F$26=".", 0, 'Summary, PPI''s'!F96)+IF(G$26=".", 0, 'Summary, PPI''s'!G96)+IF(H$26=".", 0, 'Summary, PPI''s'!H96)+IF(I$26=".", 0, 'Summary, PPI''s'!I96)+IF(J$26=".", 0, 'Summary, PPI''s'!J96)+IF(K$26=".", 0, 'Summary, PPI''s'!K96)+IF(L$26=".", 0, 'Summary, PPI''s'!L96)+IF(M$26=".", 0, 'Summary, PPI''s'!M96)+IF(B$26=".", 0, 'Summary, PPI''s'!B96)+IF(C$26=".", 0, 'Summary, PPI''s'!C96)+IF(D$26=".", 0, 'Summary, PPI''s'!D96)+IF(N$26=".", 0, 'Summary, PPI''s'!N96)+IF(O$26=".", 0, 'Summary, PPI''s'!O96)+IF(P$26=".", 0, 'Summary, PPI''s'!P96)</f>
        <v>2386827.8079138058</v>
      </c>
      <c r="S96" s="1">
        <f>IF(E$36=".", 0, 'Summary, PPI''s'!E96)+IF(F$36=".", 0, 'Summary, PPI''s'!F96)+IF(G$36=".", 0, 'Summary, PPI''s'!G96)+IF(H$36=".", 0, 'Summary, PPI''s'!H96)+IF(I$36=".", 0, 'Summary, PPI''s'!I96)+IF(J$36=".", 0, 'Summary, PPI''s'!J96)+IF(K$36=".", 0, 'Summary, PPI''s'!K96)+IF(L$36=".", 0, 'Summary, PPI''s'!L96)+IF(M$36=".", 0, 'Summary, PPI''s'!M96)+IF(B$36=".", 0, 'Summary, PPI''s'!B96)+IF(C$36=".", 0, 'Summary, PPI''s'!C96)+IF(D$36=".", 0, 'Summary, PPI''s'!D96)+IF(N$36=".", 0, 'Summary, PPI''s'!N96)+IF(O$36=".", 0, 'Summary, PPI''s'!O96)+IF(P$36=".", 0, 'Summary, PPI''s'!P96)</f>
        <v>2386827.8079138058</v>
      </c>
      <c r="T96" s="1">
        <f>IF(E$46=".", 0, 'Summary, PPI''s'!E96)+IF(F$46=".", 0, 'Summary, PPI''s'!F96)+IF(G$46=".", 0, 'Summary, PPI''s'!G96)+IF(H$46=".", 0, 'Summary, PPI''s'!H96)+IF(I$46=".", 0, 'Summary, PPI''s'!I96)+IF(J$46=".", 0, 'Summary, PPI''s'!J96)+IF(K$46=".", 0, 'Summary, PPI''s'!K96)+IF(L$46=".", 0, 'Summary, PPI''s'!L96)+IF(M$46=".", 0, 'Summary, PPI''s'!M96)+IF(B$46=".", 0, 'Summary, PPI''s'!B96)+IF(C$46=".", 0, 'Summary, PPI''s'!C96)+IF(D$46=".", 0, 'Summary, PPI''s'!D96)+IF(N$46=".", 0, 'Summary, PPI''s'!N96)+IF(O$46=".", 0, 'Summary, PPI''s'!O96)+IF(P$46=".", 0, 'Summary, PPI''s'!P96)</f>
        <v>2045891.8245284688</v>
      </c>
      <c r="U96" s="1">
        <f>IF(E$60=".", 0, 'Summary, PPI''s'!E96)+IF(F$60=".", 0, 'Summary, PPI''s'!F96)+IF(G$60=".", 0, 'Summary, PPI''s'!G96)+IF(H$60=".", 0, 'Summary, PPI''s'!H96)+IF(I$60=".", 0, 'Summary, PPI''s'!I96)+IF(J$60=".", 0, 'Summary, PPI''s'!J96)+IF(K$60=".", 0, 'Summary, PPI''s'!K96)+IF(L$60=".", 0, 'Summary, PPI''s'!L96)+IF(M$60=".", 0, 'Summary, PPI''s'!M96)+IF(B$60=".", 0, 'Summary, PPI''s'!B96)+IF(C$60=".", 0, 'Summary, PPI''s'!C96)+IF(D$60=".", 0, 'Summary, PPI''s'!D96)+IF(N$60=".", 0, 'Summary, PPI''s'!N96)+IF(O$60=".", 0, 'Summary, PPI''s'!O96)+IF(P$60=".", 0, 'Summary, PPI''s'!P96)</f>
        <v>1890866.6318595128</v>
      </c>
      <c r="V96" s="1">
        <f>IF(E$73=".", 0, 'Summary, PPI''s'!E96)+IF(F$73=".", 0, 'Summary, PPI''s'!F96)+IF(G$73=".", 0, 'Summary, PPI''s'!G96)+IF(H$73=".", 0, 'Summary, PPI''s'!H96)+IF(I$73=".", 0, 'Summary, PPI''s'!I96)+IF(J$73=".", 0, 'Summary, PPI''s'!J96)+IF(K$73=".", 0, 'Summary, PPI''s'!K96)+IF(L$73=".", 0, 'Summary, PPI''s'!L96)+IF(M$73=".", 0, 'Summary, PPI''s'!M96)+IF(B$73=".", 0, 'Summary, PPI''s'!B96)+IF(C$73=".", 0, 'Summary, PPI''s'!C96)+IF(D$73=".", 0, 'Summary, PPI''s'!D96)+IF(N$73=".", 0, 'Summary, PPI''s'!N96)+IF(O$73=".", 0, 'Summary, PPI''s'!O96)+IF(P$73=".", 0, 'Summary, PPI''s'!P96)</f>
        <v>1534772.425543335</v>
      </c>
      <c r="W96" s="1">
        <f>IF(E$94=".",0,'Summary, PPI''s'!E96)+IF(F$94=".",0,'Summary, PPI''s'!F96)+IF(G$94=".",0,'Summary, PPI''s'!G96)+IF(H$94=".",0,'Summary, PPI''s'!H96)+IF(I$94=".",0,'Summary, PPI''s'!I96)+IF(J$94=".",0,'Summary, PPI''s'!J96)+IF(K$94=".",0,'Summary, PPI''s'!K96)+IF(L$94=".",0,'Summary, PPI''s'!L96)+IF(M$94=".",0,'Summary, PPI''s'!M96)+IF(B$94=".",0,'Summary, PPI''s'!B96)+IF(C$94=".",0,'Summary, PPI''s'!C96)+IF(D$94=".",0,'Summary, PPI''s'!D96)+IF(N$94=".",0,'Summary, PPI''s'!N96)+IF(O$94=".",0,'Summary, PPI''s'!O96)+IF(P$94=".",0,'Summary, PPI''s'!P96)</f>
        <v>1534772.425543335</v>
      </c>
      <c r="X96" s="1">
        <f>IF(E$123=".", 0, 'Summary, PPI''s'!E96)+IF(F$123=".", 0, 'Summary, PPI''s'!F96)+IF(G$123=".", 0, 'Summary, PPI''s'!G96)+IF(H$123=".", 0, 'Summary, PPI''s'!H96)+IF(I$123=".", 0, 'Summary, PPI''s'!I96)+IF(J$123=".", 0, 'Summary, PPI''s'!J96)+IF(K$123=".", 0, 'Summary, PPI''s'!K96)+IF(L$123=".", 0, 'Summary, PPI''s'!L96)+IF(M$123=".", 0, 'Summary, PPI''s'!M96)+IF(B$123=".", 0, 'Summary, PPI''s'!B96)+IF(C$123=".", 0, 'Summary, PPI''s'!C96)+IF(D$123=".", 0, 'Summary, PPI''s'!D96)+IF(N$123=".", 0, 'Summary, PPI''s'!N96)+IF(O$123=".", 0, 'Summary, PPI''s'!O96)+IF(P$123=".", 0, 'Summary, PPI''s'!P96)</f>
        <v>1529674.452944142</v>
      </c>
      <c r="Z96" s="4" t="e">
        <f>Z95*IF(E$26=".", 1, (E96/E95)^(('Summary, PPI''s'!$E96+'Summary, PPI''s'!$E95)/('Predicted PPIs'!R96+'Predicted PPIs'!R95)))*IF(F$26=".", 1, (F96/F95)^(('Summary, PPI''s'!$F96+'Summary, PPI''s'!$F95)/('Predicted PPIs'!R96+'Predicted PPIs'!R95)))*IF(G$26=".", 1, (G96/G95)^(('Summary, PPI''s'!$G96+'Summary, PPI''s'!$G95)/('Predicted PPIs'!R96+'Predicted PPIs'!R95)))*IF(H$26=".", 1, (H96/H95)^(('Summary, PPI''s'!$H96+'Summary, PPI''s'!$H95)/('Predicted PPIs'!R96+'Predicted PPIs'!R95)))*IF(I$26=".", 1, (I96/I95)^(('Summary, PPI''s'!$I96+'Summary, PPI''s'!$I95)/('Predicted PPIs'!R96+'Predicted PPIs'!R95)))*IF(J$26=".", 1, (J96/J95)^(('Summary, PPI''s'!$J96+'Summary, PPI''s'!$J95)/('Predicted PPIs'!R96+'Predicted PPIs'!R95)))*IF(K$26=".", 1, (K96/K95)^(('Summary, PPI''s'!$K96+'Summary, PPI''s'!$K95)/('Predicted PPIs'!R96+'Predicted PPIs'!R95)))*IF(L$26=".", 1, (L96/L95)^(('Summary, PPI''s'!$L96+'Summary, PPI''s'!$L95)/('Predicted PPIs'!R96+'Predicted PPIs'!R95)))*IF(M$26=".", 1, (M96/M95)^(('Summary, PPI''s'!$M96+'Summary, PPI''s'!$M95)/('Predicted PPIs'!R96+'Predicted PPIs'!R95)))*IF(B$26=".", 1, (B96/B95)^(('Summary, PPI''s'!$B96+'Summary, PPI''s'!$B95)/('Predicted PPIs'!R96+'Predicted PPIs'!R95)))*IF(C$26=".", 1, (C96/C95)^(('Summary, PPI''s'!$C96+'Summary, PPI''s'!$C95)/('Predicted PPIs'!R96+'Predicted PPIs'!R95)))*IF(D$26=".", 1, (D96/D95)^(('Summary, PPI''s'!$D96+'Summary, PPI''s'!$D95)/('Predicted PPIs'!R96+'Predicted PPIs'!R95)))*IF(N$26=".", 1, (N96/N95)^(('Summary, PPI''s'!$N96+'Summary, PPI''s'!$N95)/('Predicted PPIs'!R96+'Predicted PPIs'!R95)))*IF(O$26=".", 1, (O96/O95)^(('Summary, PPI''s'!$O96+'Summary, PPI''s'!$O95)/('Predicted PPIs'!R96+'Predicted PPIs'!R95)))*IF(P$26=".", 1, (P96/P95)^(('Summary, PPI''s'!$P96+'Summary, PPI''s'!$P95)/('Predicted PPIs'!R96+'Predicted PPIs'!R95)))</f>
        <v>#VALUE!</v>
      </c>
      <c r="AA96" s="4" t="e">
        <f>AA95*IF(E$36=".", 1, (E96/E95)^(('Summary, PPI''s'!$E96+'Summary, PPI''s'!$E95)/('Predicted PPIs'!S96+'Predicted PPIs'!S95)))*IF(F$36=".", 1, (F96/F95)^(('Summary, PPI''s'!$F96+'Summary, PPI''s'!$F95)/('Predicted PPIs'!S96+'Predicted PPIs'!S95)))*IF(G$36=".", 1, (G96/G95)^(('Summary, PPI''s'!$G96+'Summary, PPI''s'!$G95)/('Predicted PPIs'!S96+'Predicted PPIs'!S95)))*IF(H$36=".", 1, (H96/H95)^(('Summary, PPI''s'!$H96+'Summary, PPI''s'!$H95)/('Predicted PPIs'!S96+'Predicted PPIs'!S95)))*IF(I$36=".", 1, (I96/I95)^(('Summary, PPI''s'!$I96+'Summary, PPI''s'!$I95)/('Predicted PPIs'!S96+'Predicted PPIs'!S95)))*IF(J$36=".", 1, (J96/J95)^(('Summary, PPI''s'!$J96+'Summary, PPI''s'!$J95)/('Predicted PPIs'!S96+'Predicted PPIs'!S95)))*IF(K$36=".", 1, (K96/K95)^(('Summary, PPI''s'!$K96+'Summary, PPI''s'!$K95)/('Predicted PPIs'!S96+'Predicted PPIs'!S95)))*IF(L$36=".", 1, (L96/L95)^(('Summary, PPI''s'!$L96+'Summary, PPI''s'!$L95)/('Predicted PPIs'!S96+'Predicted PPIs'!S95)))*IF(M$36=".", 1, (M96/M95)^(('Summary, PPI''s'!$M96+'Summary, PPI''s'!$M95)/('Predicted PPIs'!S96+'Predicted PPIs'!S95)))*IF(B$36=".", 1, (B96/B95)^(('Summary, PPI''s'!$B96+'Summary, PPI''s'!$B95)/('Predicted PPIs'!S96+'Predicted PPIs'!S95)))*IF(C$36=".", 1, (C96/C95)^(('Summary, PPI''s'!$C96+'Summary, PPI''s'!$C95)/('Predicted PPIs'!S96+'Predicted PPIs'!S95)))*IF(D$36=".", 1, (D96/D95)^(('Summary, PPI''s'!$D96+'Summary, PPI''s'!$D95)/('Predicted PPIs'!S96+'Predicted PPIs'!S95)))*IF(N$36=".", 1, (N96/N95)^(('Summary, PPI''s'!$N96+'Summary, PPI''s'!$N95)/('Predicted PPIs'!S96+'Predicted PPIs'!S95)))*IF(O$36=".", 1, (O96/O95)^(('Summary, PPI''s'!$O96+'Summary, PPI''s'!$O95)/('Predicted PPIs'!S96+'Predicted PPIs'!S95)))*IF(P$36=".", 1, (P96/P95)^(('Summary, PPI''s'!$P96+'Summary, PPI''s'!$P95)/('Predicted PPIs'!S96+'Predicted PPIs'!S95)))</f>
        <v>#VALUE!</v>
      </c>
      <c r="AB96" s="4" t="e">
        <f>AB95*IF(E$46=".", 1, (E96/E95)^(('Summary, PPI''s'!$E96+'Summary, PPI''s'!$E95)/('Predicted PPIs'!T96+'Predicted PPIs'!T95)))*IF(F$46=".", 1, (F96/F95)^(('Summary, PPI''s'!$F96+'Summary, PPI''s'!$F95)/('Predicted PPIs'!T96+'Predicted PPIs'!T95)))*IF(G$46=".", 1, (G96/G95)^(('Summary, PPI''s'!$G96+'Summary, PPI''s'!$G95)/('Predicted PPIs'!T96+'Predicted PPIs'!T95)))*IF(H$46=".", 1, (H96/H95)^(('Summary, PPI''s'!$H96+'Summary, PPI''s'!$H95)/('Predicted PPIs'!T96+'Predicted PPIs'!T95)))*IF(I$46=".", 1, (I96/I95)^(('Summary, PPI''s'!$I96+'Summary, PPI''s'!$I95)/('Predicted PPIs'!T96+'Predicted PPIs'!T95)))*IF(J$46=".", 1, (J96/J95)^(('Summary, PPI''s'!$J96+'Summary, PPI''s'!$J95)/('Predicted PPIs'!T96+'Predicted PPIs'!T95)))*IF(K$46=".", 1, (K96/K95)^(('Summary, PPI''s'!$K96+'Summary, PPI''s'!$K95)/('Predicted PPIs'!T96+'Predicted PPIs'!T95)))*IF(L$46=".", 1, (L96/L95)^(('Summary, PPI''s'!$L96+'Summary, PPI''s'!$L95)/('Predicted PPIs'!T96+'Predicted PPIs'!T95)))*IF(M$46=".", 1, (M96/M95)^(('Summary, PPI''s'!$M96+'Summary, PPI''s'!$M95)/('Predicted PPIs'!T96+'Predicted PPIs'!T95)))*IF(B$46=".", 1, (B96/B95)^(('Summary, PPI''s'!$B96+'Summary, PPI''s'!$B95)/('Predicted PPIs'!T96+'Predicted PPIs'!T95)))*IF(C$46=".", 1, (C96/C95)^(('Summary, PPI''s'!$C96+'Summary, PPI''s'!$C95)/('Predicted PPIs'!T96+'Predicted PPIs'!T95)))*IF(D$46=".", 1, (D96/D95)^(('Summary, PPI''s'!$D96+'Summary, PPI''s'!$D95)/('Predicted PPIs'!T96+'Predicted PPIs'!T95)))*IF(N$46=".", 1, (N96/N95)^(('Summary, PPI''s'!$N96+'Summary, PPI''s'!$N95)/('Predicted PPIs'!T96+'Predicted PPIs'!T95)))*IF(O$46=".", 1, (O96/O95)^(('Summary, PPI''s'!$O96+'Summary, PPI''s'!$O95)/('Predicted PPIs'!T96+'Predicted PPIs'!T95)))*IF(P$46=".", 1, (P96/P95)^(('Summary, PPI''s'!$P96+'Summary, PPI''s'!$P95)/('Predicted PPIs'!T96+'Predicted PPIs'!T95)))</f>
        <v>#VALUE!</v>
      </c>
      <c r="AC96" s="4" t="e">
        <f>AC95*IF(E$60=".",1,(E96/E95)^(('Summary, PPI''s'!$E96+'Summary, PPI''s'!$E95)/('Predicted PPIs'!U96+'Predicted PPIs'!U95)))*IF(F$60=".",1,(F96/F95)^(('Summary, PPI''s'!$F96+'Summary, PPI''s'!$F95)/('Predicted PPIs'!U96+'Predicted PPIs'!U95)))*IF(G$60=".",1,(G96/G95)^(('Summary, PPI''s'!$G96+'Summary, PPI''s'!$G95)/('Predicted PPIs'!U96+'Predicted PPIs'!U95)))*IF(H$60=".",1,(H96/H95)^(('Summary, PPI''s'!$H96+'Summary, PPI''s'!$H95)/('Predicted PPIs'!U96+'Predicted PPIs'!U95)))*IF(I$60=".",1,(I96/I95)^(('Summary, PPI''s'!$I96+'Summary, PPI''s'!$I95)/('Predicted PPIs'!U96+'Predicted PPIs'!U95)))*IF(J$60=".",1,(J96/J95)^(('Summary, PPI''s'!$J96+'Summary, PPI''s'!$J95)/('Predicted PPIs'!U96+'Predicted PPIs'!U95)))*IF(K$60=".",1,(K96/K95)^(('Summary, PPI''s'!$K96+'Summary, PPI''s'!$K95)/('Predicted PPIs'!U96+'Predicted PPIs'!U95)))*IF(L$60=".",1,(L96/L95)^(('Summary, PPI''s'!$L96+'Summary, PPI''s'!$L95)/('Predicted PPIs'!U96+'Predicted PPIs'!U95)))*IF(M$60=".",1,(M96/M95)^(('Summary, PPI''s'!$M96+'Summary, PPI''s'!$M95)/('Predicted PPIs'!U96+'Predicted PPIs'!U95)))*IF(B$60=".",1,(B96/B95)^(('Summary, PPI''s'!$B96+'Summary, PPI''s'!$B95)/('Predicted PPIs'!U96+'Predicted PPIs'!U95)))*IF(C$60=".",1,(C96/C95)^(('Summary, PPI''s'!$C96+'Summary, PPI''s'!$C95)/('Predicted PPIs'!U96+'Predicted PPIs'!U95)))*IF(D$60=".",1,(D96/D95)^(('Summary, PPI''s'!$D96+'Summary, PPI''s'!$D95)/('Predicted PPIs'!U96+'Predicted PPIs'!U95)))*IF(N$60=".",1,(N96/N95)^(('Summary, PPI''s'!$N96+'Summary, PPI''s'!$N95)/('Predicted PPIs'!U96+'Predicted PPIs'!U95)))*IF(O$60=".",1,(O96/O95)^(('Summary, PPI''s'!$O96+'Summary, PPI''s'!$O95)/('Predicted PPIs'!U96+'Predicted PPIs'!U95)))*IF(P$60=".",1,(P96/P95)^(('Summary, PPI''s'!$P96+'Summary, PPI''s'!$P95)/('Predicted PPIs'!U96+'Predicted PPIs'!U95)))</f>
        <v>#VALUE!</v>
      </c>
      <c r="AD96" s="4" t="e">
        <f>AD95*IF(E$73=".", 1, (E96/E95)^(('Summary, PPI''s'!$E96+'Summary, PPI''s'!$E95)/('Predicted PPIs'!V96+'Predicted PPIs'!V95)))*IF(F$73=".", 1, (F96/F95)^(('Summary, PPI''s'!$F96+'Summary, PPI''s'!$F95)/('Predicted PPIs'!V96+'Predicted PPIs'!V95)))*IF(G$73=".", 1, (G96/G95)^(('Summary, PPI''s'!$G96+'Summary, PPI''s'!$G95)/('Predicted PPIs'!V96+'Predicted PPIs'!V95)))*IF(H$73=".", 1, (H96/H95)^(('Summary, PPI''s'!$H96+'Summary, PPI''s'!$H95)/('Predicted PPIs'!V96+'Predicted PPIs'!V95)))*IF(I$73=".", 1, (I96/I95)^(('Summary, PPI''s'!$I96+'Summary, PPI''s'!$I95)/('Predicted PPIs'!V96+'Predicted PPIs'!V95)))*IF(J$73=".", 1, (J96/J95)^(('Summary, PPI''s'!$J96+'Summary, PPI''s'!$J95)/('Predicted PPIs'!V96+'Predicted PPIs'!V95)))*IF(K$73=".", 1, (K96/K95)^(('Summary, PPI''s'!$K96+'Summary, PPI''s'!$K95)/('Predicted PPIs'!V96+'Predicted PPIs'!V95)))*IF(L$73=".", 1, (L96/L95)^(('Summary, PPI''s'!$L96+'Summary, PPI''s'!$L95)/('Predicted PPIs'!V96+'Predicted PPIs'!V95)))*IF(M$73=".", 1, (M96/M95)^(('Summary, PPI''s'!$M96+'Summary, PPI''s'!$M95)/('Predicted PPIs'!V96+'Predicted PPIs'!V95)))*IF(B$73=".", 1, (B96/B95)^(('Summary, PPI''s'!$B96+'Summary, PPI''s'!$B95)/('Predicted PPIs'!V96+'Predicted PPIs'!V95)))*IF(C$73=".", 1, (C96/C95)^(('Summary, PPI''s'!$C96+'Summary, PPI''s'!$C95)/('Predicted PPIs'!V96+'Predicted PPIs'!V95)))*IF(D$73=".", 1, (D96/D95)^(('Summary, PPI''s'!$D96+'Summary, PPI''s'!$D95)/('Predicted PPIs'!V96+'Predicted PPIs'!V95)))*IF(N$73=".", 1, (N96/N95)^(('Summary, PPI''s'!$N96+'Summary, PPI''s'!$N95)/('Predicted PPIs'!V96+'Predicted PPIs'!V95)))*IF(O$73=".", 1, (O96/O95)^(('Summary, PPI''s'!$O96+'Summary, PPI''s'!$O95)/('Predicted PPIs'!V96+'Predicted PPIs'!V95)))*IF(P$73=".", 1, (P96/P95)^(('Summary, PPI''s'!$P96+'Summary, PPI''s'!$P95)/('Predicted PPIs'!V96+'Predicted PPIs'!V95)))</f>
        <v>#VALUE!</v>
      </c>
      <c r="AE96" s="4">
        <f>AE95*IF(E$94=".", 1, (E96/E95)^(('Summary, PPI''s'!$E96+'Summary, PPI''s'!$E95)/('Predicted PPIs'!W96+'Predicted PPIs'!W95)))*IF(F$94=".", 1, (F96/F95)^(('Summary, PPI''s'!$F96+'Summary, PPI''s'!$F95)/('Predicted PPIs'!W96+'Predicted PPIs'!W95)))*IF(G$94=".", 1, (G96/G95)^(('Summary, PPI''s'!$G96+'Summary, PPI''s'!$G95)/('Predicted PPIs'!W96+'Predicted PPIs'!W95)))*IF(H$94=".", 1, (H96/H95)^(('Summary, PPI''s'!$H96+'Summary, PPI''s'!$H95)/('Predicted PPIs'!W96+'Predicted PPIs'!W95)))*IF(I$94=".", 1, (I96/I95)^(('Summary, PPI''s'!$I96+'Summary, PPI''s'!$I95)/('Predicted PPIs'!W96+'Predicted PPIs'!W95)))*IF(J$94=".", 1, (J96/J95)^(('Summary, PPI''s'!$J96+'Summary, PPI''s'!$J95)/('Predicted PPIs'!W96+'Predicted PPIs'!W95)))*IF(K$94=".", 1, (K96/K95)^(('Summary, PPI''s'!$K96+'Summary, PPI''s'!$K95)/('Predicted PPIs'!W96+'Predicted PPIs'!W95)))*IF(L$94=".", 1, (L96/L95)^(('Summary, PPI''s'!$L96+'Summary, PPI''s'!$L95)/('Predicted PPIs'!W96+'Predicted PPIs'!W95)))*IF(M$94=".", 1, (M96/M95)^(('Summary, PPI''s'!$M96+'Summary, PPI''s'!$M95)/('Predicted PPIs'!W96+'Predicted PPIs'!W95)))*IF(B$94=".", 1, (B96/B95)^(('Summary, PPI''s'!$B96+'Summary, PPI''s'!$B95)/('Predicted PPIs'!W96+'Predicted PPIs'!W95)))*IF(C$94=".", 1, (C96/C95)^(('Summary, PPI''s'!$C96+'Summary, PPI''s'!$C95)/('Predicted PPIs'!W96+'Predicted PPIs'!W95)))*IF(D$94=".", 1, (D96/D95)^(('Summary, PPI''s'!$D96+'Summary, PPI''s'!$D95)/('Predicted PPIs'!W96+'Predicted PPIs'!W95)))*IF(N$94=".", 1, (N96/N95)^(('Summary, PPI''s'!$N96+'Summary, PPI''s'!$N95)/('Predicted PPIs'!W96+'Predicted PPIs'!W95)))*IF(O$94=".", 1, (O96/O95)^(('Summary, PPI''s'!$O96+'Summary, PPI''s'!$O95)/('Predicted PPIs'!W96+'Predicted PPIs'!W95)))*IF(P$94=".", 1, (P96/P95)^(('Summary, PPI''s'!$P96+'Summary, PPI''s'!$P95)/('Predicted PPIs'!W96+'Predicted PPIs'!W95)))</f>
        <v>4.9460047762153616</v>
      </c>
      <c r="AF96" s="4">
        <f>AF95*IF(E$123=".", 1, (E96/E95)^(('Summary, PPI''s'!$E96+'Summary, PPI''s'!$E95)/('Predicted PPIs'!X96+'Predicted PPIs'!X95)))*IF(F$123=".", 1, (F96/F95)^(('Summary, PPI''s'!$F96+'Summary, PPI''s'!$F95)/('Predicted PPIs'!X96+'Predicted PPIs'!X95)))*IF(G$123=".", 1, (G96/G95)^(('Summary, PPI''s'!$G96+'Summary, PPI''s'!$G95)/('Predicted PPIs'!X96+'Predicted PPIs'!X95)))*IF(H$123=".", 1, (H96/H95)^(('Summary, PPI''s'!$H96+'Summary, PPI''s'!$H95)/('Predicted PPIs'!X96+'Predicted PPIs'!X95)))*IF(I$123=".", 1, (I96/I95)^(('Summary, PPI''s'!$I96+'Summary, PPI''s'!$I95)/('Predicted PPIs'!X96+'Predicted PPIs'!X95)))*IF(J$123=".", 1, (J96/J95)^(('Summary, PPI''s'!$J96+'Summary, PPI''s'!$J95)/('Predicted PPIs'!X96+'Predicted PPIs'!X95)))*IF(K$123=".", 1, (K96/K95)^(('Summary, PPI''s'!$K96+'Summary, PPI''s'!$K95)/('Predicted PPIs'!X96+'Predicted PPIs'!X95)))*IF(L$123=".", 1, (L96/L95)^(('Summary, PPI''s'!$L96+'Summary, PPI''s'!$L95)/('Predicted PPIs'!X96+'Predicted PPIs'!X95)))*IF(M$123=".", 1, (M96/M95)^(('Summary, PPI''s'!$M96+'Summary, PPI''s'!$M95)/('Predicted PPIs'!X96+'Predicted PPIs'!X95)))*IF(B$123=".", 1, (B96/B95)^(('Summary, PPI''s'!$B96+'Summary, PPI''s'!$B95)/('Predicted PPIs'!X96+'Predicted PPIs'!X95)))*IF(C$123=".", 1, (C96/C95)^(('Summary, PPI''s'!$C96+'Summary, PPI''s'!$C95)/('Predicted PPIs'!X96+'Predicted PPIs'!X95)))*IF(D$123=".", 1, (D96/D95)^(('Summary, PPI''s'!$D96+'Summary, PPI''s'!$D95)/('Predicted PPIs'!X96+'Predicted PPIs'!X95)))*IF(N$123=".", 1, (N96/N95)^(('Summary, PPI''s'!$N96+'Summary, PPI''s'!$N95)/('Predicted PPIs'!X96+'Predicted PPIs'!X95)))*IF(O$123=".", 1, (O96/O95)^(('Summary, PPI''s'!$O96+'Summary, PPI''s'!$O95)/('Predicted PPIs'!X96+'Predicted PPIs'!X95)))*IF(P$123=".", 1, (P96/P95)^(('Summary, PPI''s'!$P96+'Summary, PPI''s'!$P95)/('Predicted PPIs'!X96+'Predicted PPIs'!X95)))</f>
        <v>4.7951343986786128</v>
      </c>
      <c r="AH96" s="13">
        <f t="shared" si="152"/>
        <v>6.8477248622972278</v>
      </c>
      <c r="AJ96" s="4">
        <f t="shared" ref="AJ96:AJ123" si="207">AJ95*BI96*BE96*(100-BJ96)/(BI95*BE95*(100-BJ95))</f>
        <v>72.303531934618974</v>
      </c>
      <c r="AK96" s="4">
        <f t="shared" si="191"/>
        <v>-1.6002060749871097</v>
      </c>
      <c r="AL96" s="4">
        <f t="shared" si="192"/>
        <v>-5.4816166071362291</v>
      </c>
      <c r="AM96" s="4">
        <f t="shared" si="193"/>
        <v>-0.85288274749750792</v>
      </c>
      <c r="AN96" s="4">
        <f t="shared" si="176"/>
        <v>96.41959570527635</v>
      </c>
      <c r="AO96" s="4">
        <v>16.2</v>
      </c>
      <c r="AP96" s="4">
        <f t="shared" si="177"/>
        <v>-1.4987165775401068</v>
      </c>
      <c r="AQ96" s="4">
        <f t="shared" si="178"/>
        <v>-2.8332673796791439</v>
      </c>
      <c r="AR96" s="4">
        <f t="shared" si="148"/>
        <v>-2.5381168754435001E-4</v>
      </c>
      <c r="AS96" s="4">
        <f t="shared" ref="AS96:AS123" si="208">AS95*AO96/AO94</f>
        <v>-0.5217347997509858</v>
      </c>
      <c r="AT96" s="4">
        <f t="shared" si="194"/>
        <v>9.2600734299516905</v>
      </c>
      <c r="AU96" s="4">
        <f t="shared" si="195"/>
        <v>15.247842512077296</v>
      </c>
      <c r="AV96" s="4">
        <f t="shared" si="196"/>
        <v>11.858990338164251</v>
      </c>
      <c r="AW96" s="4">
        <f t="shared" si="197"/>
        <v>6.6312724637681155</v>
      </c>
      <c r="AX96" s="4">
        <f t="shared" si="198"/>
        <v>8.8204942157376838</v>
      </c>
      <c r="AY96" s="4">
        <f t="shared" si="199"/>
        <v>10.371760386473431</v>
      </c>
      <c r="AZ96" s="4">
        <f t="shared" si="200"/>
        <v>3.5452454106280187</v>
      </c>
      <c r="BA96" s="4">
        <f t="shared" si="201"/>
        <v>9.6037400966183579</v>
      </c>
      <c r="BB96" s="4">
        <f t="shared" si="202"/>
        <v>54.931026020585279</v>
      </c>
      <c r="BC96" s="4">
        <f t="shared" si="203"/>
        <v>9.0020743961352654</v>
      </c>
      <c r="BD96" s="5">
        <f>'[2]Ordinary Experience'!$AD$330</f>
        <v>206.2</v>
      </c>
      <c r="BE96" s="5">
        <f>'[2]Ordinary Experience'!$AC$330</f>
        <v>2.0319420754097566</v>
      </c>
      <c r="BG96" s="4">
        <f t="shared" si="172"/>
        <v>8.0158065529482734</v>
      </c>
      <c r="BI96" s="4">
        <f>BI$13*'[2]Ordinary Experience'!$D$330/'[2]Ordinary Experience'!$D$413</f>
        <v>117589683.06141131</v>
      </c>
      <c r="BJ96" s="4">
        <f>'[2]Ordinary Experience'!$E$330</f>
        <v>30.100330717206692</v>
      </c>
      <c r="BL96" s="4">
        <f t="shared" si="151"/>
        <v>24.605863774346258</v>
      </c>
      <c r="BM96" s="4">
        <f t="shared" si="153"/>
        <v>2.7783902813505623E-2</v>
      </c>
      <c r="BO96" s="4" t="str">
        <f>IF(OR('Summary, hourly ad costs'!R96=-9999,'Summary, PPI''s'!R96="."),".",(('Summary, hourly ad costs'!B96/'Summary, hourly ad costs'!R96)*100/('Summary, hourly ad costs'!B$11/'Summary, hourly ad costs'!R$11))/('Summary, PPI''s'!R96))</f>
        <v>.</v>
      </c>
      <c r="BP96" s="4" t="str">
        <f>IF(OR('Summary, hourly ad costs'!S96=-9999,'Summary, PPI''s'!S96="."),".",(('Summary, hourly ad costs'!C96/'Summary, hourly ad costs'!S96)*100/('Summary, hourly ad costs'!C$11/'Summary, hourly ad costs'!S$11))/('Summary, PPI''s'!S96))</f>
        <v>.</v>
      </c>
      <c r="BQ96" s="4" t="str">
        <f>IF(OR('Summary, hourly ad costs'!T96=-9999,'Summary, PPI''s'!T96="."),".",(('Summary, hourly ad costs'!D96/'Summary, hourly ad costs'!T96)*100/('Summary, hourly ad costs'!D$11/'Summary, hourly ad costs'!T$11))/('Summary, PPI''s'!T96))</f>
        <v>.</v>
      </c>
      <c r="BR96" s="4" t="str">
        <f>IF(OR('Summary, hourly ad costs'!U96=-9999,'Summary, PPI''s'!U96="."),".",(('Summary, hourly ad costs'!E96/'Summary, hourly ad costs'!U96)*100/('Summary, hourly ad costs'!E$11/'Summary, hourly ad costs'!U$11))/('Summary, PPI''s'!U96))</f>
        <v>.</v>
      </c>
      <c r="BS96" s="4" t="str">
        <f>IF(OR('Summary, hourly ad costs'!V96=-9999,'Summary, PPI''s'!V96="."),".",(('Summary, hourly ad costs'!F96/'Summary, hourly ad costs'!V96)*100/('Summary, hourly ad costs'!F$11/'Summary, hourly ad costs'!V$11))/('Summary, PPI''s'!V96))</f>
        <v>.</v>
      </c>
      <c r="BT96" s="4" t="str">
        <f>IF(OR('Summary, hourly ad costs'!W96=-9999,'Summary, PPI''s'!W96="."),".",(('Summary, hourly ad costs'!G96/'Summary, hourly ad costs'!W96)*100/('Summary, hourly ad costs'!G$11/'Summary, hourly ad costs'!W$11))/('Summary, PPI''s'!W96))</f>
        <v>.</v>
      </c>
      <c r="BU96" s="4" t="str">
        <f>IF(OR('Summary, hourly ad costs'!X96=-9999,'Summary, PPI''s'!X96="."),".",(('Summary, hourly ad costs'!H96/'Summary, hourly ad costs'!X96)*100/('Summary, hourly ad costs'!H$11/'Summary, hourly ad costs'!X$11))/('Summary, PPI''s'!X96))</f>
        <v>.</v>
      </c>
      <c r="BV96" s="4" t="str">
        <f>IF(OR('Summary, hourly ad costs'!Y96=-9999,'Summary, PPI''s'!Y96="."),".",(('Summary, hourly ad costs'!I96/'Summary, hourly ad costs'!Y96)*100/('Summary, hourly ad costs'!I$11/'Summary, hourly ad costs'!Y$11))/('Summary, PPI''s'!Y96))</f>
        <v>.</v>
      </c>
      <c r="BW96" s="4" t="str">
        <f>IF(OR('Summary, hourly ad costs'!Z96=-9999,'Summary, PPI''s'!Z96="."),".",(('Summary, hourly ad costs'!J96/'Summary, hourly ad costs'!Z96)*100/('Summary, hourly ad costs'!J$11/'Summary, hourly ad costs'!Z$11))/('Summary, PPI''s'!Z96))</f>
        <v>.</v>
      </c>
      <c r="BX96" s="4" t="str">
        <f>IF(OR('Summary, hourly ad costs'!AA96=-9999,'Summary, PPI''s'!AA96="."),".",(('Summary, hourly ad costs'!K96/'Summary, hourly ad costs'!AA96)*100/('Summary, hourly ad costs'!K$11/'Summary, hourly ad costs'!AA$11))/('Summary, PPI''s'!AA96))</f>
        <v>.</v>
      </c>
      <c r="BY96" s="4" t="str">
        <f>IF(OR('Summary, hourly ad costs'!AB96=-9999,'Summary, PPI''s'!AB96="."),".",(('Summary, hourly ad costs'!L96/'Summary, hourly ad costs'!AB96)*100/('Summary, hourly ad costs'!L$11/'Summary, hourly ad costs'!AB$11))/('Summary, PPI''s'!AB96))</f>
        <v>.</v>
      </c>
      <c r="BZ96" s="4" t="str">
        <f>IF(OR('Summary, hourly ad costs'!AC96=-9999,'Summary, PPI''s'!AC96="."),".",(('Summary, hourly ad costs'!M96/'Summary, hourly ad costs'!AC96)*100/('Summary, hourly ad costs'!M$11/'Summary, hourly ad costs'!AC$11))/('Summary, PPI''s'!AC96))</f>
        <v>.</v>
      </c>
      <c r="CA96" s="4" t="str">
        <f>IF(OR('Summary, hourly ad costs'!AD96=-9999,'Summary, PPI''s'!AD96="."),".",(('Summary, hourly ad costs'!N96/'Summary, hourly ad costs'!AD96)*100/('Summary, hourly ad costs'!N$11/'Summary, hourly ad costs'!AD$11))/('Summary, PPI''s'!AD96))</f>
        <v>.</v>
      </c>
      <c r="CB96" s="4" t="str">
        <f>IF(OR('Summary, hourly ad costs'!AE96=-9999,'Summary, PPI''s'!AE96="."),".",(('Summary, hourly ad costs'!O96/'Summary, hourly ad costs'!AE96)*100/('Summary, hourly ad costs'!O$11/'Summary, hourly ad costs'!AE$11))/('Summary, PPI''s'!AE96))</f>
        <v>.</v>
      </c>
      <c r="CC96" s="4" t="str">
        <f>IF(OR('Summary, hourly ad costs'!AF96=-9999,'Summary, PPI''s'!AF96="."),".",(('Summary, hourly ad costs'!P96/'Summary, hourly ad costs'!AF96)*100/('Summary, hourly ad costs'!P$11/'Summary, hourly ad costs'!AF$11))/('Summary, PPI''s'!AF96))</f>
        <v>.</v>
      </c>
      <c r="CE96" s="4">
        <f t="shared" si="183"/>
        <v>-5.6335474157172376E-3</v>
      </c>
      <c r="CF96" s="4" t="str">
        <f t="shared" si="184"/>
        <v>.</v>
      </c>
      <c r="CG96" s="4" t="str">
        <f t="shared" si="185"/>
        <v>.</v>
      </c>
      <c r="CH96" s="4">
        <f t="shared" si="145"/>
        <v>1.4683032646526012E-2</v>
      </c>
      <c r="CI96" s="4">
        <f t="shared" si="145"/>
        <v>1.8379999496288272E-2</v>
      </c>
      <c r="CJ96" s="4" t="str">
        <f t="shared" ref="CJ96:CJ123" si="209">IF(OR(BT96=".",BT97="."), ".", BT96/BT97-1)</f>
        <v>.</v>
      </c>
      <c r="CK96" s="4">
        <f t="shared" si="149"/>
        <v>2.965037228413861E-3</v>
      </c>
      <c r="CL96" s="4">
        <f t="shared" si="130"/>
        <v>1.2568543491887244E-2</v>
      </c>
      <c r="CM96" s="4">
        <f t="shared" si="130"/>
        <v>2.1404996463155353E-2</v>
      </c>
      <c r="CN96" s="4">
        <f t="shared" si="204"/>
        <v>-1.7161131262894737E-3</v>
      </c>
      <c r="CO96" s="4">
        <f t="shared" si="180"/>
        <v>0.17669289826646423</v>
      </c>
      <c r="CP96" s="4">
        <f t="shared" si="180"/>
        <v>0.1173191891177298</v>
      </c>
      <c r="CQ96" s="4" t="str">
        <f t="shared" si="173"/>
        <v>.</v>
      </c>
      <c r="CR96" s="4" t="str">
        <f t="shared" si="174"/>
        <v>.</v>
      </c>
      <c r="CS96" s="4" t="str">
        <f t="shared" si="175"/>
        <v>.</v>
      </c>
      <c r="CU96" s="5">
        <f>IF(CU95=".", ".", IF('Summary, PPI''s'!R96=".",IF(OR('Summary, hourly ad costs'!R96=-9999,'Summary, hourly ad costs'!R96=0), ".", 'Predicted PPIs'!CU95*('Summary, hourly ad costs'!B96/'Summary, hourly ad costs'!R96)/('Summary, hourly ad costs'!B95/'Summary, hourly ad costs'!R95)/(1-CE95)), 'Summary, PPI''s'!R96))</f>
        <v>32.40586006886948</v>
      </c>
      <c r="CV96" s="5" t="str">
        <f>IF(CV95=".", ".", IF('Summary, PPI''s'!S96=".",IF(OR('Summary, hourly ad costs'!S96=-9999,'Summary, hourly ad costs'!S96=0), ".", 'Predicted PPIs'!CV95*('Summary, hourly ad costs'!C96/'Summary, hourly ad costs'!S96)/('Summary, hourly ad costs'!C95/'Summary, hourly ad costs'!S95)/(1-CF95)), 'Summary, PPI''s'!S96))</f>
        <v>.</v>
      </c>
      <c r="CW96" s="5" t="str">
        <f>IF(CW95=".", ".", IF('Summary, PPI''s'!T96=".",IF(OR('Summary, hourly ad costs'!T96=-9999,'Summary, hourly ad costs'!T96=0), ".", 'Predicted PPIs'!CW95*('Summary, hourly ad costs'!D96/'Summary, hourly ad costs'!T96)/('Summary, hourly ad costs'!D95/'Summary, hourly ad costs'!T95)/(1-CG95)), 'Summary, PPI''s'!T96))</f>
        <v>.</v>
      </c>
      <c r="CX96" s="5">
        <f>IF(CX95=".", ".", IF('Summary, PPI''s'!U96=".",IF(OR('Summary, hourly ad costs'!U96=-9999,'Summary, hourly ad costs'!U96=0), ".", 'Predicted PPIs'!CX95*('Summary, hourly ad costs'!E96/'Summary, hourly ad costs'!U96)/('Summary, hourly ad costs'!E95/'Summary, hourly ad costs'!U95)/(1-CH95)), 'Summary, PPI''s'!U96))</f>
        <v>3.0167283594400991</v>
      </c>
      <c r="CY96" s="5">
        <f>IF(CY95=".", ".", IF('Summary, PPI''s'!V96=".",IF(OR('Summary, hourly ad costs'!V96=-9999,'Summary, hourly ad costs'!V96=0), ".", 'Predicted PPIs'!CY95*('Summary, hourly ad costs'!F96/'Summary, hourly ad costs'!V96)/('Summary, hourly ad costs'!F95/'Summary, hourly ad costs'!V95)/(1-CI95)), 'Summary, PPI''s'!V96))</f>
        <v>5.8766034286823405</v>
      </c>
      <c r="CZ96" s="5" t="str">
        <f>IF(CZ95=".", ".", IF('Summary, PPI''s'!W96=".",IF(OR('Summary, hourly ad costs'!W96=-9999,'Summary, hourly ad costs'!W96=0), ".", 'Predicted PPIs'!CZ95*('Summary, hourly ad costs'!G96/'Summary, hourly ad costs'!W96)/('Summary, hourly ad costs'!G95/'Summary, hourly ad costs'!W95)/(1-CJ95)), 'Summary, PPI''s'!W96))</f>
        <v>.</v>
      </c>
      <c r="DA96" s="5">
        <f>IF(DA95=".", ".", IF('Summary, PPI''s'!X96=".",IF(OR('Summary, hourly ad costs'!X96=-9999,'Summary, hourly ad costs'!X96=0), ".", 'Predicted PPIs'!DA95*('Summary, hourly ad costs'!H96/'Summary, hourly ad costs'!X96)/('Summary, hourly ad costs'!H95/'Summary, hourly ad costs'!X95)/(1-CK95)), 'Summary, PPI''s'!X96))</f>
        <v>2.193033047524624</v>
      </c>
      <c r="DB96" s="5" t="s">
        <v>5</v>
      </c>
      <c r="DC96" s="5" t="str">
        <f>IF(DC95=".", ".", IF('Summary, PPI''s'!Z96=".",IF(OR('Summary, hourly ad costs'!Z96=-9999,'Summary, hourly ad costs'!Z96=0), ".", 'Predicted PPIs'!DC95*('Summary, hourly ad costs'!J96/'Summary, hourly ad costs'!Z96)/('Summary, hourly ad costs'!J95/'Summary, hourly ad costs'!Z95)/(1-CM95)), 'Summary, PPI''s'!Z96))</f>
        <v>.</v>
      </c>
      <c r="DD96" s="5" t="str">
        <f>IF(DD95=".", ".", IF('Summary, PPI''s'!AA96=".",IF(OR('Summary, hourly ad costs'!AA96=-9999,'Summary, hourly ad costs'!AA96=0), ".", 'Predicted PPIs'!DD95*('Summary, hourly ad costs'!K96/'Summary, hourly ad costs'!AA96)/('Summary, hourly ad costs'!K95/'Summary, hourly ad costs'!AA95)/(1-CN95)), 'Summary, PPI''s'!AA96))</f>
        <v>.</v>
      </c>
      <c r="DE96" s="5" t="str">
        <f>IF(DE95=".", ".", IF('Summary, PPI''s'!AB96=".",IF(OR('Summary, hourly ad costs'!AB96=-9999,'Summary, hourly ad costs'!AB96=0), ".", 'Predicted PPIs'!DE95*('Summary, hourly ad costs'!L96/'Summary, hourly ad costs'!AB96)/('Summary, hourly ad costs'!L95/'Summary, hourly ad costs'!AB95)/(1-CO95)), 'Summary, PPI''s'!AB96))</f>
        <v>.</v>
      </c>
      <c r="DF96" s="5" t="str">
        <f>IF(DF95=".", ".", IF('Summary, PPI''s'!AC96=".",IF(OR('Summary, hourly ad costs'!AC96=-9999,'Summary, hourly ad costs'!AC96=0), ".", 'Predicted PPIs'!DF95*('Summary, hourly ad costs'!M96/'Summary, hourly ad costs'!AC96)/('Summary, hourly ad costs'!M95/'Summary, hourly ad costs'!AC95)/(1-CP95)), 'Summary, PPI''s'!AC96))</f>
        <v>.</v>
      </c>
      <c r="DG96" s="5" t="str">
        <f>IF(DG95=".", ".", IF('Summary, PPI''s'!AD96=".",IF(OR('Summary, hourly ad costs'!AD96=-9999,'Summary, hourly ad costs'!AD96=0), ".", 'Predicted PPIs'!DG95*('Summary, hourly ad costs'!N96/'Summary, hourly ad costs'!AD96)/('Summary, hourly ad costs'!N95/'Summary, hourly ad costs'!AD95)/(1-CQ95)), 'Summary, PPI''s'!AD96))</f>
        <v>.</v>
      </c>
      <c r="DH96" s="5" t="str">
        <f>IF(DH95=".", ".", IF('Summary, PPI''s'!AE96=".",IF(OR('Summary, hourly ad costs'!AE96=-9999,'Summary, hourly ad costs'!AE96=0), ".", 'Predicted PPIs'!DH95*('Summary, hourly ad costs'!O96/'Summary, hourly ad costs'!AE96)/('Summary, hourly ad costs'!O95/'Summary, hourly ad costs'!AE95)/(1-CR95)), 'Summary, PPI''s'!AE96))</f>
        <v>.</v>
      </c>
      <c r="DI96" s="5" t="str">
        <f>IF(DI95=".", ".", IF('Summary, PPI''s'!AF96=".",IF(OR('Summary, hourly ad costs'!AF96=-9999,'Summary, hourly ad costs'!AF96=0), ".", 'Predicted PPIs'!DI95*('Summary, hourly ad costs'!P96/'Summary, hourly ad costs'!AF96)/('Summary, hourly ad costs'!P95/'Summary, hourly ad costs'!AF95)/(1-CS95)), 'Summary, PPI''s'!AF96))</f>
        <v>.</v>
      </c>
      <c r="DK96" s="4">
        <f t="shared" si="205"/>
        <v>2.5982736842105258</v>
      </c>
      <c r="DM96" s="5">
        <f t="shared" si="186"/>
        <v>-5.0367126183028632E-2</v>
      </c>
      <c r="DN96" s="4">
        <f t="shared" si="187"/>
        <v>-2.502865061160222E-2</v>
      </c>
      <c r="DO96" s="4">
        <f t="shared" si="181"/>
        <v>-2.2652758847188689E-2</v>
      </c>
      <c r="DP96" s="5">
        <f t="shared" si="188"/>
        <v>-2.3830828579642582E-2</v>
      </c>
      <c r="DQ96" s="5">
        <f t="shared" si="189"/>
        <v>1.0763123130707264E-2</v>
      </c>
      <c r="DR96" s="4">
        <f t="shared" si="146"/>
        <v>-7.442824624553205E-3</v>
      </c>
      <c r="DS96" s="5">
        <f t="shared" si="190"/>
        <v>-3.5945275399134946E-2</v>
      </c>
      <c r="DT96" s="4">
        <f t="shared" si="206"/>
        <v>-9.4314309439440316E-3</v>
      </c>
      <c r="DU96" s="4">
        <f t="shared" si="171"/>
        <v>-2.0024420831343898E-2</v>
      </c>
      <c r="DV96" s="4">
        <f t="shared" si="131"/>
        <v>-1.8458936486467241E-4</v>
      </c>
      <c r="DW96" s="4">
        <f t="shared" si="182"/>
        <v>-9.8619343942935034E-2</v>
      </c>
      <c r="DX96" s="4">
        <f t="shared" si="182"/>
        <v>7.0855849196334864E-3</v>
      </c>
      <c r="DY96" s="4">
        <f t="shared" si="108"/>
        <v>-1.6603502863173407E-2</v>
      </c>
      <c r="DZ96" s="4">
        <f t="shared" si="132"/>
        <v>-9.9046313496756327E-3</v>
      </c>
      <c r="EA96" s="4">
        <f t="shared" si="109"/>
        <v>-9.7603193305774924E-3</v>
      </c>
      <c r="EC96" s="1">
        <f t="shared" si="154"/>
        <v>32.40586006886948</v>
      </c>
      <c r="ED96" s="1">
        <f t="shared" si="155"/>
        <v>3.6780652834081815</v>
      </c>
      <c r="EE96" s="1">
        <f t="shared" si="156"/>
        <v>2.0540341452766135</v>
      </c>
      <c r="EF96" s="1">
        <f t="shared" si="157"/>
        <v>3.0167283594400991</v>
      </c>
      <c r="EG96" s="1">
        <f t="shared" si="158"/>
        <v>5.8766034286823405</v>
      </c>
      <c r="EH96" s="1">
        <f t="shared" si="159"/>
        <v>2.4941755380096819</v>
      </c>
      <c r="EI96" s="1">
        <f t="shared" si="160"/>
        <v>2.193033047524624</v>
      </c>
      <c r="EJ96" s="1">
        <f t="shared" si="161"/>
        <v>3.4173998655029991</v>
      </c>
      <c r="EK96" s="1">
        <f t="shared" si="162"/>
        <v>7.2117883097022615</v>
      </c>
      <c r="EL96" s="1">
        <f t="shared" si="163"/>
        <v>2.1374789441490121</v>
      </c>
      <c r="EM96" s="1">
        <f t="shared" si="164"/>
        <v>0.17841845886416297</v>
      </c>
      <c r="EN96" s="1">
        <f t="shared" si="165"/>
        <v>1.49053453853387</v>
      </c>
      <c r="EO96" s="1">
        <f t="shared" si="166"/>
        <v>1.4503122835537128</v>
      </c>
      <c r="EP96" s="1">
        <f t="shared" si="167"/>
        <v>2.4178269412694458</v>
      </c>
      <c r="EQ96" s="1">
        <f t="shared" si="168"/>
        <v>1.90649591779429</v>
      </c>
      <c r="ES96" s="1">
        <f>IF(EF$26=".", 0, 'Summary, PPI''s'!E96)+IF(EG$26=".", 0, 'Summary, PPI''s'!F96)+IF(EH$26=".", 0, 'Summary, PPI''s'!G96)+IF(EI$26=".", 0, 'Summary, PPI''s'!H96)+IF(EJ$26=".", 0, 'Summary, PPI''s'!I96)+IF(EK$26=".", 0, 'Summary, PPI''s'!J96)+IF(EL$26=".", 0, 'Summary, PPI''s'!K96)+IF(EM$26=".", 0, 'Summary, PPI''s'!L96)+IF(EN$26=".", 0, 'Summary, PPI''s'!M96)+IF(EC$26=".", 0, 'Summary, PPI''s'!B96)+IF(ED$26=".", 0, 'Summary, PPI''s'!C96)+IF(EE$26=".", 0, 'Summary, PPI''s'!D96)+IF(EO$26=".", 0, 'Summary, PPI''s'!N96)+IF(EP$26=".", 0, 'Summary, PPI''s'!O96)+IF(EQ$26=".", 0, 'Summary, PPI''s'!P96)</f>
        <v>2386827.8079138058</v>
      </c>
      <c r="ET96" s="1">
        <f>'Summary, hourly ad costs'!E96+'Summary, hourly ad costs'!F96+'Summary, hourly ad costs'!H96+'Summary, hourly ad costs'!I96+'Summary, hourly ad costs'!J96+'Summary, hourly ad costs'!K96+'Summary, hourly ad costs'!L96+'Summary, hourly ad costs'!M96+'Summary, hourly ad costs'!B96</f>
        <v>1534772.425543335</v>
      </c>
      <c r="EV96" s="13">
        <f>EV95*IF(EF$26=".", 1, (EF96/EF95)^(('Summary, PPI''s'!$E96+'Summary, PPI''s'!$E95)/('Predicted PPIs'!ES96+'Predicted PPIs'!ES95)))*IF(EG$26=".", 1, (EG96/EG95)^(('Summary, PPI''s'!$F96+'Summary, PPI''s'!$F95)/('Predicted PPIs'!ES96+'Predicted PPIs'!ES95)))*IF(EH$26=".", 1, (EH96/EH95)^(('Summary, PPI''s'!$G96+'Summary, PPI''s'!$G95)/('Predicted PPIs'!ES96+'Predicted PPIs'!ES95)))*IF(EI$26=".", 1, (EI96/EI95)^(('Summary, PPI''s'!$H96+'Summary, PPI''s'!$H95)/('Predicted PPIs'!ES96+'Predicted PPIs'!ES95)))*IF(EJ$26=".", 1, (EJ96/EJ95)^(('Summary, PPI''s'!$I96+'Summary, PPI''s'!$I95)/('Predicted PPIs'!ES96+'Predicted PPIs'!ES95)))*IF(EK$26=".", 1, (EK96/EK95)^(('Summary, PPI''s'!$J96+'Summary, PPI''s'!$J95)/('Predicted PPIs'!ES96+'Predicted PPIs'!ES95)))*IF(EL$26=".", 1, (EL96/EL95)^(('Summary, PPI''s'!$K96+'Summary, PPI''s'!$K95)/('Predicted PPIs'!ES96+'Predicted PPIs'!ES95)))*IF(EM$26=".", 1, (EM96/EM95)^(('Summary, PPI''s'!$L96+'Summary, PPI''s'!$L95)/('Predicted PPIs'!ES96+'Predicted PPIs'!ES95)))*IF(EN$26=".", 1, (EN96/EN95)^(('Summary, PPI''s'!$M96+'Summary, PPI''s'!$M95)/('Predicted PPIs'!ES96+'Predicted PPIs'!ES95)))*IF(EC$26=".", 1, (EC96/EC95)^(('Summary, PPI''s'!$B96+'Summary, PPI''s'!$B95)/('Predicted PPIs'!ES96+'Predicted PPIs'!ES95)))*IF(ED$26=".", 1, (ED96/ED95)^(('Summary, PPI''s'!$C96+'Summary, PPI''s'!$C95)/('Predicted PPIs'!ES96+'Predicted PPIs'!ES95)))*IF(EE$26=".", 1, (EE96/EE95)^(('Summary, PPI''s'!$D96+'Summary, PPI''s'!$D95)/('Predicted PPIs'!ES96+'Predicted PPIs'!ES95)))*IF(EO$26=".", 1, (EO96/EO95)^(('Summary, PPI''s'!$N96+'Summary, PPI''s'!$N95)/('Predicted PPIs'!ES96+'Predicted PPIs'!ES95)))*IF(EP$26=".", 1, (EP96/EP95)^(('Summary, PPI''s'!$O96+'Summary, PPI''s'!$O95)/('Predicted PPIs'!ES96+'Predicted PPIs'!ES95)))*IF(EQ$26=".", 1, (EQ96/EQ95)^(('Summary, PPI''s'!$P96+'Summary, PPI''s'!$P95)/('Predicted PPIs'!ES96+'Predicted PPIs'!ES95)))</f>
        <v>4.4478868615997733</v>
      </c>
      <c r="EW96" s="13">
        <f>EW95*IF(EF$26=".", 1, (EF96/EF95)^(('Summary, PPI''s'!$E96+'Summary, PPI''s'!$E95)/('Predicted PPIs'!ET96+'Predicted PPIs'!ET95)))*IF(EG$26=".", 1, (EG96/EG95)^(('Summary, PPI''s'!$F96+'Summary, PPI''s'!$F95)/('Predicted PPIs'!ET96+'Predicted PPIs'!ET95)))*IF(EH$26=".", 1, (EH96/EH95)^(('Summary, PPI''s'!$G96+'Summary, PPI''s'!$G95)/('Predicted PPIs'!ET96+'Predicted PPIs'!ET95)))*IF(EK$26=".", 1, (EK96/EK95)^(('Summary, PPI''s'!$J96+'Summary, PPI''s'!$J95)/('Predicted PPIs'!ET96+'Predicted PPIs'!ET95)))*IF(EL$26=".", 1, (EL96/EL95)^(('Summary, PPI''s'!$K96+'Summary, PPI''s'!$K95)/('Predicted PPIs'!ET96+'Predicted PPIs'!ET95)))*IF(EM$26=".", 1, (EM96/EM95)^(('Summary, PPI''s'!$L96+'Summary, PPI''s'!$L95)/('Predicted PPIs'!ET96+'Predicted PPIs'!ET95)))*IF(EN$26=".", 1, (EN96/EN95)^(('Summary, PPI''s'!$M96+'Summary, PPI''s'!$M95)/('Predicted PPIs'!ET96+'Predicted PPIs'!ET95)))*IF(EC$26=".", 1, (EC96/EC95)^(('Summary, PPI''s'!$B96+'Summary, PPI''s'!$B95)/('Predicted PPIs'!ET96+'Predicted PPIs'!ET95)))</f>
        <v>8.6397332079891296</v>
      </c>
      <c r="EY96" s="2"/>
    </row>
    <row r="97" spans="1:155" x14ac:dyDescent="0.3">
      <c r="A97" s="4">
        <v>1926</v>
      </c>
      <c r="B97" s="10">
        <f>IF(B96=".", ".", IF('Summary, PPI''s'!R97=".",IF(OR('Summary, hourly ad costs'!R97=-9999,'Summary, hourly ad costs'!R97=0), ".", 'Predicted PPIs'!B96*('Summary, hourly ad costs'!B97/'Summary, hourly ad costs'!R97)/('Summary, hourly ad costs'!B96/'Summary, hourly ad costs'!R96)), 'Summary, PPI''s'!R97))</f>
        <v>56.939743191569015</v>
      </c>
      <c r="C97" s="10" t="str">
        <f>IF(C96=".", ".", IF('Summary, PPI''s'!S97=".",IF(OR('Summary, hourly ad costs'!S97=-9999,'Summary, hourly ad costs'!S97=0), ".", 'Predicted PPIs'!C96*('Summary, hourly ad costs'!C97/'Summary, hourly ad costs'!S97)/('Summary, hourly ad costs'!C96/'Summary, hourly ad costs'!S96)), 'Summary, PPI''s'!S97))</f>
        <v>.</v>
      </c>
      <c r="D97" s="10" t="str">
        <f>IF(D96=".", ".", IF('Summary, PPI''s'!T97=".",IF(OR('Summary, hourly ad costs'!T97=-9999,'Summary, hourly ad costs'!T97=0), ".", 'Predicted PPIs'!D96*('Summary, hourly ad costs'!D97/'Summary, hourly ad costs'!T97)/('Summary, hourly ad costs'!D96/'Summary, hourly ad costs'!T96)), 'Summary, PPI''s'!T97))</f>
        <v>.</v>
      </c>
      <c r="E97" s="10">
        <f>IF(E96=".", ".", IF('Summary, PPI''s'!U97=".",IF(OR('Summary, hourly ad costs'!U97=-9999,'Summary, hourly ad costs'!U97=0), ".", 'Predicted PPIs'!E96*('Summary, hourly ad costs'!E97/'Summary, hourly ad costs'!U97)/('Summary, hourly ad costs'!E96/'Summary, hourly ad costs'!U96)), 'Summary, PPI''s'!U97))</f>
        <v>2.6944152402773676</v>
      </c>
      <c r="F97" s="10">
        <f>IF(F96=".", ".", IF('Summary, PPI''s'!V97=".",IF(OR('Summary, hourly ad costs'!V97=-9999,'Summary, hourly ad costs'!V97=0), ".", 'Predicted PPIs'!F96*('Summary, hourly ad costs'!F97/'Summary, hourly ad costs'!V97)/('Summary, hourly ad costs'!F96/'Summary, hourly ad costs'!V96)), 'Summary, PPI''s'!V97))</f>
        <v>4.6259264639167901</v>
      </c>
      <c r="G97" s="10" t="str">
        <f>IF(G96=".", ".", IF('Summary, PPI''s'!W97=".",IF(OR('Summary, hourly ad costs'!W97=-9999,'Summary, hourly ad costs'!W97=0), ".", 'Predicted PPIs'!G96*('Summary, hourly ad costs'!G97/'Summary, hourly ad costs'!W97)/('Summary, hourly ad costs'!G96/'Summary, hourly ad costs'!W96)), 'Summary, PPI''s'!W97))</f>
        <v>.</v>
      </c>
      <c r="H97" s="10">
        <f>IF(H96=".", ".", IF('Summary, PPI''s'!X97=".",IF(OR('Summary, hourly ad costs'!X97=-9999,'Summary, hourly ad costs'!X97=0), ".", 'Predicted PPIs'!H96*('Summary, hourly ad costs'!H97/'Summary, hourly ad costs'!X97)/('Summary, hourly ad costs'!H96/'Summary, hourly ad costs'!X96)), 'Summary, PPI''s'!X97))</f>
        <v>1.9718447665056358</v>
      </c>
      <c r="I97" s="10">
        <f>IF(I96=".", ".", IF('Summary, PPI''s'!Y97=".",IF(OR('Summary, hourly ad costs'!Y97=-9999,'Summary, hourly ad costs'!Y97=0), ".", 'Predicted PPIs'!I96*('Summary, hourly ad costs'!I97/'Summary, hourly ad costs'!Y97)/('Summary, hourly ad costs'!I96/'Summary, hourly ad costs'!Y96)), 'Summary, PPI''s'!Y97))</f>
        <v>0.43764189441796103</v>
      </c>
      <c r="J97" s="10" t="str">
        <f>IF(J96=".", ".", IF('Summary, PPI''s'!Z97=".",IF(OR('Summary, hourly ad costs'!Z97=-9999,'Summary, hourly ad costs'!Z97=0), ".", 'Predicted PPIs'!J96*('Summary, hourly ad costs'!J97/'Summary, hourly ad costs'!Z97)/('Summary, hourly ad costs'!J96/'Summary, hourly ad costs'!Z96)), 'Summary, PPI''s'!Z97))</f>
        <v>.</v>
      </c>
      <c r="K97" s="10" t="str">
        <f>IF(K96=".", ".", IF('Summary, PPI''s'!AA97=".",IF(OR('Summary, hourly ad costs'!AA97=-9999,'Summary, hourly ad costs'!AA97=0), ".", 'Predicted PPIs'!K96*('Summary, hourly ad costs'!K97/'Summary, hourly ad costs'!AA97)/('Summary, hourly ad costs'!K96/'Summary, hourly ad costs'!AA96)), 'Summary, PPI''s'!AA97))</f>
        <v>.</v>
      </c>
      <c r="L97" s="10" t="str">
        <f>IF(L96=".", ".", IF('Summary, PPI''s'!AB97=".",IF(OR('Summary, hourly ad costs'!AB97=-9999,'Summary, hourly ad costs'!AB97=0), ".", 'Predicted PPIs'!L96*('Summary, hourly ad costs'!L97/'Summary, hourly ad costs'!AB97)/('Summary, hourly ad costs'!L96/'Summary, hourly ad costs'!AB96)), 'Summary, PPI''s'!AB97))</f>
        <v>.</v>
      </c>
      <c r="M97" s="10" t="str">
        <f>IF(M96=".", ".", IF('Summary, PPI''s'!AC97=".",IF(OR('Summary, hourly ad costs'!AC97=-9999,'Summary, hourly ad costs'!AC97=0), ".", 'Predicted PPIs'!M96*('Summary, hourly ad costs'!M97/'Summary, hourly ad costs'!AC97)/('Summary, hourly ad costs'!M96/'Summary, hourly ad costs'!AC96)), 'Summary, PPI''s'!AC97))</f>
        <v>.</v>
      </c>
      <c r="N97" s="10" t="str">
        <f>IF(N96=".", ".", IF('Summary, PPI''s'!AD97=".",IF(OR('Summary, hourly ad costs'!AD97=-9999,'Summary, hourly ad costs'!AD97=0), ".", 'Predicted PPIs'!N96*('Summary, hourly ad costs'!N97/'Summary, hourly ad costs'!AD97)/('Summary, hourly ad costs'!N96/'Summary, hourly ad costs'!AD96)), 'Summary, PPI''s'!AD97))</f>
        <v>.</v>
      </c>
      <c r="O97" s="10" t="str">
        <f>IF(O96=".", ".", IF('Summary, PPI''s'!AE97=".",IF(OR('Summary, hourly ad costs'!AE97=-9999,'Summary, hourly ad costs'!AE97=0), ".", 'Predicted PPIs'!O96*('Summary, hourly ad costs'!O97/'Summary, hourly ad costs'!AE97)/('Summary, hourly ad costs'!O96/'Summary, hourly ad costs'!AE96)), 'Summary, PPI''s'!AE97))</f>
        <v>.</v>
      </c>
      <c r="P97" s="10" t="str">
        <f>IF(P96=".", ".", IF('Summary, PPI''s'!AF97=".",IF(OR('Summary, hourly ad costs'!AF97=-9999,'Summary, hourly ad costs'!AF97=0), ".", 'Predicted PPIs'!P96*('Summary, hourly ad costs'!P97/'Summary, hourly ad costs'!AF97)/('Summary, hourly ad costs'!P96/'Summary, hourly ad costs'!AF96)), 'Summary, PPI''s'!AF97))</f>
        <v>.</v>
      </c>
      <c r="R97" s="1">
        <f>IF(E$26=".", 0, 'Summary, PPI''s'!E97)+IF(F$26=".", 0, 'Summary, PPI''s'!F97)+IF(G$26=".", 0, 'Summary, PPI''s'!G97)+IF(H$26=".", 0, 'Summary, PPI''s'!H97)+IF(I$26=".", 0, 'Summary, PPI''s'!I97)+IF(J$26=".", 0, 'Summary, PPI''s'!J97)+IF(K$26=".", 0, 'Summary, PPI''s'!K97)+IF(L$26=".", 0, 'Summary, PPI''s'!L97)+IF(M$26=".", 0, 'Summary, PPI''s'!M97)+IF(B$26=".", 0, 'Summary, PPI''s'!B97)+IF(C$26=".", 0, 'Summary, PPI''s'!C97)+IF(D$26=".", 0, 'Summary, PPI''s'!D97)+IF(N$26=".", 0, 'Summary, PPI''s'!N97)+IF(O$26=".", 0, 'Summary, PPI''s'!O97)+IF(P$26=".", 0, 'Summary, PPI''s'!P97)</f>
        <v>2317858.4142960468</v>
      </c>
      <c r="S97" s="1">
        <f>IF(E$36=".", 0, 'Summary, PPI''s'!E97)+IF(F$36=".", 0, 'Summary, PPI''s'!F97)+IF(G$36=".", 0, 'Summary, PPI''s'!G97)+IF(H$36=".", 0, 'Summary, PPI''s'!H97)+IF(I$36=".", 0, 'Summary, PPI''s'!I97)+IF(J$36=".", 0, 'Summary, PPI''s'!J97)+IF(K$36=".", 0, 'Summary, PPI''s'!K97)+IF(L$36=".", 0, 'Summary, PPI''s'!L97)+IF(M$36=".", 0, 'Summary, PPI''s'!M97)+IF(B$36=".", 0, 'Summary, PPI''s'!B97)+IF(C$36=".", 0, 'Summary, PPI''s'!C97)+IF(D$36=".", 0, 'Summary, PPI''s'!D97)+IF(N$36=".", 0, 'Summary, PPI''s'!N97)+IF(O$36=".", 0, 'Summary, PPI''s'!O97)+IF(P$36=".", 0, 'Summary, PPI''s'!P97)</f>
        <v>2317858.4142960468</v>
      </c>
      <c r="T97" s="1">
        <f>IF(E$46=".", 0, 'Summary, PPI''s'!E97)+IF(F$46=".", 0, 'Summary, PPI''s'!F97)+IF(G$46=".", 0, 'Summary, PPI''s'!G97)+IF(H$46=".", 0, 'Summary, PPI''s'!H97)+IF(I$46=".", 0, 'Summary, PPI''s'!I97)+IF(J$46=".", 0, 'Summary, PPI''s'!J97)+IF(K$46=".", 0, 'Summary, PPI''s'!K97)+IF(L$46=".", 0, 'Summary, PPI''s'!L97)+IF(M$46=".", 0, 'Summary, PPI''s'!M97)+IF(B$46=".", 0, 'Summary, PPI''s'!B97)+IF(C$46=".", 0, 'Summary, PPI''s'!C97)+IF(D$46=".", 0, 'Summary, PPI''s'!D97)+IF(N$46=".", 0, 'Summary, PPI''s'!N97)+IF(O$46=".", 0, 'Summary, PPI''s'!O97)+IF(P$46=".", 0, 'Summary, PPI''s'!P97)</f>
        <v>1996874.1353045905</v>
      </c>
      <c r="U97" s="1">
        <f>IF(E$60=".", 0, 'Summary, PPI''s'!E97)+IF(F$60=".", 0, 'Summary, PPI''s'!F97)+IF(G$60=".", 0, 'Summary, PPI''s'!G97)+IF(H$60=".", 0, 'Summary, PPI''s'!H97)+IF(I$60=".", 0, 'Summary, PPI''s'!I97)+IF(J$60=".", 0, 'Summary, PPI''s'!J97)+IF(K$60=".", 0, 'Summary, PPI''s'!K97)+IF(L$60=".", 0, 'Summary, PPI''s'!L97)+IF(M$60=".", 0, 'Summary, PPI''s'!M97)+IF(B$60=".", 0, 'Summary, PPI''s'!B97)+IF(C$60=".", 0, 'Summary, PPI''s'!C97)+IF(D$60=".", 0, 'Summary, PPI''s'!D97)+IF(N$60=".", 0, 'Summary, PPI''s'!N97)+IF(O$60=".", 0, 'Summary, PPI''s'!O97)+IF(P$60=".", 0, 'Summary, PPI''s'!P97)</f>
        <v>1849777.1495789322</v>
      </c>
      <c r="V97" s="1">
        <f>IF(E$73=".", 0, 'Summary, PPI''s'!E97)+IF(F$73=".", 0, 'Summary, PPI''s'!F97)+IF(G$73=".", 0, 'Summary, PPI''s'!G97)+IF(H$73=".", 0, 'Summary, PPI''s'!H97)+IF(I$73=".", 0, 'Summary, PPI''s'!I97)+IF(J$73=".", 0, 'Summary, PPI''s'!J97)+IF(K$73=".", 0, 'Summary, PPI''s'!K97)+IF(L$73=".", 0, 'Summary, PPI''s'!L97)+IF(M$73=".", 0, 'Summary, PPI''s'!M97)+IF(B$73=".", 0, 'Summary, PPI''s'!B97)+IF(C$73=".", 0, 'Summary, PPI''s'!C97)+IF(D$73=".", 0, 'Summary, PPI''s'!D97)+IF(N$73=".", 0, 'Summary, PPI''s'!N97)+IF(O$73=".", 0, 'Summary, PPI''s'!O97)+IF(P$73=".", 0, 'Summary, PPI''s'!P97)</f>
        <v>1480084.9701854163</v>
      </c>
      <c r="W97" s="1">
        <f>IF(E$94=".",0,'Summary, PPI''s'!E97)+IF(F$94=".",0,'Summary, PPI''s'!F97)+IF(G$94=".",0,'Summary, PPI''s'!G97)+IF(H$94=".",0,'Summary, PPI''s'!H97)+IF(I$94=".",0,'Summary, PPI''s'!I97)+IF(J$94=".",0,'Summary, PPI''s'!J97)+IF(K$94=".",0,'Summary, PPI''s'!K97)+IF(L$94=".",0,'Summary, PPI''s'!L97)+IF(M$94=".",0,'Summary, PPI''s'!M97)+IF(B$94=".",0,'Summary, PPI''s'!B97)+IF(C$94=".",0,'Summary, PPI''s'!C97)+IF(D$94=".",0,'Summary, PPI''s'!D97)+IF(N$94=".",0,'Summary, PPI''s'!N97)+IF(O$94=".",0,'Summary, PPI''s'!O97)+IF(P$94=".",0,'Summary, PPI''s'!P97)</f>
        <v>1480084.9701854163</v>
      </c>
      <c r="X97" s="1">
        <f>IF(E$123=".", 0, 'Summary, PPI''s'!E97)+IF(F$123=".", 0, 'Summary, PPI''s'!F97)+IF(G$123=".", 0, 'Summary, PPI''s'!G97)+IF(H$123=".", 0, 'Summary, PPI''s'!H97)+IF(I$123=".", 0, 'Summary, PPI''s'!I97)+IF(J$123=".", 0, 'Summary, PPI''s'!J97)+IF(K$123=".", 0, 'Summary, PPI''s'!K97)+IF(L$123=".", 0, 'Summary, PPI''s'!L97)+IF(M$123=".", 0, 'Summary, PPI''s'!M97)+IF(B$123=".", 0, 'Summary, PPI''s'!B97)+IF(C$123=".", 0, 'Summary, PPI''s'!C97)+IF(D$123=".", 0, 'Summary, PPI''s'!D97)+IF(N$123=".", 0, 'Summary, PPI''s'!N97)+IF(O$123=".", 0, 'Summary, PPI''s'!O97)+IF(P$123=".", 0, 'Summary, PPI''s'!P97)</f>
        <v>1478017.8399047512</v>
      </c>
      <c r="Z97" s="4" t="e">
        <f>Z96*IF(E$26=".", 1, (E97/E96)^(('Summary, PPI''s'!$E97+'Summary, PPI''s'!$E96)/('Predicted PPIs'!R97+'Predicted PPIs'!R96)))*IF(F$26=".", 1, (F97/F96)^(('Summary, PPI''s'!$F97+'Summary, PPI''s'!$F96)/('Predicted PPIs'!R97+'Predicted PPIs'!R96)))*IF(G$26=".", 1, (G97/G96)^(('Summary, PPI''s'!$G97+'Summary, PPI''s'!$G96)/('Predicted PPIs'!R97+'Predicted PPIs'!R96)))*IF(H$26=".", 1, (H97/H96)^(('Summary, PPI''s'!$H97+'Summary, PPI''s'!$H96)/('Predicted PPIs'!R97+'Predicted PPIs'!R96)))*IF(I$26=".", 1, (I97/I96)^(('Summary, PPI''s'!$I97+'Summary, PPI''s'!$I96)/('Predicted PPIs'!R97+'Predicted PPIs'!R96)))*IF(J$26=".", 1, (J97/J96)^(('Summary, PPI''s'!$J97+'Summary, PPI''s'!$J96)/('Predicted PPIs'!R97+'Predicted PPIs'!R96)))*IF(K$26=".", 1, (K97/K96)^(('Summary, PPI''s'!$K97+'Summary, PPI''s'!$K96)/('Predicted PPIs'!R97+'Predicted PPIs'!R96)))*IF(L$26=".", 1, (L97/L96)^(('Summary, PPI''s'!$L97+'Summary, PPI''s'!$L96)/('Predicted PPIs'!R97+'Predicted PPIs'!R96)))*IF(M$26=".", 1, (M97/M96)^(('Summary, PPI''s'!$M97+'Summary, PPI''s'!$M96)/('Predicted PPIs'!R97+'Predicted PPIs'!R96)))*IF(B$26=".", 1, (B97/B96)^(('Summary, PPI''s'!$B97+'Summary, PPI''s'!$B96)/('Predicted PPIs'!R97+'Predicted PPIs'!R96)))*IF(C$26=".", 1, (C97/C96)^(('Summary, PPI''s'!$C97+'Summary, PPI''s'!$C96)/('Predicted PPIs'!R97+'Predicted PPIs'!R96)))*IF(D$26=".", 1, (D97/D96)^(('Summary, PPI''s'!$D97+'Summary, PPI''s'!$D96)/('Predicted PPIs'!R97+'Predicted PPIs'!R96)))*IF(N$26=".", 1, (N97/N96)^(('Summary, PPI''s'!$N97+'Summary, PPI''s'!$N96)/('Predicted PPIs'!R97+'Predicted PPIs'!R96)))*IF(O$26=".", 1, (O97/O96)^(('Summary, PPI''s'!$O97+'Summary, PPI''s'!$O96)/('Predicted PPIs'!R97+'Predicted PPIs'!R96)))*IF(P$26=".", 1, (P97/P96)^(('Summary, PPI''s'!$P97+'Summary, PPI''s'!$P96)/('Predicted PPIs'!R97+'Predicted PPIs'!R96)))</f>
        <v>#VALUE!</v>
      </c>
      <c r="AA97" s="4" t="e">
        <f>AA96*IF(E$36=".", 1, (E97/E96)^(('Summary, PPI''s'!$E97+'Summary, PPI''s'!$E96)/('Predicted PPIs'!S97+'Predicted PPIs'!S96)))*IF(F$36=".", 1, (F97/F96)^(('Summary, PPI''s'!$F97+'Summary, PPI''s'!$F96)/('Predicted PPIs'!S97+'Predicted PPIs'!S96)))*IF(G$36=".", 1, (G97/G96)^(('Summary, PPI''s'!$G97+'Summary, PPI''s'!$G96)/('Predicted PPIs'!S97+'Predicted PPIs'!S96)))*IF(H$36=".", 1, (H97/H96)^(('Summary, PPI''s'!$H97+'Summary, PPI''s'!$H96)/('Predicted PPIs'!S97+'Predicted PPIs'!S96)))*IF(I$36=".", 1, (I97/I96)^(('Summary, PPI''s'!$I97+'Summary, PPI''s'!$I96)/('Predicted PPIs'!S97+'Predicted PPIs'!S96)))*IF(J$36=".", 1, (J97/J96)^(('Summary, PPI''s'!$J97+'Summary, PPI''s'!$J96)/('Predicted PPIs'!S97+'Predicted PPIs'!S96)))*IF(K$36=".", 1, (K97/K96)^(('Summary, PPI''s'!$K97+'Summary, PPI''s'!$K96)/('Predicted PPIs'!S97+'Predicted PPIs'!S96)))*IF(L$36=".", 1, (L97/L96)^(('Summary, PPI''s'!$L97+'Summary, PPI''s'!$L96)/('Predicted PPIs'!S97+'Predicted PPIs'!S96)))*IF(M$36=".", 1, (M97/M96)^(('Summary, PPI''s'!$M97+'Summary, PPI''s'!$M96)/('Predicted PPIs'!S97+'Predicted PPIs'!S96)))*IF(B$36=".", 1, (B97/B96)^(('Summary, PPI''s'!$B97+'Summary, PPI''s'!$B96)/('Predicted PPIs'!S97+'Predicted PPIs'!S96)))*IF(C$36=".", 1, (C97/C96)^(('Summary, PPI''s'!$C97+'Summary, PPI''s'!$C96)/('Predicted PPIs'!S97+'Predicted PPIs'!S96)))*IF(D$36=".", 1, (D97/D96)^(('Summary, PPI''s'!$D97+'Summary, PPI''s'!$D96)/('Predicted PPIs'!S97+'Predicted PPIs'!S96)))*IF(N$36=".", 1, (N97/N96)^(('Summary, PPI''s'!$N97+'Summary, PPI''s'!$N96)/('Predicted PPIs'!S97+'Predicted PPIs'!S96)))*IF(O$36=".", 1, (O97/O96)^(('Summary, PPI''s'!$O97+'Summary, PPI''s'!$O96)/('Predicted PPIs'!S97+'Predicted PPIs'!S96)))*IF(P$36=".", 1, (P97/P96)^(('Summary, PPI''s'!$P97+'Summary, PPI''s'!$P96)/('Predicted PPIs'!S97+'Predicted PPIs'!S96)))</f>
        <v>#VALUE!</v>
      </c>
      <c r="AB97" s="4" t="e">
        <f>AB96*IF(E$46=".", 1, (E97/E96)^(('Summary, PPI''s'!$E97+'Summary, PPI''s'!$E96)/('Predicted PPIs'!T97+'Predicted PPIs'!T96)))*IF(F$46=".", 1, (F97/F96)^(('Summary, PPI''s'!$F97+'Summary, PPI''s'!$F96)/('Predicted PPIs'!T97+'Predicted PPIs'!T96)))*IF(G$46=".", 1, (G97/G96)^(('Summary, PPI''s'!$G97+'Summary, PPI''s'!$G96)/('Predicted PPIs'!T97+'Predicted PPIs'!T96)))*IF(H$46=".", 1, (H97/H96)^(('Summary, PPI''s'!$H97+'Summary, PPI''s'!$H96)/('Predicted PPIs'!T97+'Predicted PPIs'!T96)))*IF(I$46=".", 1, (I97/I96)^(('Summary, PPI''s'!$I97+'Summary, PPI''s'!$I96)/('Predicted PPIs'!T97+'Predicted PPIs'!T96)))*IF(J$46=".", 1, (J97/J96)^(('Summary, PPI''s'!$J97+'Summary, PPI''s'!$J96)/('Predicted PPIs'!T97+'Predicted PPIs'!T96)))*IF(K$46=".", 1, (K97/K96)^(('Summary, PPI''s'!$K97+'Summary, PPI''s'!$K96)/('Predicted PPIs'!T97+'Predicted PPIs'!T96)))*IF(L$46=".", 1, (L97/L96)^(('Summary, PPI''s'!$L97+'Summary, PPI''s'!$L96)/('Predicted PPIs'!T97+'Predicted PPIs'!T96)))*IF(M$46=".", 1, (M97/M96)^(('Summary, PPI''s'!$M97+'Summary, PPI''s'!$M96)/('Predicted PPIs'!T97+'Predicted PPIs'!T96)))*IF(B$46=".", 1, (B97/B96)^(('Summary, PPI''s'!$B97+'Summary, PPI''s'!$B96)/('Predicted PPIs'!T97+'Predicted PPIs'!T96)))*IF(C$46=".", 1, (C97/C96)^(('Summary, PPI''s'!$C97+'Summary, PPI''s'!$C96)/('Predicted PPIs'!T97+'Predicted PPIs'!T96)))*IF(D$46=".", 1, (D97/D96)^(('Summary, PPI''s'!$D97+'Summary, PPI''s'!$D96)/('Predicted PPIs'!T97+'Predicted PPIs'!T96)))*IF(N$46=".", 1, (N97/N96)^(('Summary, PPI''s'!$N97+'Summary, PPI''s'!$N96)/('Predicted PPIs'!T97+'Predicted PPIs'!T96)))*IF(O$46=".", 1, (O97/O96)^(('Summary, PPI''s'!$O97+'Summary, PPI''s'!$O96)/('Predicted PPIs'!T97+'Predicted PPIs'!T96)))*IF(P$46=".", 1, (P97/P96)^(('Summary, PPI''s'!$P97+'Summary, PPI''s'!$P96)/('Predicted PPIs'!T97+'Predicted PPIs'!T96)))</f>
        <v>#VALUE!</v>
      </c>
      <c r="AC97" s="4" t="e">
        <f>AC96*IF(E$60=".",1,(E97/E96)^(('Summary, PPI''s'!$E97+'Summary, PPI''s'!$E96)/('Predicted PPIs'!U97+'Predicted PPIs'!U96)))*IF(F$60=".",1,(F97/F96)^(('Summary, PPI''s'!$F97+'Summary, PPI''s'!$F96)/('Predicted PPIs'!U97+'Predicted PPIs'!U96)))*IF(G$60=".",1,(G97/G96)^(('Summary, PPI''s'!$G97+'Summary, PPI''s'!$G96)/('Predicted PPIs'!U97+'Predicted PPIs'!U96)))*IF(H$60=".",1,(H97/H96)^(('Summary, PPI''s'!$H97+'Summary, PPI''s'!$H96)/('Predicted PPIs'!U97+'Predicted PPIs'!U96)))*IF(I$60=".",1,(I97/I96)^(('Summary, PPI''s'!$I97+'Summary, PPI''s'!$I96)/('Predicted PPIs'!U97+'Predicted PPIs'!U96)))*IF(J$60=".",1,(J97/J96)^(('Summary, PPI''s'!$J97+'Summary, PPI''s'!$J96)/('Predicted PPIs'!U97+'Predicted PPIs'!U96)))*IF(K$60=".",1,(K97/K96)^(('Summary, PPI''s'!$K97+'Summary, PPI''s'!$K96)/('Predicted PPIs'!U97+'Predicted PPIs'!U96)))*IF(L$60=".",1,(L97/L96)^(('Summary, PPI''s'!$L97+'Summary, PPI''s'!$L96)/('Predicted PPIs'!U97+'Predicted PPIs'!U96)))*IF(M$60=".",1,(M97/M96)^(('Summary, PPI''s'!$M97+'Summary, PPI''s'!$M96)/('Predicted PPIs'!U97+'Predicted PPIs'!U96)))*IF(B$60=".",1,(B97/B96)^(('Summary, PPI''s'!$B97+'Summary, PPI''s'!$B96)/('Predicted PPIs'!U97+'Predicted PPIs'!U96)))*IF(C$60=".",1,(C97/C96)^(('Summary, PPI''s'!$C97+'Summary, PPI''s'!$C96)/('Predicted PPIs'!U97+'Predicted PPIs'!U96)))*IF(D$60=".",1,(D97/D96)^(('Summary, PPI''s'!$D97+'Summary, PPI''s'!$D96)/('Predicted PPIs'!U97+'Predicted PPIs'!U96)))*IF(N$60=".",1,(N97/N96)^(('Summary, PPI''s'!$N97+'Summary, PPI''s'!$N96)/('Predicted PPIs'!U97+'Predicted PPIs'!U96)))*IF(O$60=".",1,(O97/O96)^(('Summary, PPI''s'!$O97+'Summary, PPI''s'!$O96)/('Predicted PPIs'!U97+'Predicted PPIs'!U96)))*IF(P$60=".",1,(P97/P96)^(('Summary, PPI''s'!$P97+'Summary, PPI''s'!$P96)/('Predicted PPIs'!U97+'Predicted PPIs'!U96)))</f>
        <v>#VALUE!</v>
      </c>
      <c r="AD97" s="4" t="e">
        <f>AD96*IF(E$73=".", 1, (E97/E96)^(('Summary, PPI''s'!$E97+'Summary, PPI''s'!$E96)/('Predicted PPIs'!V97+'Predicted PPIs'!V96)))*IF(F$73=".", 1, (F97/F96)^(('Summary, PPI''s'!$F97+'Summary, PPI''s'!$F96)/('Predicted PPIs'!V97+'Predicted PPIs'!V96)))*IF(G$73=".", 1, (G97/G96)^(('Summary, PPI''s'!$G97+'Summary, PPI''s'!$G96)/('Predicted PPIs'!V97+'Predicted PPIs'!V96)))*IF(H$73=".", 1, (H97/H96)^(('Summary, PPI''s'!$H97+'Summary, PPI''s'!$H96)/('Predicted PPIs'!V97+'Predicted PPIs'!V96)))*IF(I$73=".", 1, (I97/I96)^(('Summary, PPI''s'!$I97+'Summary, PPI''s'!$I96)/('Predicted PPIs'!V97+'Predicted PPIs'!V96)))*IF(J$73=".", 1, (J97/J96)^(('Summary, PPI''s'!$J97+'Summary, PPI''s'!$J96)/('Predicted PPIs'!V97+'Predicted PPIs'!V96)))*IF(K$73=".", 1, (K97/K96)^(('Summary, PPI''s'!$K97+'Summary, PPI''s'!$K96)/('Predicted PPIs'!V97+'Predicted PPIs'!V96)))*IF(L$73=".", 1, (L97/L96)^(('Summary, PPI''s'!$L97+'Summary, PPI''s'!$L96)/('Predicted PPIs'!V97+'Predicted PPIs'!V96)))*IF(M$73=".", 1, (M97/M96)^(('Summary, PPI''s'!$M97+'Summary, PPI''s'!$M96)/('Predicted PPIs'!V97+'Predicted PPIs'!V96)))*IF(B$73=".", 1, (B97/B96)^(('Summary, PPI''s'!$B97+'Summary, PPI''s'!$B96)/('Predicted PPIs'!V97+'Predicted PPIs'!V96)))*IF(C$73=".", 1, (C97/C96)^(('Summary, PPI''s'!$C97+'Summary, PPI''s'!$C96)/('Predicted PPIs'!V97+'Predicted PPIs'!V96)))*IF(D$73=".", 1, (D97/D96)^(('Summary, PPI''s'!$D97+'Summary, PPI''s'!$D96)/('Predicted PPIs'!V97+'Predicted PPIs'!V96)))*IF(N$73=".", 1, (N97/N96)^(('Summary, PPI''s'!$N97+'Summary, PPI''s'!$N96)/('Predicted PPIs'!V97+'Predicted PPIs'!V96)))*IF(O$73=".", 1, (O97/O96)^(('Summary, PPI''s'!$O97+'Summary, PPI''s'!$O96)/('Predicted PPIs'!V97+'Predicted PPIs'!V96)))*IF(P$73=".", 1, (P97/P96)^(('Summary, PPI''s'!$P97+'Summary, PPI''s'!$P96)/('Predicted PPIs'!V97+'Predicted PPIs'!V96)))</f>
        <v>#VALUE!</v>
      </c>
      <c r="AE97" s="4">
        <f>AE96*IF(E$94=".", 1, (E97/E96)^(('Summary, PPI''s'!$E97+'Summary, PPI''s'!$E96)/('Predicted PPIs'!W97+'Predicted PPIs'!W96)))*IF(F$94=".", 1, (F97/F96)^(('Summary, PPI''s'!$F97+'Summary, PPI''s'!$F96)/('Predicted PPIs'!W97+'Predicted PPIs'!W96)))*IF(G$94=".", 1, (G97/G96)^(('Summary, PPI''s'!$G97+'Summary, PPI''s'!$G96)/('Predicted PPIs'!W97+'Predicted PPIs'!W96)))*IF(H$94=".", 1, (H97/H96)^(('Summary, PPI''s'!$H97+'Summary, PPI''s'!$H96)/('Predicted PPIs'!W97+'Predicted PPIs'!W96)))*IF(I$94=".", 1, (I97/I96)^(('Summary, PPI''s'!$I97+'Summary, PPI''s'!$I96)/('Predicted PPIs'!W97+'Predicted PPIs'!W96)))*IF(J$94=".", 1, (J97/J96)^(('Summary, PPI''s'!$J97+'Summary, PPI''s'!$J96)/('Predicted PPIs'!W97+'Predicted PPIs'!W96)))*IF(K$94=".", 1, (K97/K96)^(('Summary, PPI''s'!$K97+'Summary, PPI''s'!$K96)/('Predicted PPIs'!W97+'Predicted PPIs'!W96)))*IF(L$94=".", 1, (L97/L96)^(('Summary, PPI''s'!$L97+'Summary, PPI''s'!$L96)/('Predicted PPIs'!W97+'Predicted PPIs'!W96)))*IF(M$94=".", 1, (M97/M96)^(('Summary, PPI''s'!$M97+'Summary, PPI''s'!$M96)/('Predicted PPIs'!W97+'Predicted PPIs'!W96)))*IF(B$94=".", 1, (B97/B96)^(('Summary, PPI''s'!$B97+'Summary, PPI''s'!$B96)/('Predicted PPIs'!W97+'Predicted PPIs'!W96)))*IF(C$94=".", 1, (C97/C96)^(('Summary, PPI''s'!$C97+'Summary, PPI''s'!$C96)/('Predicted PPIs'!W97+'Predicted PPIs'!W96)))*IF(D$94=".", 1, (D97/D96)^(('Summary, PPI''s'!$D97+'Summary, PPI''s'!$D96)/('Predicted PPIs'!W97+'Predicted PPIs'!W96)))*IF(N$94=".", 1, (N97/N96)^(('Summary, PPI''s'!$N97+'Summary, PPI''s'!$N96)/('Predicted PPIs'!W97+'Predicted PPIs'!W96)))*IF(O$94=".", 1, (O97/O96)^(('Summary, PPI''s'!$O97+'Summary, PPI''s'!$O96)/('Predicted PPIs'!W97+'Predicted PPIs'!W96)))*IF(P$94=".", 1, (P97/P96)^(('Summary, PPI''s'!$P97+'Summary, PPI''s'!$P96)/('Predicted PPIs'!W97+'Predicted PPIs'!W96)))</f>
        <v>4.8785600379407059</v>
      </c>
      <c r="AF97" s="4">
        <f>AF96*IF(E$123=".", 1, (E97/E96)^(('Summary, PPI''s'!$E97+'Summary, PPI''s'!$E96)/('Predicted PPIs'!X97+'Predicted PPIs'!X96)))*IF(F$123=".", 1, (F97/F96)^(('Summary, PPI''s'!$F97+'Summary, PPI''s'!$F96)/('Predicted PPIs'!X97+'Predicted PPIs'!X96)))*IF(G$123=".", 1, (G97/G96)^(('Summary, PPI''s'!$G97+'Summary, PPI''s'!$G96)/('Predicted PPIs'!X97+'Predicted PPIs'!X96)))*IF(H$123=".", 1, (H97/H96)^(('Summary, PPI''s'!$H97+'Summary, PPI''s'!$H96)/('Predicted PPIs'!X97+'Predicted PPIs'!X96)))*IF(I$123=".", 1, (I97/I96)^(('Summary, PPI''s'!$I97+'Summary, PPI''s'!$I96)/('Predicted PPIs'!X97+'Predicted PPIs'!X96)))*IF(J$123=".", 1, (J97/J96)^(('Summary, PPI''s'!$J97+'Summary, PPI''s'!$J96)/('Predicted PPIs'!X97+'Predicted PPIs'!X96)))*IF(K$123=".", 1, (K97/K96)^(('Summary, PPI''s'!$K97+'Summary, PPI''s'!$K96)/('Predicted PPIs'!X97+'Predicted PPIs'!X96)))*IF(L$123=".", 1, (L97/L96)^(('Summary, PPI''s'!$L97+'Summary, PPI''s'!$L96)/('Predicted PPIs'!X97+'Predicted PPIs'!X96)))*IF(M$123=".", 1, (M97/M96)^(('Summary, PPI''s'!$M97+'Summary, PPI''s'!$M96)/('Predicted PPIs'!X97+'Predicted PPIs'!X96)))*IF(B$123=".", 1, (B97/B96)^(('Summary, PPI''s'!$B97+'Summary, PPI''s'!$B96)/('Predicted PPIs'!X97+'Predicted PPIs'!X96)))*IF(C$123=".", 1, (C97/C96)^(('Summary, PPI''s'!$C97+'Summary, PPI''s'!$C96)/('Predicted PPIs'!X97+'Predicted PPIs'!X96)))*IF(D$123=".", 1, (D97/D96)^(('Summary, PPI''s'!$D97+'Summary, PPI''s'!$D96)/('Predicted PPIs'!X97+'Predicted PPIs'!X96)))*IF(N$123=".", 1, (N97/N96)^(('Summary, PPI''s'!$N97+'Summary, PPI''s'!$N96)/('Predicted PPIs'!X97+'Predicted PPIs'!X96)))*IF(O$123=".", 1, (O97/O96)^(('Summary, PPI''s'!$O97+'Summary, PPI''s'!$O96)/('Predicted PPIs'!X97+'Predicted PPIs'!X96)))*IF(P$123=".", 1, (P97/P96)^(('Summary, PPI''s'!$P97+'Summary, PPI''s'!$P96)/('Predicted PPIs'!X97+'Predicted PPIs'!X96)))</f>
        <v>4.7352997092590599</v>
      </c>
      <c r="AH97" s="13">
        <f t="shared" si="152"/>
        <v>6.7622775199914491</v>
      </c>
      <c r="AJ97" s="4">
        <f t="shared" si="207"/>
        <v>69.25929343515476</v>
      </c>
      <c r="AK97" s="4">
        <f t="shared" si="191"/>
        <v>-1.5328316492819132</v>
      </c>
      <c r="AL97" s="4">
        <f t="shared" si="192"/>
        <v>-5.2508208511303369</v>
      </c>
      <c r="AM97" s="4">
        <f t="shared" si="193"/>
        <v>-0.81697331920279437</v>
      </c>
      <c r="AN97" s="4">
        <f t="shared" si="176"/>
        <v>92.359984265904359</v>
      </c>
      <c r="AO97" s="4">
        <v>17</v>
      </c>
      <c r="AP97" s="4">
        <f t="shared" si="177"/>
        <v>-1.5727272727272728</v>
      </c>
      <c r="AQ97" s="4">
        <f t="shared" si="178"/>
        <v>-2.9731818181818177</v>
      </c>
      <c r="AR97" s="4">
        <f t="shared" ref="AR97:AR123" si="210">AR96*AO97/AO95</f>
        <v>-2.6967491801587189E-4</v>
      </c>
      <c r="AS97" s="4">
        <f t="shared" si="208"/>
        <v>-0.55434322473542241</v>
      </c>
      <c r="AT97" s="4">
        <f t="shared" si="194"/>
        <v>9.3409082125603877</v>
      </c>
      <c r="AU97" s="4">
        <f t="shared" si="195"/>
        <v>15.380946859903386</v>
      </c>
      <c r="AV97" s="4">
        <f t="shared" si="196"/>
        <v>11.962512077294686</v>
      </c>
      <c r="AW97" s="4">
        <f t="shared" si="197"/>
        <v>6.6891594202898546</v>
      </c>
      <c r="AX97" s="4">
        <f t="shared" si="198"/>
        <v>8.8974917404143472</v>
      </c>
      <c r="AY97" s="4">
        <f t="shared" si="199"/>
        <v>10.462299516908214</v>
      </c>
      <c r="AZ97" s="4">
        <f t="shared" si="200"/>
        <v>3.5761932367149756</v>
      </c>
      <c r="BA97" s="4">
        <f t="shared" si="201"/>
        <v>9.6875748792270535</v>
      </c>
      <c r="BB97" s="4">
        <f t="shared" si="202"/>
        <v>55.410540311744604</v>
      </c>
      <c r="BC97" s="4">
        <f t="shared" si="203"/>
        <v>9.0806570048309183</v>
      </c>
      <c r="BD97" s="5">
        <f>'[2]Ordinary Experience'!$AD$329</f>
        <v>208</v>
      </c>
      <c r="BE97" s="5">
        <f>'[2]Ordinary Experience'!$AC$329</f>
        <v>1.9818797344214001</v>
      </c>
      <c r="BG97" s="4">
        <f t="shared" si="172"/>
        <v>7.6594570798564128</v>
      </c>
      <c r="BI97" s="4">
        <f>BI$13*'[2]Ordinary Experience'!$D$329/'[2]Ordinary Experience'!$D$413</f>
        <v>115877100.28503659</v>
      </c>
      <c r="BJ97" s="4">
        <f>'[2]Ordinary Experience'!$E$329</f>
        <v>30.337462062024777</v>
      </c>
      <c r="BL97" s="4">
        <f t="shared" si="151"/>
        <v>23.940697754643725</v>
      </c>
      <c r="BM97" s="4">
        <f t="shared" si="153"/>
        <v>1.3293164017304848E-2</v>
      </c>
      <c r="BO97" s="4" t="str">
        <f>IF(OR('Summary, hourly ad costs'!R97=-9999,'Summary, PPI''s'!R97="."),".",(('Summary, hourly ad costs'!B97/'Summary, hourly ad costs'!R97)*100/('Summary, hourly ad costs'!B$11/'Summary, hourly ad costs'!R$11))/('Summary, PPI''s'!R97))</f>
        <v>.</v>
      </c>
      <c r="BP97" s="4" t="str">
        <f>IF(OR('Summary, hourly ad costs'!S97=-9999,'Summary, PPI''s'!S97="."),".",(('Summary, hourly ad costs'!C97/'Summary, hourly ad costs'!S97)*100/('Summary, hourly ad costs'!C$11/'Summary, hourly ad costs'!S$11))/('Summary, PPI''s'!S97))</f>
        <v>.</v>
      </c>
      <c r="BQ97" s="4" t="str">
        <f>IF(OR('Summary, hourly ad costs'!T97=-9999,'Summary, PPI''s'!T97="."),".",(('Summary, hourly ad costs'!D97/'Summary, hourly ad costs'!T97)*100/('Summary, hourly ad costs'!D$11/'Summary, hourly ad costs'!T$11))/('Summary, PPI''s'!T97))</f>
        <v>.</v>
      </c>
      <c r="BR97" s="4" t="str">
        <f>IF(OR('Summary, hourly ad costs'!U97=-9999,'Summary, PPI''s'!U97="."),".",(('Summary, hourly ad costs'!E97/'Summary, hourly ad costs'!U97)*100/('Summary, hourly ad costs'!E$11/'Summary, hourly ad costs'!U$11))/('Summary, PPI''s'!U97))</f>
        <v>.</v>
      </c>
      <c r="BS97" s="4" t="str">
        <f>IF(OR('Summary, hourly ad costs'!V97=-9999,'Summary, PPI''s'!V97="."),".",(('Summary, hourly ad costs'!F97/'Summary, hourly ad costs'!V97)*100/('Summary, hourly ad costs'!F$11/'Summary, hourly ad costs'!V$11))/('Summary, PPI''s'!V97))</f>
        <v>.</v>
      </c>
      <c r="BT97" s="4" t="str">
        <f>IF(OR('Summary, hourly ad costs'!W97=-9999,'Summary, PPI''s'!W97="."),".",(('Summary, hourly ad costs'!G97/'Summary, hourly ad costs'!W97)*100/('Summary, hourly ad costs'!G$11/'Summary, hourly ad costs'!W$11))/('Summary, PPI''s'!W97))</f>
        <v>.</v>
      </c>
      <c r="BU97" s="4" t="str">
        <f>IF(OR('Summary, hourly ad costs'!X97=-9999,'Summary, PPI''s'!X97="."),".",(('Summary, hourly ad costs'!H97/'Summary, hourly ad costs'!X97)*100/('Summary, hourly ad costs'!H$11/'Summary, hourly ad costs'!X$11))/('Summary, PPI''s'!X97))</f>
        <v>.</v>
      </c>
      <c r="BV97" s="4" t="str">
        <f>IF(OR('Summary, hourly ad costs'!Y97=-9999,'Summary, PPI''s'!Y97="."),".",(('Summary, hourly ad costs'!I97/'Summary, hourly ad costs'!Y97)*100/('Summary, hourly ad costs'!I$11/'Summary, hourly ad costs'!Y$11))/('Summary, PPI''s'!Y97))</f>
        <v>.</v>
      </c>
      <c r="BW97" s="4" t="str">
        <f>IF(OR('Summary, hourly ad costs'!Z97=-9999,'Summary, PPI''s'!Z97="."),".",(('Summary, hourly ad costs'!J97/'Summary, hourly ad costs'!Z97)*100/('Summary, hourly ad costs'!J$11/'Summary, hourly ad costs'!Z$11))/('Summary, PPI''s'!Z97))</f>
        <v>.</v>
      </c>
      <c r="BX97" s="4" t="str">
        <f>IF(OR('Summary, hourly ad costs'!AA97=-9999,'Summary, PPI''s'!AA97="."),".",(('Summary, hourly ad costs'!K97/'Summary, hourly ad costs'!AA97)*100/('Summary, hourly ad costs'!K$11/'Summary, hourly ad costs'!AA$11))/('Summary, PPI''s'!AA97))</f>
        <v>.</v>
      </c>
      <c r="BY97" s="4" t="str">
        <f>IF(OR('Summary, hourly ad costs'!AB97=-9999,'Summary, PPI''s'!AB97="."),".",(('Summary, hourly ad costs'!L97/'Summary, hourly ad costs'!AB97)*100/('Summary, hourly ad costs'!L$11/'Summary, hourly ad costs'!AB$11))/('Summary, PPI''s'!AB97))</f>
        <v>.</v>
      </c>
      <c r="BZ97" s="4" t="str">
        <f>IF(OR('Summary, hourly ad costs'!AC97=-9999,'Summary, PPI''s'!AC97="."),".",(('Summary, hourly ad costs'!M97/'Summary, hourly ad costs'!AC97)*100/('Summary, hourly ad costs'!M$11/'Summary, hourly ad costs'!AC$11))/('Summary, PPI''s'!AC97))</f>
        <v>.</v>
      </c>
      <c r="CA97" s="4" t="str">
        <f>IF(OR('Summary, hourly ad costs'!AD97=-9999,'Summary, PPI''s'!AD97="."),".",(('Summary, hourly ad costs'!N97/'Summary, hourly ad costs'!AD97)*100/('Summary, hourly ad costs'!N$11/'Summary, hourly ad costs'!AD$11))/('Summary, PPI''s'!AD97))</f>
        <v>.</v>
      </c>
      <c r="CB97" s="4" t="str">
        <f>IF(OR('Summary, hourly ad costs'!AE97=-9999,'Summary, PPI''s'!AE97="."),".",(('Summary, hourly ad costs'!O97/'Summary, hourly ad costs'!AE97)*100/('Summary, hourly ad costs'!O$11/'Summary, hourly ad costs'!AE$11))/('Summary, PPI''s'!AE97))</f>
        <v>.</v>
      </c>
      <c r="CC97" s="4" t="str">
        <f>IF(OR('Summary, hourly ad costs'!AF97=-9999,'Summary, PPI''s'!AF97="."),".",(('Summary, hourly ad costs'!P97/'Summary, hourly ad costs'!AF97)*100/('Summary, hourly ad costs'!P$11/'Summary, hourly ad costs'!AF$11))/('Summary, PPI''s'!AF97))</f>
        <v>.</v>
      </c>
      <c r="CE97" s="4">
        <f t="shared" si="183"/>
        <v>-1.9337106233345024E-2</v>
      </c>
      <c r="CF97" s="4" t="str">
        <f t="shared" si="184"/>
        <v>.</v>
      </c>
      <c r="CG97" s="4" t="str">
        <f t="shared" si="185"/>
        <v>.</v>
      </c>
      <c r="CH97" s="4">
        <f t="shared" si="145"/>
        <v>-4.0421376391436697E-3</v>
      </c>
      <c r="CI97" s="4">
        <f t="shared" si="145"/>
        <v>-2.8866653720207511E-3</v>
      </c>
      <c r="CJ97" s="4" t="str">
        <f t="shared" si="209"/>
        <v>.</v>
      </c>
      <c r="CK97" s="4">
        <f t="shared" si="149"/>
        <v>3.7854296140739361E-3</v>
      </c>
      <c r="CL97" s="4">
        <f t="shared" si="130"/>
        <v>-2.2975379120150526E-3</v>
      </c>
      <c r="CM97" s="4">
        <f t="shared" si="130"/>
        <v>1.5435954308789128E-2</v>
      </c>
      <c r="CN97" s="4">
        <f t="shared" si="204"/>
        <v>-1.671218601531553E-2</v>
      </c>
      <c r="CO97" s="4">
        <f t="shared" si="180"/>
        <v>8.1486427412999732E-2</v>
      </c>
      <c r="CP97" s="4">
        <f t="shared" si="180"/>
        <v>0.15569043258617593</v>
      </c>
      <c r="CQ97" s="4" t="str">
        <f t="shared" si="173"/>
        <v>.</v>
      </c>
      <c r="CR97" s="4" t="str">
        <f t="shared" si="174"/>
        <v>.</v>
      </c>
      <c r="CS97" s="4" t="str">
        <f t="shared" si="175"/>
        <v>.</v>
      </c>
      <c r="CU97" s="5">
        <f>IF(CU96=".", ".", IF('Summary, PPI''s'!R97=".",IF(OR('Summary, hourly ad costs'!R97=-9999,'Summary, hourly ad costs'!R97=0), ".", 'Predicted PPIs'!CU96*('Summary, hourly ad costs'!B97/'Summary, hourly ad costs'!R97)/('Summary, hourly ad costs'!B96/'Summary, hourly ad costs'!R96)/(1-CE96)), 'Summary, PPI''s'!R97))</f>
        <v>33.283867579006937</v>
      </c>
      <c r="CV97" s="5" t="str">
        <f>IF(CV96=".", ".", IF('Summary, PPI''s'!S97=".",IF(OR('Summary, hourly ad costs'!S97=-9999,'Summary, hourly ad costs'!S97=0), ".", 'Predicted PPIs'!CV96*('Summary, hourly ad costs'!C97/'Summary, hourly ad costs'!S97)/('Summary, hourly ad costs'!C96/'Summary, hourly ad costs'!S96)/(1-CF96)), 'Summary, PPI''s'!S97))</f>
        <v>.</v>
      </c>
      <c r="CW97" s="5" t="str">
        <f>IF(CW96=".", ".", IF('Summary, PPI''s'!T97=".",IF(OR('Summary, hourly ad costs'!T97=-9999,'Summary, hourly ad costs'!T97=0), ".", 'Predicted PPIs'!CW96*('Summary, hourly ad costs'!D97/'Summary, hourly ad costs'!T97)/('Summary, hourly ad costs'!D96/'Summary, hourly ad costs'!T96)/(1-CG96)), 'Summary, PPI''s'!T97))</f>
        <v>.</v>
      </c>
      <c r="CX97" s="5">
        <f>IF(CX96=".", ".", IF('Summary, PPI''s'!U97=".",IF(OR('Summary, hourly ad costs'!U97=-9999,'Summary, hourly ad costs'!U97=0), ".", 'Predicted PPIs'!CX96*('Summary, hourly ad costs'!E97/'Summary, hourly ad costs'!U97)/('Summary, hourly ad costs'!E96/'Summary, hourly ad costs'!U96)/(1-CH96)), 'Summary, PPI''s'!U97))</f>
        <v>3.0142348827655989</v>
      </c>
      <c r="CY97" s="5">
        <f>IF(CY96=".", ".", IF('Summary, PPI''s'!V97=".",IF(OR('Summary, hourly ad costs'!V97=-9999,'Summary, hourly ad costs'!V97=0), ".", 'Predicted PPIs'!CY96*('Summary, hourly ad costs'!F97/'Summary, hourly ad costs'!V97)/('Summary, hourly ad costs'!F96/'Summary, hourly ad costs'!V96)/(1-CI96)), 'Summary, PPI''s'!V97))</f>
        <v>5.6707822198266875</v>
      </c>
      <c r="CZ97" s="5" t="str">
        <f>IF(CZ96=".", ".", IF('Summary, PPI''s'!W97=".",IF(OR('Summary, hourly ad costs'!W97=-9999,'Summary, hourly ad costs'!W97=0), ".", 'Predicted PPIs'!CZ96*('Summary, hourly ad costs'!G97/'Summary, hourly ad costs'!W97)/('Summary, hourly ad costs'!G96/'Summary, hourly ad costs'!W96)/(1-CJ96)), 'Summary, PPI''s'!W97))</f>
        <v>.</v>
      </c>
      <c r="DA97" s="5">
        <f>IF(DA96=".", ".", IF('Summary, PPI''s'!X97=".",IF(OR('Summary, hourly ad costs'!X97=-9999,'Summary, hourly ad costs'!X97=0), ".", 'Predicted PPIs'!DA96*('Summary, hourly ad costs'!H97/'Summary, hourly ad costs'!X97)/('Summary, hourly ad costs'!H96/'Summary, hourly ad costs'!X96)/(1-CK96)), 'Summary, PPI''s'!X97))</f>
        <v>2.2187555788528739</v>
      </c>
      <c r="DB97" s="5" t="s">
        <v>5</v>
      </c>
      <c r="DC97" s="5" t="str">
        <f>IF(DC96=".", ".", IF('Summary, PPI''s'!Z97=".",IF(OR('Summary, hourly ad costs'!Z97=-9999,'Summary, hourly ad costs'!Z97=0), ".", 'Predicted PPIs'!DC96*('Summary, hourly ad costs'!J97/'Summary, hourly ad costs'!Z97)/('Summary, hourly ad costs'!J96/'Summary, hourly ad costs'!Z96)/(1-CM96)), 'Summary, PPI''s'!Z97))</f>
        <v>.</v>
      </c>
      <c r="DD97" s="5" t="str">
        <f>IF(DD96=".", ".", IF('Summary, PPI''s'!AA97=".",IF(OR('Summary, hourly ad costs'!AA97=-9999,'Summary, hourly ad costs'!AA97=0), ".", 'Predicted PPIs'!DD96*('Summary, hourly ad costs'!K97/'Summary, hourly ad costs'!AA97)/('Summary, hourly ad costs'!K96/'Summary, hourly ad costs'!AA96)/(1-CN96)), 'Summary, PPI''s'!AA97))</f>
        <v>.</v>
      </c>
      <c r="DE97" s="5" t="str">
        <f>IF(DE96=".", ".", IF('Summary, PPI''s'!AB97=".",IF(OR('Summary, hourly ad costs'!AB97=-9999,'Summary, hourly ad costs'!AB97=0), ".", 'Predicted PPIs'!DE96*('Summary, hourly ad costs'!L97/'Summary, hourly ad costs'!AB97)/('Summary, hourly ad costs'!L96/'Summary, hourly ad costs'!AB96)/(1-CO96)), 'Summary, PPI''s'!AB97))</f>
        <v>.</v>
      </c>
      <c r="DF97" s="5" t="str">
        <f>IF(DF96=".", ".", IF('Summary, PPI''s'!AC97=".",IF(OR('Summary, hourly ad costs'!AC97=-9999,'Summary, hourly ad costs'!AC97=0), ".", 'Predicted PPIs'!DF96*('Summary, hourly ad costs'!M97/'Summary, hourly ad costs'!AC97)/('Summary, hourly ad costs'!M96/'Summary, hourly ad costs'!AC96)/(1-CP96)), 'Summary, PPI''s'!AC97))</f>
        <v>.</v>
      </c>
      <c r="DG97" s="5" t="str">
        <f>IF(DG96=".", ".", IF('Summary, PPI''s'!AD97=".",IF(OR('Summary, hourly ad costs'!AD97=-9999,'Summary, hourly ad costs'!AD97=0), ".", 'Predicted PPIs'!DG96*('Summary, hourly ad costs'!N97/'Summary, hourly ad costs'!AD97)/('Summary, hourly ad costs'!N96/'Summary, hourly ad costs'!AD96)/(1-CQ96)), 'Summary, PPI''s'!AD97))</f>
        <v>.</v>
      </c>
      <c r="DH97" s="5" t="str">
        <f>IF(DH96=".", ".", IF('Summary, PPI''s'!AE97=".",IF(OR('Summary, hourly ad costs'!AE97=-9999,'Summary, hourly ad costs'!AE97=0), ".", 'Predicted PPIs'!DH96*('Summary, hourly ad costs'!O97/'Summary, hourly ad costs'!AE97)/('Summary, hourly ad costs'!O96/'Summary, hourly ad costs'!AE96)/(1-CR96)), 'Summary, PPI''s'!AE97))</f>
        <v>.</v>
      </c>
      <c r="DI97" s="5" t="str">
        <f>IF(DI96=".", ".", IF('Summary, PPI''s'!AF97=".",IF(OR('Summary, hourly ad costs'!AF97=-9999,'Summary, hourly ad costs'!AF97=0), ".", 'Predicted PPIs'!DI96*('Summary, hourly ad costs'!P97/'Summary, hourly ad costs'!AF97)/('Summary, hourly ad costs'!P96/'Summary, hourly ad costs'!AF96)/(1-CS96)), 'Summary, PPI''s'!AF97))</f>
        <v>.</v>
      </c>
      <c r="DK97" s="4">
        <f t="shared" si="205"/>
        <v>2.5342582456140343</v>
      </c>
      <c r="DM97" s="5">
        <f t="shared" si="186"/>
        <v>-1.6342943990554692E-2</v>
      </c>
      <c r="DN97" s="4">
        <f t="shared" si="187"/>
        <v>-2.2220883094747762E-2</v>
      </c>
      <c r="DO97" s="4">
        <f t="shared" si="181"/>
        <v>-2.2752679795989019E-2</v>
      </c>
      <c r="DP97" s="5">
        <f t="shared" si="188"/>
        <v>-2.1257686212468041E-3</v>
      </c>
      <c r="DQ97" s="5">
        <f t="shared" si="189"/>
        <v>3.071349866321893E-2</v>
      </c>
      <c r="DR97" s="4">
        <f t="shared" si="146"/>
        <v>-9.4484853839607343E-3</v>
      </c>
      <c r="DS97" s="5">
        <f t="shared" si="190"/>
        <v>-1.9118682554775335E-2</v>
      </c>
      <c r="DT97" s="4">
        <f t="shared" si="206"/>
        <v>1.0371262415168545E-3</v>
      </c>
      <c r="DU97" s="4">
        <f t="shared" si="171"/>
        <v>-2.5854514974939069E-2</v>
      </c>
      <c r="DV97" s="4">
        <f t="shared" si="131"/>
        <v>3.5605607516480048E-4</v>
      </c>
      <c r="DW97" s="4">
        <f t="shared" si="182"/>
        <v>-5.6581061280291951E-2</v>
      </c>
      <c r="DX97" s="4">
        <f t="shared" si="182"/>
        <v>-7.0907099485257627E-2</v>
      </c>
      <c r="DY97" s="4">
        <f t="shared" si="108"/>
        <v>-1.846700292760637E-2</v>
      </c>
      <c r="DZ97" s="4">
        <f t="shared" si="132"/>
        <v>-1.1936745904098569E-2</v>
      </c>
      <c r="EA97" s="4">
        <f t="shared" si="109"/>
        <v>-1.0924601775588884E-2</v>
      </c>
      <c r="EC97" s="1">
        <f t="shared" si="154"/>
        <v>33.283867579006937</v>
      </c>
      <c r="ED97" s="1">
        <f t="shared" si="155"/>
        <v>3.4998497666689823</v>
      </c>
      <c r="EE97" s="1">
        <f t="shared" si="156"/>
        <v>1.9590496281192651</v>
      </c>
      <c r="EF97" s="1">
        <f t="shared" si="157"/>
        <v>3.0142348827655989</v>
      </c>
      <c r="EG97" s="1">
        <f t="shared" si="158"/>
        <v>5.6707822198266875</v>
      </c>
      <c r="EH97" s="1">
        <f t="shared" si="159"/>
        <v>2.4147522587747687</v>
      </c>
      <c r="EI97" s="1">
        <f t="shared" si="160"/>
        <v>2.2187555788528739</v>
      </c>
      <c r="EJ97" s="1">
        <f t="shared" si="161"/>
        <v>3.3020599072346406</v>
      </c>
      <c r="EK97" s="1">
        <f t="shared" si="162"/>
        <v>6.8960178061282296</v>
      </c>
      <c r="EL97" s="1">
        <f t="shared" si="163"/>
        <v>2.0844316555226974</v>
      </c>
      <c r="EM97" s="1">
        <f t="shared" si="164"/>
        <v>0.15840121760203751</v>
      </c>
      <c r="EN97" s="1">
        <f t="shared" si="165"/>
        <v>1.4641858369018612</v>
      </c>
      <c r="EO97" s="1">
        <f t="shared" si="166"/>
        <v>1.391476566769529</v>
      </c>
      <c r="EP97" s="1">
        <f t="shared" si="167"/>
        <v>2.3351287030341927</v>
      </c>
      <c r="EQ97" s="1">
        <f t="shared" si="168"/>
        <v>1.8415501615994503</v>
      </c>
      <c r="ES97" s="1">
        <f>IF(EF$26=".", 0, 'Summary, PPI''s'!E97)+IF(EG$26=".", 0, 'Summary, PPI''s'!F97)+IF(EH$26=".", 0, 'Summary, PPI''s'!G97)+IF(EI$26=".", 0, 'Summary, PPI''s'!H97)+IF(EJ$26=".", 0, 'Summary, PPI''s'!I97)+IF(EK$26=".", 0, 'Summary, PPI''s'!J97)+IF(EL$26=".", 0, 'Summary, PPI''s'!K97)+IF(EM$26=".", 0, 'Summary, PPI''s'!L97)+IF(EN$26=".", 0, 'Summary, PPI''s'!M97)+IF(EC$26=".", 0, 'Summary, PPI''s'!B97)+IF(ED$26=".", 0, 'Summary, PPI''s'!C97)+IF(EE$26=".", 0, 'Summary, PPI''s'!D97)+IF(EO$26=".", 0, 'Summary, PPI''s'!N97)+IF(EP$26=".", 0, 'Summary, PPI''s'!O97)+IF(EQ$26=".", 0, 'Summary, PPI''s'!P97)</f>
        <v>2317858.4142960468</v>
      </c>
      <c r="ET97" s="1">
        <f>'Summary, hourly ad costs'!E97+'Summary, hourly ad costs'!F97+'Summary, hourly ad costs'!H97+'Summary, hourly ad costs'!I97+'Summary, hourly ad costs'!J97+'Summary, hourly ad costs'!K97+'Summary, hourly ad costs'!L97+'Summary, hourly ad costs'!M97+'Summary, hourly ad costs'!B97</f>
        <v>1480084.9701854163</v>
      </c>
      <c r="EV97" s="13">
        <f>EV96*IF(EF$26=".", 1, (EF97/EF96)^(('Summary, PPI''s'!$E97+'Summary, PPI''s'!$E96)/('Predicted PPIs'!ES97+'Predicted PPIs'!ES96)))*IF(EG$26=".", 1, (EG97/EG96)^(('Summary, PPI''s'!$F97+'Summary, PPI''s'!$F96)/('Predicted PPIs'!ES97+'Predicted PPIs'!ES96)))*IF(EH$26=".", 1, (EH97/EH96)^(('Summary, PPI''s'!$G97+'Summary, PPI''s'!$G96)/('Predicted PPIs'!ES97+'Predicted PPIs'!ES96)))*IF(EI$26=".", 1, (EI97/EI96)^(('Summary, PPI''s'!$H97+'Summary, PPI''s'!$H96)/('Predicted PPIs'!ES97+'Predicted PPIs'!ES96)))*IF(EJ$26=".", 1, (EJ97/EJ96)^(('Summary, PPI''s'!$I97+'Summary, PPI''s'!$I96)/('Predicted PPIs'!ES97+'Predicted PPIs'!ES96)))*IF(EK$26=".", 1, (EK97/EK96)^(('Summary, PPI''s'!$J97+'Summary, PPI''s'!$J96)/('Predicted PPIs'!ES97+'Predicted PPIs'!ES96)))*IF(EL$26=".", 1, (EL97/EL96)^(('Summary, PPI''s'!$K97+'Summary, PPI''s'!$K96)/('Predicted PPIs'!ES97+'Predicted PPIs'!ES96)))*IF(EM$26=".", 1, (EM97/EM96)^(('Summary, PPI''s'!$L97+'Summary, PPI''s'!$L96)/('Predicted PPIs'!ES97+'Predicted PPIs'!ES96)))*IF(EN$26=".", 1, (EN97/EN96)^(('Summary, PPI''s'!$M97+'Summary, PPI''s'!$M96)/('Predicted PPIs'!ES97+'Predicted PPIs'!ES96)))*IF(EC$26=".", 1, (EC97/EC96)^(('Summary, PPI''s'!$B97+'Summary, PPI''s'!$B96)/('Predicted PPIs'!ES97+'Predicted PPIs'!ES96)))*IF(ED$26=".", 1, (ED97/ED96)^(('Summary, PPI''s'!$C97+'Summary, PPI''s'!$C96)/('Predicted PPIs'!ES97+'Predicted PPIs'!ES96)))*IF(EE$26=".", 1, (EE97/EE96)^(('Summary, PPI''s'!$D97+'Summary, PPI''s'!$D96)/('Predicted PPIs'!ES97+'Predicted PPIs'!ES96)))*IF(EO$26=".", 1, (EO97/EO96)^(('Summary, PPI''s'!$N97+'Summary, PPI''s'!$N96)/('Predicted PPIs'!ES97+'Predicted PPIs'!ES96)))*IF(EP$26=".", 1, (EP97/EP96)^(('Summary, PPI''s'!$O97+'Summary, PPI''s'!$O96)/('Predicted PPIs'!ES97+'Predicted PPIs'!ES96)))*IF(EQ$26=".", 1, (EQ97/EQ96)^(('Summary, PPI''s'!$P97+'Summary, PPI''s'!$P96)/('Predicted PPIs'!ES97+'Predicted PPIs'!ES96)))</f>
        <v>4.371459027422282</v>
      </c>
      <c r="EW97" s="13">
        <f>EW96*IF(EF$26=".", 1, (EF97/EF96)^(('Summary, PPI''s'!$E97+'Summary, PPI''s'!$E96)/('Predicted PPIs'!ET97+'Predicted PPIs'!ET96)))*IF(EG$26=".", 1, (EG97/EG96)^(('Summary, PPI''s'!$F97+'Summary, PPI''s'!$F96)/('Predicted PPIs'!ET97+'Predicted PPIs'!ET96)))*IF(EH$26=".", 1, (EH97/EH96)^(('Summary, PPI''s'!$G97+'Summary, PPI''s'!$G96)/('Predicted PPIs'!ET97+'Predicted PPIs'!ET96)))*IF(EK$26=".", 1, (EK97/EK96)^(('Summary, PPI''s'!$J97+'Summary, PPI''s'!$J96)/('Predicted PPIs'!ET97+'Predicted PPIs'!ET96)))*IF(EL$26=".", 1, (EL97/EL96)^(('Summary, PPI''s'!$K97+'Summary, PPI''s'!$K96)/('Predicted PPIs'!ET97+'Predicted PPIs'!ET96)))*IF(EM$26=".", 1, (EM97/EM96)^(('Summary, PPI''s'!$L97+'Summary, PPI''s'!$L96)/('Predicted PPIs'!ET97+'Predicted PPIs'!ET96)))*IF(EN$26=".", 1, (EN97/EN96)^(('Summary, PPI''s'!$M97+'Summary, PPI''s'!$M96)/('Predicted PPIs'!ET97+'Predicted PPIs'!ET96)))*IF(EC$26=".", 1, (EC97/EC96)^(('Summary, PPI''s'!$B97+'Summary, PPI''s'!$B96)/('Predicted PPIs'!ET97+'Predicted PPIs'!ET96)))</f>
        <v>8.6207951074902738</v>
      </c>
      <c r="EY97" s="2"/>
    </row>
    <row r="98" spans="1:155" x14ac:dyDescent="0.3">
      <c r="A98" s="4">
        <v>1925</v>
      </c>
      <c r="B98" s="10">
        <f>IF(B97=".", ".", IF('Summary, PPI''s'!R98=".",IF(OR('Summary, hourly ad costs'!R98=-9999,'Summary, hourly ad costs'!R98=0), ".", 'Predicted PPIs'!B97*('Summary, hourly ad costs'!B98/'Summary, hourly ad costs'!R98)/('Summary, hourly ad costs'!B97/'Summary, hourly ad costs'!R97)), 'Summary, PPI''s'!R98))</f>
        <v>57.733826316039952</v>
      </c>
      <c r="C98" s="10" t="str">
        <f>IF(C97=".", ".", IF('Summary, PPI''s'!S98=".",IF(OR('Summary, hourly ad costs'!S98=-9999,'Summary, hourly ad costs'!S98=0), ".", 'Predicted PPIs'!C97*('Summary, hourly ad costs'!C98/'Summary, hourly ad costs'!S98)/('Summary, hourly ad costs'!C97/'Summary, hourly ad costs'!S97)), 'Summary, PPI''s'!S98))</f>
        <v>.</v>
      </c>
      <c r="D98" s="10" t="str">
        <f>IF(D97=".", ".", IF('Summary, PPI''s'!T98=".",IF(OR('Summary, hourly ad costs'!T98=-9999,'Summary, hourly ad costs'!T98=0), ".", 'Predicted PPIs'!D97*('Summary, hourly ad costs'!D98/'Summary, hourly ad costs'!T98)/('Summary, hourly ad costs'!D97/'Summary, hourly ad costs'!T97)), 'Summary, PPI''s'!T98))</f>
        <v>.</v>
      </c>
      <c r="E98" s="10">
        <f>IF(E97=".", ".", IF('Summary, PPI''s'!U98=".",IF(OR('Summary, hourly ad costs'!U98=-9999,'Summary, hourly ad costs'!U98=0), ".", 'Predicted PPIs'!E97*('Summary, hourly ad costs'!E98/'Summary, hourly ad costs'!U98)/('Summary, hourly ad costs'!E97/'Summary, hourly ad costs'!U97)), 'Summary, PPI''s'!U98))</f>
        <v>2.6526586846827049</v>
      </c>
      <c r="F98" s="10">
        <f>IF(F97=".", ".", IF('Summary, PPI''s'!V98=".",IF(OR('Summary, hourly ad costs'!V98=-9999,'Summary, hourly ad costs'!V98=0), ".", 'Predicted PPIs'!F97*('Summary, hourly ad costs'!F98/'Summary, hourly ad costs'!V98)/('Summary, hourly ad costs'!F97/'Summary, hourly ad costs'!V97)), 'Summary, PPI''s'!V98))</f>
        <v>4.4040610728325529</v>
      </c>
      <c r="G98" s="10" t="str">
        <f>IF(G97=".", ".", IF('Summary, PPI''s'!W98=".",IF(OR('Summary, hourly ad costs'!W98=-9999,'Summary, hourly ad costs'!W98=0), ".", 'Predicted PPIs'!G97*('Summary, hourly ad costs'!G98/'Summary, hourly ad costs'!W98)/('Summary, hourly ad costs'!G97/'Summary, hourly ad costs'!W97)), 'Summary, PPI''s'!W98))</f>
        <v>.</v>
      </c>
      <c r="H98" s="10">
        <f>IF(H97=".", ".", IF('Summary, PPI''s'!X98=".",IF(OR('Summary, hourly ad costs'!X98=-9999,'Summary, hourly ad costs'!X98=0), ".", 'Predicted PPIs'!H97*('Summary, hourly ad costs'!H98/'Summary, hourly ad costs'!X98)/('Summary, hourly ad costs'!H97/'Summary, hourly ad costs'!X97)), 'Summary, PPI''s'!X98))</f>
        <v>1.9595207367149756</v>
      </c>
      <c r="I98" s="10" t="str">
        <f>IF(I97=".", ".", IF('Summary, PPI''s'!Y98=".",IF(OR('Summary, hourly ad costs'!Y98=-9999,'Summary, hourly ad costs'!Y98=0), ".", 'Predicted PPIs'!I97*('Summary, hourly ad costs'!I98/'Summary, hourly ad costs'!Y98)/('Summary, hourly ad costs'!I97/'Summary, hourly ad costs'!Y97)), 'Summary, PPI''s'!Y98))</f>
        <v>.</v>
      </c>
      <c r="J98" s="10" t="str">
        <f>IF(J97=".", ".", IF('Summary, PPI''s'!Z98=".",IF(OR('Summary, hourly ad costs'!Z98=-9999,'Summary, hourly ad costs'!Z98=0), ".", 'Predicted PPIs'!J97*('Summary, hourly ad costs'!J98/'Summary, hourly ad costs'!Z98)/('Summary, hourly ad costs'!J97/'Summary, hourly ad costs'!Z97)), 'Summary, PPI''s'!Z98))</f>
        <v>.</v>
      </c>
      <c r="K98" s="10" t="str">
        <f>IF(K97=".", ".", IF('Summary, PPI''s'!AA98=".",IF(OR('Summary, hourly ad costs'!AA98=-9999,'Summary, hourly ad costs'!AA98=0), ".", 'Predicted PPIs'!K97*('Summary, hourly ad costs'!K98/'Summary, hourly ad costs'!AA98)/('Summary, hourly ad costs'!K97/'Summary, hourly ad costs'!AA97)), 'Summary, PPI''s'!AA98))</f>
        <v>.</v>
      </c>
      <c r="L98" s="10" t="str">
        <f>IF(L97=".", ".", IF('Summary, PPI''s'!AB98=".",IF(OR('Summary, hourly ad costs'!AB98=-9999,'Summary, hourly ad costs'!AB98=0), ".", 'Predicted PPIs'!L97*('Summary, hourly ad costs'!L98/'Summary, hourly ad costs'!AB98)/('Summary, hourly ad costs'!L97/'Summary, hourly ad costs'!AB97)), 'Summary, PPI''s'!AB98))</f>
        <v>.</v>
      </c>
      <c r="M98" s="10" t="str">
        <f>IF(M97=".", ".", IF('Summary, PPI''s'!AC98=".",IF(OR('Summary, hourly ad costs'!AC98=-9999,'Summary, hourly ad costs'!AC98=0), ".", 'Predicted PPIs'!M97*('Summary, hourly ad costs'!M98/'Summary, hourly ad costs'!AC98)/('Summary, hourly ad costs'!M97/'Summary, hourly ad costs'!AC97)), 'Summary, PPI''s'!AC98))</f>
        <v>.</v>
      </c>
      <c r="N98" s="10" t="str">
        <f>IF(N97=".", ".", IF('Summary, PPI''s'!AD98=".",IF(OR('Summary, hourly ad costs'!AD98=-9999,'Summary, hourly ad costs'!AD98=0), ".", 'Predicted PPIs'!N97*('Summary, hourly ad costs'!N98/'Summary, hourly ad costs'!AD98)/('Summary, hourly ad costs'!N97/'Summary, hourly ad costs'!AD97)), 'Summary, PPI''s'!AD98))</f>
        <v>.</v>
      </c>
      <c r="O98" s="10" t="str">
        <f>IF(O97=".", ".", IF('Summary, PPI''s'!AE98=".",IF(OR('Summary, hourly ad costs'!AE98=-9999,'Summary, hourly ad costs'!AE98=0), ".", 'Predicted PPIs'!O97*('Summary, hourly ad costs'!O98/'Summary, hourly ad costs'!AE98)/('Summary, hourly ad costs'!O97/'Summary, hourly ad costs'!AE97)), 'Summary, PPI''s'!AE98))</f>
        <v>.</v>
      </c>
      <c r="P98" s="10" t="str">
        <f>IF(P97=".", ".", IF('Summary, PPI''s'!AF98=".",IF(OR('Summary, hourly ad costs'!AF98=-9999,'Summary, hourly ad costs'!AF98=0), ".", 'Predicted PPIs'!P97*('Summary, hourly ad costs'!P98/'Summary, hourly ad costs'!AF98)/('Summary, hourly ad costs'!P97/'Summary, hourly ad costs'!AF97)), 'Summary, PPI''s'!AF98))</f>
        <v>.</v>
      </c>
      <c r="R98" s="1">
        <f>IF(E$26=".", 0, 'Summary, PPI''s'!E98)+IF(F$26=".", 0, 'Summary, PPI''s'!F98)+IF(G$26=".", 0, 'Summary, PPI''s'!G98)+IF(H$26=".", 0, 'Summary, PPI''s'!H98)+IF(I$26=".", 0, 'Summary, PPI''s'!I98)+IF(J$26=".", 0, 'Summary, PPI''s'!J98)+IF(K$26=".", 0, 'Summary, PPI''s'!K98)+IF(L$26=".", 0, 'Summary, PPI''s'!L98)+IF(M$26=".", 0, 'Summary, PPI''s'!M98)+IF(B$26=".", 0, 'Summary, PPI''s'!B98)+IF(C$26=".", 0, 'Summary, PPI''s'!C98)+IF(D$26=".", 0, 'Summary, PPI''s'!D98)+IF(N$26=".", 0, 'Summary, PPI''s'!N98)+IF(O$26=".", 0, 'Summary, PPI''s'!O98)+IF(P$26=".", 0, 'Summary, PPI''s'!P98)</f>
        <v>2212466.5773146846</v>
      </c>
      <c r="S98" s="1">
        <f>IF(E$36=".", 0, 'Summary, PPI''s'!E98)+IF(F$36=".", 0, 'Summary, PPI''s'!F98)+IF(G$36=".", 0, 'Summary, PPI''s'!G98)+IF(H$36=".", 0, 'Summary, PPI''s'!H98)+IF(I$36=".", 0, 'Summary, PPI''s'!I98)+IF(J$36=".", 0, 'Summary, PPI''s'!J98)+IF(K$36=".", 0, 'Summary, PPI''s'!K98)+IF(L$36=".", 0, 'Summary, PPI''s'!L98)+IF(M$36=".", 0, 'Summary, PPI''s'!M98)+IF(B$36=".", 0, 'Summary, PPI''s'!B98)+IF(C$36=".", 0, 'Summary, PPI''s'!C98)+IF(D$36=".", 0, 'Summary, PPI''s'!D98)+IF(N$36=".", 0, 'Summary, PPI''s'!N98)+IF(O$36=".", 0, 'Summary, PPI''s'!O98)+IF(P$36=".", 0, 'Summary, PPI''s'!P98)</f>
        <v>2212466.5773146846</v>
      </c>
      <c r="T98" s="1">
        <f>IF(E$46=".", 0, 'Summary, PPI''s'!E98)+IF(F$46=".", 0, 'Summary, PPI''s'!F98)+IF(G$46=".", 0, 'Summary, PPI''s'!G98)+IF(H$46=".", 0, 'Summary, PPI''s'!H98)+IF(I$46=".", 0, 'Summary, PPI''s'!I98)+IF(J$46=".", 0, 'Summary, PPI''s'!J98)+IF(K$46=".", 0, 'Summary, PPI''s'!K98)+IF(L$46=".", 0, 'Summary, PPI''s'!L98)+IF(M$46=".", 0, 'Summary, PPI''s'!M98)+IF(B$46=".", 0, 'Summary, PPI''s'!B98)+IF(C$46=".", 0, 'Summary, PPI''s'!C98)+IF(D$46=".", 0, 'Summary, PPI''s'!D98)+IF(N$46=".", 0, 'Summary, PPI''s'!N98)+IF(O$46=".", 0, 'Summary, PPI''s'!O98)+IF(P$46=".", 0, 'Summary, PPI''s'!P98)</f>
        <v>1909770.5111940338</v>
      </c>
      <c r="U98" s="1">
        <f>IF(E$60=".", 0, 'Summary, PPI''s'!E98)+IF(F$60=".", 0, 'Summary, PPI''s'!F98)+IF(G$60=".", 0, 'Summary, PPI''s'!G98)+IF(H$60=".", 0, 'Summary, PPI''s'!H98)+IF(I$60=".", 0, 'Summary, PPI''s'!I98)+IF(J$60=".", 0, 'Summary, PPI''s'!J98)+IF(K$60=".", 0, 'Summary, PPI''s'!K98)+IF(L$60=".", 0, 'Summary, PPI''s'!L98)+IF(M$60=".", 0, 'Summary, PPI''s'!M98)+IF(B$60=".", 0, 'Summary, PPI''s'!B98)+IF(C$60=".", 0, 'Summary, PPI''s'!C98)+IF(D$60=".", 0, 'Summary, PPI''s'!D98)+IF(N$60=".", 0, 'Summary, PPI''s'!N98)+IF(O$60=".", 0, 'Summary, PPI''s'!O98)+IF(P$60=".", 0, 'Summary, PPI''s'!P98)</f>
        <v>1769920.059340942</v>
      </c>
      <c r="V98" s="1">
        <f>IF(E$73=".", 0, 'Summary, PPI''s'!E98)+IF(F$73=".", 0, 'Summary, PPI''s'!F98)+IF(G$73=".", 0, 'Summary, PPI''s'!G98)+IF(H$73=".", 0, 'Summary, PPI''s'!H98)+IF(I$73=".", 0, 'Summary, PPI''s'!I98)+IF(J$73=".", 0, 'Summary, PPI''s'!J98)+IF(K$73=".", 0, 'Summary, PPI''s'!K98)+IF(L$73=".", 0, 'Summary, PPI''s'!L98)+IF(M$73=".", 0, 'Summary, PPI''s'!M98)+IF(B$73=".", 0, 'Summary, PPI''s'!B98)+IF(C$73=".", 0, 'Summary, PPI''s'!C98)+IF(D$73=".", 0, 'Summary, PPI''s'!D98)+IF(N$73=".", 0, 'Summary, PPI''s'!N98)+IF(O$73=".", 0, 'Summary, PPI''s'!O98)+IF(P$73=".", 0, 'Summary, PPI''s'!P98)</f>
        <v>1409414.1668436709</v>
      </c>
      <c r="W98" s="1">
        <f>IF(E$94=".",0,'Summary, PPI''s'!E98)+IF(F$94=".",0,'Summary, PPI''s'!F98)+IF(G$94=".",0,'Summary, PPI''s'!G98)+IF(H$94=".",0,'Summary, PPI''s'!H98)+IF(I$94=".",0,'Summary, PPI''s'!I98)+IF(J$94=".",0,'Summary, PPI''s'!J98)+IF(K$94=".",0,'Summary, PPI''s'!K98)+IF(L$94=".",0,'Summary, PPI''s'!L98)+IF(M$94=".",0,'Summary, PPI''s'!M98)+IF(B$94=".",0,'Summary, PPI''s'!B98)+IF(C$94=".",0,'Summary, PPI''s'!C98)+IF(D$94=".",0,'Summary, PPI''s'!D98)+IF(N$94=".",0,'Summary, PPI''s'!N98)+IF(O$94=".",0,'Summary, PPI''s'!O98)+IF(P$94=".",0,'Summary, PPI''s'!P98)</f>
        <v>1409414.1668436709</v>
      </c>
      <c r="X98" s="1">
        <f>IF(E$123=".", 0, 'Summary, PPI''s'!E98)+IF(F$123=".", 0, 'Summary, PPI''s'!F98)+IF(G$123=".", 0, 'Summary, PPI''s'!G98)+IF(H$123=".", 0, 'Summary, PPI''s'!H98)+IF(I$123=".", 0, 'Summary, PPI''s'!I98)+IF(J$123=".", 0, 'Summary, PPI''s'!J98)+IF(K$123=".", 0, 'Summary, PPI''s'!K98)+IF(L$123=".", 0, 'Summary, PPI''s'!L98)+IF(M$123=".", 0, 'Summary, PPI''s'!M98)+IF(B$123=".", 0, 'Summary, PPI''s'!B98)+IF(C$123=".", 0, 'Summary, PPI''s'!C98)+IF(D$123=".", 0, 'Summary, PPI''s'!D98)+IF(N$123=".", 0, 'Summary, PPI''s'!N98)+IF(O$123=".", 0, 'Summary, PPI''s'!O98)+IF(P$123=".", 0, 'Summary, PPI''s'!P98)</f>
        <v>1409414.1668436709</v>
      </c>
      <c r="Z98" s="4" t="e">
        <f>Z97*IF(E$26=".", 1, (E98/E97)^(('Summary, PPI''s'!$E98+'Summary, PPI''s'!$E97)/('Predicted PPIs'!R98+'Predicted PPIs'!R97)))*IF(F$26=".", 1, (F98/F97)^(('Summary, PPI''s'!$F98+'Summary, PPI''s'!$F97)/('Predicted PPIs'!R98+'Predicted PPIs'!R97)))*IF(G$26=".", 1, (G98/G97)^(('Summary, PPI''s'!$G98+'Summary, PPI''s'!$G97)/('Predicted PPIs'!R98+'Predicted PPIs'!R97)))*IF(H$26=".", 1, (H98/H97)^(('Summary, PPI''s'!$H98+'Summary, PPI''s'!$H97)/('Predicted PPIs'!R98+'Predicted PPIs'!R97)))*IF(I$26=".", 1, (I98/I97)^(('Summary, PPI''s'!$I98+'Summary, PPI''s'!$I97)/('Predicted PPIs'!R98+'Predicted PPIs'!R97)))*IF(J$26=".", 1, (J98/J97)^(('Summary, PPI''s'!$J98+'Summary, PPI''s'!$J97)/('Predicted PPIs'!R98+'Predicted PPIs'!R97)))*IF(K$26=".", 1, (K98/K97)^(('Summary, PPI''s'!$K98+'Summary, PPI''s'!$K97)/('Predicted PPIs'!R98+'Predicted PPIs'!R97)))*IF(L$26=".", 1, (L98/L97)^(('Summary, PPI''s'!$L98+'Summary, PPI''s'!$L97)/('Predicted PPIs'!R98+'Predicted PPIs'!R97)))*IF(M$26=".", 1, (M98/M97)^(('Summary, PPI''s'!$M98+'Summary, PPI''s'!$M97)/('Predicted PPIs'!R98+'Predicted PPIs'!R97)))*IF(B$26=".", 1, (B98/B97)^(('Summary, PPI''s'!$B98+'Summary, PPI''s'!$B97)/('Predicted PPIs'!R98+'Predicted PPIs'!R97)))*IF(C$26=".", 1, (C98/C97)^(('Summary, PPI''s'!$C98+'Summary, PPI''s'!$C97)/('Predicted PPIs'!R98+'Predicted PPIs'!R97)))*IF(D$26=".", 1, (D98/D97)^(('Summary, PPI''s'!$D98+'Summary, PPI''s'!$D97)/('Predicted PPIs'!R98+'Predicted PPIs'!R97)))*IF(N$26=".", 1, (N98/N97)^(('Summary, PPI''s'!$N98+'Summary, PPI''s'!$N97)/('Predicted PPIs'!R98+'Predicted PPIs'!R97)))*IF(O$26=".", 1, (O98/O97)^(('Summary, PPI''s'!$O98+'Summary, PPI''s'!$O97)/('Predicted PPIs'!R98+'Predicted PPIs'!R97)))*IF(P$26=".", 1, (P98/P97)^(('Summary, PPI''s'!$P98+'Summary, PPI''s'!$P97)/('Predicted PPIs'!R98+'Predicted PPIs'!R97)))</f>
        <v>#VALUE!</v>
      </c>
      <c r="AA98" s="4" t="e">
        <f>AA97*IF(E$36=".", 1, (E98/E97)^(('Summary, PPI''s'!$E98+'Summary, PPI''s'!$E97)/('Predicted PPIs'!S98+'Predicted PPIs'!S97)))*IF(F$36=".", 1, (F98/F97)^(('Summary, PPI''s'!$F98+'Summary, PPI''s'!$F97)/('Predicted PPIs'!S98+'Predicted PPIs'!S97)))*IF(G$36=".", 1, (G98/G97)^(('Summary, PPI''s'!$G98+'Summary, PPI''s'!$G97)/('Predicted PPIs'!S98+'Predicted PPIs'!S97)))*IF(H$36=".", 1, (H98/H97)^(('Summary, PPI''s'!$H98+'Summary, PPI''s'!$H97)/('Predicted PPIs'!S98+'Predicted PPIs'!S97)))*IF(I$36=".", 1, (I98/I97)^(('Summary, PPI''s'!$I98+'Summary, PPI''s'!$I97)/('Predicted PPIs'!S98+'Predicted PPIs'!S97)))*IF(J$36=".", 1, (J98/J97)^(('Summary, PPI''s'!$J98+'Summary, PPI''s'!$J97)/('Predicted PPIs'!S98+'Predicted PPIs'!S97)))*IF(K$36=".", 1, (K98/K97)^(('Summary, PPI''s'!$K98+'Summary, PPI''s'!$K97)/('Predicted PPIs'!S98+'Predicted PPIs'!S97)))*IF(L$36=".", 1, (L98/L97)^(('Summary, PPI''s'!$L98+'Summary, PPI''s'!$L97)/('Predicted PPIs'!S98+'Predicted PPIs'!S97)))*IF(M$36=".", 1, (M98/M97)^(('Summary, PPI''s'!$M98+'Summary, PPI''s'!$M97)/('Predicted PPIs'!S98+'Predicted PPIs'!S97)))*IF(B$36=".", 1, (B98/B97)^(('Summary, PPI''s'!$B98+'Summary, PPI''s'!$B97)/('Predicted PPIs'!S98+'Predicted PPIs'!S97)))*IF(C$36=".", 1, (C98/C97)^(('Summary, PPI''s'!$C98+'Summary, PPI''s'!$C97)/('Predicted PPIs'!S98+'Predicted PPIs'!S97)))*IF(D$36=".", 1, (D98/D97)^(('Summary, PPI''s'!$D98+'Summary, PPI''s'!$D97)/('Predicted PPIs'!S98+'Predicted PPIs'!S97)))*IF(N$36=".", 1, (N98/N97)^(('Summary, PPI''s'!$N98+'Summary, PPI''s'!$N97)/('Predicted PPIs'!S98+'Predicted PPIs'!S97)))*IF(O$36=".", 1, (O98/O97)^(('Summary, PPI''s'!$O98+'Summary, PPI''s'!$O97)/('Predicted PPIs'!S98+'Predicted PPIs'!S97)))*IF(P$36=".", 1, (P98/P97)^(('Summary, PPI''s'!$P98+'Summary, PPI''s'!$P97)/('Predicted PPIs'!S98+'Predicted PPIs'!S97)))</f>
        <v>#VALUE!</v>
      </c>
      <c r="AB98" s="4" t="e">
        <f>AB97*IF(E$46=".", 1, (E98/E97)^(('Summary, PPI''s'!$E98+'Summary, PPI''s'!$E97)/('Predicted PPIs'!T98+'Predicted PPIs'!T97)))*IF(F$46=".", 1, (F98/F97)^(('Summary, PPI''s'!$F98+'Summary, PPI''s'!$F97)/('Predicted PPIs'!T98+'Predicted PPIs'!T97)))*IF(G$46=".", 1, (G98/G97)^(('Summary, PPI''s'!$G98+'Summary, PPI''s'!$G97)/('Predicted PPIs'!T98+'Predicted PPIs'!T97)))*IF(H$46=".", 1, (H98/H97)^(('Summary, PPI''s'!$H98+'Summary, PPI''s'!$H97)/('Predicted PPIs'!T98+'Predicted PPIs'!T97)))*IF(I$46=".", 1, (I98/I97)^(('Summary, PPI''s'!$I98+'Summary, PPI''s'!$I97)/('Predicted PPIs'!T98+'Predicted PPIs'!T97)))*IF(J$46=".", 1, (J98/J97)^(('Summary, PPI''s'!$J98+'Summary, PPI''s'!$J97)/('Predicted PPIs'!T98+'Predicted PPIs'!T97)))*IF(K$46=".", 1, (K98/K97)^(('Summary, PPI''s'!$K98+'Summary, PPI''s'!$K97)/('Predicted PPIs'!T98+'Predicted PPIs'!T97)))*IF(L$46=".", 1, (L98/L97)^(('Summary, PPI''s'!$L98+'Summary, PPI''s'!$L97)/('Predicted PPIs'!T98+'Predicted PPIs'!T97)))*IF(M$46=".", 1, (M98/M97)^(('Summary, PPI''s'!$M98+'Summary, PPI''s'!$M97)/('Predicted PPIs'!T98+'Predicted PPIs'!T97)))*IF(B$46=".", 1, (B98/B97)^(('Summary, PPI''s'!$B98+'Summary, PPI''s'!$B97)/('Predicted PPIs'!T98+'Predicted PPIs'!T97)))*IF(C$46=".", 1, (C98/C97)^(('Summary, PPI''s'!$C98+'Summary, PPI''s'!$C97)/('Predicted PPIs'!T98+'Predicted PPIs'!T97)))*IF(D$46=".", 1, (D98/D97)^(('Summary, PPI''s'!$D98+'Summary, PPI''s'!$D97)/('Predicted PPIs'!T98+'Predicted PPIs'!T97)))*IF(N$46=".", 1, (N98/N97)^(('Summary, PPI''s'!$N98+'Summary, PPI''s'!$N97)/('Predicted PPIs'!T98+'Predicted PPIs'!T97)))*IF(O$46=".", 1, (O98/O97)^(('Summary, PPI''s'!$O98+'Summary, PPI''s'!$O97)/('Predicted PPIs'!T98+'Predicted PPIs'!T97)))*IF(P$46=".", 1, (P98/P97)^(('Summary, PPI''s'!$P98+'Summary, PPI''s'!$P97)/('Predicted PPIs'!T98+'Predicted PPIs'!T97)))</f>
        <v>#VALUE!</v>
      </c>
      <c r="AC98" s="4" t="e">
        <f>AC97*IF(E$60=".",1,(E98/E97)^(('Summary, PPI''s'!$E98+'Summary, PPI''s'!$E97)/('Predicted PPIs'!U98+'Predicted PPIs'!U97)))*IF(F$60=".",1,(F98/F97)^(('Summary, PPI''s'!$F98+'Summary, PPI''s'!$F97)/('Predicted PPIs'!U98+'Predicted PPIs'!U97)))*IF(G$60=".",1,(G98/G97)^(('Summary, PPI''s'!$G98+'Summary, PPI''s'!$G97)/('Predicted PPIs'!U98+'Predicted PPIs'!U97)))*IF(H$60=".",1,(H98/H97)^(('Summary, PPI''s'!$H98+'Summary, PPI''s'!$H97)/('Predicted PPIs'!U98+'Predicted PPIs'!U97)))*IF(I$60=".",1,(I98/I97)^(('Summary, PPI''s'!$I98+'Summary, PPI''s'!$I97)/('Predicted PPIs'!U98+'Predicted PPIs'!U97)))*IF(J$60=".",1,(J98/J97)^(('Summary, PPI''s'!$J98+'Summary, PPI''s'!$J97)/('Predicted PPIs'!U98+'Predicted PPIs'!U97)))*IF(K$60=".",1,(K98/K97)^(('Summary, PPI''s'!$K98+'Summary, PPI''s'!$K97)/('Predicted PPIs'!U98+'Predicted PPIs'!U97)))*IF(L$60=".",1,(L98/L97)^(('Summary, PPI''s'!$L98+'Summary, PPI''s'!$L97)/('Predicted PPIs'!U98+'Predicted PPIs'!U97)))*IF(M$60=".",1,(M98/M97)^(('Summary, PPI''s'!$M98+'Summary, PPI''s'!$M97)/('Predicted PPIs'!U98+'Predicted PPIs'!U97)))*IF(B$60=".",1,(B98/B97)^(('Summary, PPI''s'!$B98+'Summary, PPI''s'!$B97)/('Predicted PPIs'!U98+'Predicted PPIs'!U97)))*IF(C$60=".",1,(C98/C97)^(('Summary, PPI''s'!$C98+'Summary, PPI''s'!$C97)/('Predicted PPIs'!U98+'Predicted PPIs'!U97)))*IF(D$60=".",1,(D98/D97)^(('Summary, PPI''s'!$D98+'Summary, PPI''s'!$D97)/('Predicted PPIs'!U98+'Predicted PPIs'!U97)))*IF(N$60=".",1,(N98/N97)^(('Summary, PPI''s'!$N98+'Summary, PPI''s'!$N97)/('Predicted PPIs'!U98+'Predicted PPIs'!U97)))*IF(O$60=".",1,(O98/O97)^(('Summary, PPI''s'!$O98+'Summary, PPI''s'!$O97)/('Predicted PPIs'!U98+'Predicted PPIs'!U97)))*IF(P$60=".",1,(P98/P97)^(('Summary, PPI''s'!$P98+'Summary, PPI''s'!$P97)/('Predicted PPIs'!U98+'Predicted PPIs'!U97)))</f>
        <v>#VALUE!</v>
      </c>
      <c r="AD98" s="4" t="e">
        <f>AD97*IF(E$73=".", 1, (E98/E97)^(('Summary, PPI''s'!$E98+'Summary, PPI''s'!$E97)/('Predicted PPIs'!V98+'Predicted PPIs'!V97)))*IF(F$73=".", 1, (F98/F97)^(('Summary, PPI''s'!$F98+'Summary, PPI''s'!$F97)/('Predicted PPIs'!V98+'Predicted PPIs'!V97)))*IF(G$73=".", 1, (G98/G97)^(('Summary, PPI''s'!$G98+'Summary, PPI''s'!$G97)/('Predicted PPIs'!V98+'Predicted PPIs'!V97)))*IF(H$73=".", 1, (H98/H97)^(('Summary, PPI''s'!$H98+'Summary, PPI''s'!$H97)/('Predicted PPIs'!V98+'Predicted PPIs'!V97)))*IF(I$73=".", 1, (I98/I97)^(('Summary, PPI''s'!$I98+'Summary, PPI''s'!$I97)/('Predicted PPIs'!V98+'Predicted PPIs'!V97)))*IF(J$73=".", 1, (J98/J97)^(('Summary, PPI''s'!$J98+'Summary, PPI''s'!$J97)/('Predicted PPIs'!V98+'Predicted PPIs'!V97)))*IF(K$73=".", 1, (K98/K97)^(('Summary, PPI''s'!$K98+'Summary, PPI''s'!$K97)/('Predicted PPIs'!V98+'Predicted PPIs'!V97)))*IF(L$73=".", 1, (L98/L97)^(('Summary, PPI''s'!$L98+'Summary, PPI''s'!$L97)/('Predicted PPIs'!V98+'Predicted PPIs'!V97)))*IF(M$73=".", 1, (M98/M97)^(('Summary, PPI''s'!$M98+'Summary, PPI''s'!$M97)/('Predicted PPIs'!V98+'Predicted PPIs'!V97)))*IF(B$73=".", 1, (B98/B97)^(('Summary, PPI''s'!$B98+'Summary, PPI''s'!$B97)/('Predicted PPIs'!V98+'Predicted PPIs'!V97)))*IF(C$73=".", 1, (C98/C97)^(('Summary, PPI''s'!$C98+'Summary, PPI''s'!$C97)/('Predicted PPIs'!V98+'Predicted PPIs'!V97)))*IF(D$73=".", 1, (D98/D97)^(('Summary, PPI''s'!$D98+'Summary, PPI''s'!$D97)/('Predicted PPIs'!V98+'Predicted PPIs'!V97)))*IF(N$73=".", 1, (N98/N97)^(('Summary, PPI''s'!$N98+'Summary, PPI''s'!$N97)/('Predicted PPIs'!V98+'Predicted PPIs'!V97)))*IF(O$73=".", 1, (O98/O97)^(('Summary, PPI''s'!$O98+'Summary, PPI''s'!$O97)/('Predicted PPIs'!V98+'Predicted PPIs'!V97)))*IF(P$73=".", 1, (P98/P97)^(('Summary, PPI''s'!$P98+'Summary, PPI''s'!$P97)/('Predicted PPIs'!V98+'Predicted PPIs'!V97)))</f>
        <v>#VALUE!</v>
      </c>
      <c r="AE98" s="4" t="e">
        <f>AE97*IF(E$94=".", 1, (E98/E97)^(('Summary, PPI''s'!$E98+'Summary, PPI''s'!$E97)/('Predicted PPIs'!W98+'Predicted PPIs'!W97)))*IF(F$94=".", 1, (F98/F97)^(('Summary, PPI''s'!$F98+'Summary, PPI''s'!$F97)/('Predicted PPIs'!W98+'Predicted PPIs'!W97)))*IF(G$94=".", 1, (G98/G97)^(('Summary, PPI''s'!$G98+'Summary, PPI''s'!$G97)/('Predicted PPIs'!W98+'Predicted PPIs'!W97)))*IF(H$94=".", 1, (H98/H97)^(('Summary, PPI''s'!$H98+'Summary, PPI''s'!$H97)/('Predicted PPIs'!W98+'Predicted PPIs'!W97)))*IF(I$94=".", 1, (I98/I97)^(('Summary, PPI''s'!$I98+'Summary, PPI''s'!$I97)/('Predicted PPIs'!W98+'Predicted PPIs'!W97)))*IF(J$94=".", 1, (J98/J97)^(('Summary, PPI''s'!$J98+'Summary, PPI''s'!$J97)/('Predicted PPIs'!W98+'Predicted PPIs'!W97)))*IF(K$94=".", 1, (K98/K97)^(('Summary, PPI''s'!$K98+'Summary, PPI''s'!$K97)/('Predicted PPIs'!W98+'Predicted PPIs'!W97)))*IF(L$94=".", 1, (L98/L97)^(('Summary, PPI''s'!$L98+'Summary, PPI''s'!$L97)/('Predicted PPIs'!W98+'Predicted PPIs'!W97)))*IF(M$94=".", 1, (M98/M97)^(('Summary, PPI''s'!$M98+'Summary, PPI''s'!$M97)/('Predicted PPIs'!W98+'Predicted PPIs'!W97)))*IF(B$94=".", 1, (B98/B97)^(('Summary, PPI''s'!$B98+'Summary, PPI''s'!$B97)/('Predicted PPIs'!W98+'Predicted PPIs'!W97)))*IF(C$94=".", 1, (C98/C97)^(('Summary, PPI''s'!$C98+'Summary, PPI''s'!$C97)/('Predicted PPIs'!W98+'Predicted PPIs'!W97)))*IF(D$94=".", 1, (D98/D97)^(('Summary, PPI''s'!$D98+'Summary, PPI''s'!$D97)/('Predicted PPIs'!W98+'Predicted PPIs'!W97)))*IF(N$94=".", 1, (N98/N97)^(('Summary, PPI''s'!$N98+'Summary, PPI''s'!$N97)/('Predicted PPIs'!W98+'Predicted PPIs'!W97)))*IF(O$94=".", 1, (O98/O97)^(('Summary, PPI''s'!$O98+'Summary, PPI''s'!$O97)/('Predicted PPIs'!W98+'Predicted PPIs'!W97)))*IF(P$94=".", 1, (P98/P97)^(('Summary, PPI''s'!$P98+'Summary, PPI''s'!$P97)/('Predicted PPIs'!W98+'Predicted PPIs'!W97)))</f>
        <v>#VALUE!</v>
      </c>
      <c r="AF98" s="4">
        <f>AF97*IF(E$123=".", 1, (E98/E97)^(('Summary, PPI''s'!$E98+'Summary, PPI''s'!$E97)/('Predicted PPIs'!X98+'Predicted PPIs'!X97)))*IF(F$123=".", 1, (F98/F97)^(('Summary, PPI''s'!$F98+'Summary, PPI''s'!$F97)/('Predicted PPIs'!X98+'Predicted PPIs'!X97)))*IF(G$123=".", 1, (G98/G97)^(('Summary, PPI''s'!$G98+'Summary, PPI''s'!$G97)/('Predicted PPIs'!X98+'Predicted PPIs'!X97)))*IF(H$123=".", 1, (H98/H97)^(('Summary, PPI''s'!$H98+'Summary, PPI''s'!$H97)/('Predicted PPIs'!X98+'Predicted PPIs'!X97)))*IF(I$123=".", 1, (I98/I97)^(('Summary, PPI''s'!$I98+'Summary, PPI''s'!$I97)/('Predicted PPIs'!X98+'Predicted PPIs'!X97)))*IF(J$123=".", 1, (J98/J97)^(('Summary, PPI''s'!$J98+'Summary, PPI''s'!$J97)/('Predicted PPIs'!X98+'Predicted PPIs'!X97)))*IF(K$123=".", 1, (K98/K97)^(('Summary, PPI''s'!$K98+'Summary, PPI''s'!$K97)/('Predicted PPIs'!X98+'Predicted PPIs'!X97)))*IF(L$123=".", 1, (L98/L97)^(('Summary, PPI''s'!$L98+'Summary, PPI''s'!$L97)/('Predicted PPIs'!X98+'Predicted PPIs'!X97)))*IF(M$123=".", 1, (M98/M97)^(('Summary, PPI''s'!$M98+'Summary, PPI''s'!$M97)/('Predicted PPIs'!X98+'Predicted PPIs'!X97)))*IF(B$123=".", 1, (B98/B97)^(('Summary, PPI''s'!$B98+'Summary, PPI''s'!$B97)/('Predicted PPIs'!X98+'Predicted PPIs'!X97)))*IF(C$123=".", 1, (C98/C97)^(('Summary, PPI''s'!$C98+'Summary, PPI''s'!$C97)/('Predicted PPIs'!X98+'Predicted PPIs'!X97)))*IF(D$123=".", 1, (D98/D97)^(('Summary, PPI''s'!$D98+'Summary, PPI''s'!$D97)/('Predicted PPIs'!X98+'Predicted PPIs'!X97)))*IF(N$123=".", 1, (N98/N97)^(('Summary, PPI''s'!$N98+'Summary, PPI''s'!$N97)/('Predicted PPIs'!X98+'Predicted PPIs'!X97)))*IF(O$123=".", 1, (O98/O97)^(('Summary, PPI''s'!$O98+'Summary, PPI''s'!$O97)/('Predicted PPIs'!X98+'Predicted PPIs'!X97)))*IF(P$123=".", 1, (P98/P97)^(('Summary, PPI''s'!$P98+'Summary, PPI''s'!$P97)/('Predicted PPIs'!X98+'Predicted PPIs'!X97)))</f>
        <v>4.6640305962386481</v>
      </c>
      <c r="AH98" s="13">
        <f t="shared" si="152"/>
        <v>6.6605011699316403</v>
      </c>
      <c r="AJ98" s="4">
        <f t="shared" si="207"/>
        <v>66.551005849866314</v>
      </c>
      <c r="AK98" s="4">
        <f t="shared" si="191"/>
        <v>-1.4728924162896766</v>
      </c>
      <c r="AL98" s="4">
        <f t="shared" si="192"/>
        <v>-5.0454948621061426</v>
      </c>
      <c r="AM98" s="4">
        <f t="shared" si="193"/>
        <v>-0.78502672275100693</v>
      </c>
      <c r="AN98" s="4">
        <f t="shared" si="176"/>
        <v>88.748376547165776</v>
      </c>
      <c r="AO98" s="4">
        <v>16.899999999999999</v>
      </c>
      <c r="AP98" s="4">
        <f t="shared" si="177"/>
        <v>-1.563475935828877</v>
      </c>
      <c r="AQ98" s="4">
        <f t="shared" si="178"/>
        <v>-2.9556925133689833</v>
      </c>
      <c r="AR98" s="4">
        <f t="shared" si="210"/>
        <v>-2.8132753793013793E-4</v>
      </c>
      <c r="AS98" s="4">
        <f t="shared" si="208"/>
        <v>-0.57829632703880485</v>
      </c>
      <c r="AT98" s="4">
        <f t="shared" si="194"/>
        <v>9.2825275362318855</v>
      </c>
      <c r="AU98" s="4">
        <f t="shared" si="195"/>
        <v>15.284815942028988</v>
      </c>
      <c r="AV98" s="4">
        <f t="shared" si="196"/>
        <v>11.887746376811595</v>
      </c>
      <c r="AW98" s="4">
        <f t="shared" si="197"/>
        <v>6.6473521739130428</v>
      </c>
      <c r="AX98" s="4">
        <f t="shared" si="198"/>
        <v>8.8418824170367571</v>
      </c>
      <c r="AY98" s="4">
        <f t="shared" si="199"/>
        <v>10.396910144927537</v>
      </c>
      <c r="AZ98" s="4">
        <f t="shared" si="200"/>
        <v>3.5538420289855068</v>
      </c>
      <c r="BA98" s="4">
        <f t="shared" si="201"/>
        <v>9.6270275362318838</v>
      </c>
      <c r="BB98" s="4">
        <f t="shared" si="202"/>
        <v>55.064224434796195</v>
      </c>
      <c r="BC98" s="4">
        <f t="shared" si="203"/>
        <v>9.023902898550725</v>
      </c>
      <c r="BD98" s="5">
        <f>'[2]Ordinary Experience'!$AD$328</f>
        <v>206.7</v>
      </c>
      <c r="BE98" s="5">
        <f>'[2]Ordinary Experience'!$AC$328</f>
        <v>1.9391795024019196</v>
      </c>
      <c r="BG98" s="4">
        <f t="shared" si="172"/>
        <v>7.4233292968031401</v>
      </c>
      <c r="BI98" s="4">
        <f>BI$13*'[2]Ordinary Experience'!$D$328/'[2]Ordinary Experience'!$D$413</f>
        <v>114189459.66080971</v>
      </c>
      <c r="BJ98" s="4">
        <f>'[2]Ordinary Experience'!$E$328</f>
        <v>30.576461534978179</v>
      </c>
      <c r="BL98" s="4">
        <f t="shared" si="151"/>
        <v>23.626625151331691</v>
      </c>
      <c r="BM98" s="4">
        <f t="shared" si="153"/>
        <v>6.963974015608243E-2</v>
      </c>
      <c r="BO98" s="4" t="str">
        <f>IF(OR('Summary, hourly ad costs'!R98=-9999,'Summary, PPI''s'!R98="."),".",(('Summary, hourly ad costs'!B98/'Summary, hourly ad costs'!R98)*100/('Summary, hourly ad costs'!B$11/'Summary, hourly ad costs'!R$11))/('Summary, PPI''s'!R98))</f>
        <v>.</v>
      </c>
      <c r="BP98" s="4" t="str">
        <f>IF(OR('Summary, hourly ad costs'!S98=-9999,'Summary, PPI''s'!S98="."),".",(('Summary, hourly ad costs'!C98/'Summary, hourly ad costs'!S98)*100/('Summary, hourly ad costs'!C$11/'Summary, hourly ad costs'!S$11))/('Summary, PPI''s'!S98))</f>
        <v>.</v>
      </c>
      <c r="BQ98" s="4" t="str">
        <f>IF(OR('Summary, hourly ad costs'!T98=-9999,'Summary, PPI''s'!T98="."),".",(('Summary, hourly ad costs'!D98/'Summary, hourly ad costs'!T98)*100/('Summary, hourly ad costs'!D$11/'Summary, hourly ad costs'!T$11))/('Summary, PPI''s'!T98))</f>
        <v>.</v>
      </c>
      <c r="BR98" s="4" t="str">
        <f>IF(OR('Summary, hourly ad costs'!U98=-9999,'Summary, PPI''s'!U98="."),".",(('Summary, hourly ad costs'!E98/'Summary, hourly ad costs'!U98)*100/('Summary, hourly ad costs'!E$11/'Summary, hourly ad costs'!U$11))/('Summary, PPI''s'!U98))</f>
        <v>.</v>
      </c>
      <c r="BS98" s="4" t="str">
        <f>IF(OR('Summary, hourly ad costs'!V98=-9999,'Summary, PPI''s'!V98="."),".",(('Summary, hourly ad costs'!F98/'Summary, hourly ad costs'!V98)*100/('Summary, hourly ad costs'!F$11/'Summary, hourly ad costs'!V$11))/('Summary, PPI''s'!V98))</f>
        <v>.</v>
      </c>
      <c r="BT98" s="4" t="str">
        <f>IF(OR('Summary, hourly ad costs'!W98=-9999,'Summary, PPI''s'!W98="."),".",(('Summary, hourly ad costs'!G98/'Summary, hourly ad costs'!W98)*100/('Summary, hourly ad costs'!G$11/'Summary, hourly ad costs'!W$11))/('Summary, PPI''s'!W98))</f>
        <v>.</v>
      </c>
      <c r="BU98" s="4" t="str">
        <f>IF(OR('Summary, hourly ad costs'!X98=-9999,'Summary, PPI''s'!X98="."),".",(('Summary, hourly ad costs'!H98/'Summary, hourly ad costs'!X98)*100/('Summary, hourly ad costs'!H$11/'Summary, hourly ad costs'!X$11))/('Summary, PPI''s'!X98))</f>
        <v>.</v>
      </c>
      <c r="BV98" s="4" t="str">
        <f>IF(OR('Summary, hourly ad costs'!Y98=-9999,'Summary, PPI''s'!Y98="."),".",(('Summary, hourly ad costs'!I98/'Summary, hourly ad costs'!Y98)*100/('Summary, hourly ad costs'!I$11/'Summary, hourly ad costs'!Y$11))/('Summary, PPI''s'!Y98))</f>
        <v>.</v>
      </c>
      <c r="BW98" s="4" t="str">
        <f>IF(OR('Summary, hourly ad costs'!Z98=-9999,'Summary, PPI''s'!Z98="."),".",(('Summary, hourly ad costs'!J98/'Summary, hourly ad costs'!Z98)*100/('Summary, hourly ad costs'!J$11/'Summary, hourly ad costs'!Z$11))/('Summary, PPI''s'!Z98))</f>
        <v>.</v>
      </c>
      <c r="BX98" s="4" t="str">
        <f>IF(OR('Summary, hourly ad costs'!AA98=-9999,'Summary, PPI''s'!AA98="."),".",(('Summary, hourly ad costs'!K98/'Summary, hourly ad costs'!AA98)*100/('Summary, hourly ad costs'!K$11/'Summary, hourly ad costs'!AA$11))/('Summary, PPI''s'!AA98))</f>
        <v>.</v>
      </c>
      <c r="BY98" s="4" t="str">
        <f>IF(OR('Summary, hourly ad costs'!AB98=-9999,'Summary, PPI''s'!AB98="."),".",(('Summary, hourly ad costs'!L98/'Summary, hourly ad costs'!AB98)*100/('Summary, hourly ad costs'!L$11/'Summary, hourly ad costs'!AB$11))/('Summary, PPI''s'!AB98))</f>
        <v>.</v>
      </c>
      <c r="BZ98" s="4" t="str">
        <f>IF(OR('Summary, hourly ad costs'!AC98=-9999,'Summary, PPI''s'!AC98="."),".",(('Summary, hourly ad costs'!M98/'Summary, hourly ad costs'!AC98)*100/('Summary, hourly ad costs'!M$11/'Summary, hourly ad costs'!AC$11))/('Summary, PPI''s'!AC98))</f>
        <v>.</v>
      </c>
      <c r="CA98" s="4" t="str">
        <f>IF(OR('Summary, hourly ad costs'!AD98=-9999,'Summary, PPI''s'!AD98="."),".",(('Summary, hourly ad costs'!N98/'Summary, hourly ad costs'!AD98)*100/('Summary, hourly ad costs'!N$11/'Summary, hourly ad costs'!AD$11))/('Summary, PPI''s'!AD98))</f>
        <v>.</v>
      </c>
      <c r="CB98" s="4" t="str">
        <f>IF(OR('Summary, hourly ad costs'!AE98=-9999,'Summary, PPI''s'!AE98="."),".",(('Summary, hourly ad costs'!O98/'Summary, hourly ad costs'!AE98)*100/('Summary, hourly ad costs'!O$11/'Summary, hourly ad costs'!AE$11))/('Summary, PPI''s'!AE98))</f>
        <v>.</v>
      </c>
      <c r="CC98" s="4" t="str">
        <f>IF(OR('Summary, hourly ad costs'!AF98=-9999,'Summary, PPI''s'!AF98="."),".",(('Summary, hourly ad costs'!P98/'Summary, hourly ad costs'!AF98)*100/('Summary, hourly ad costs'!P$11/'Summary, hourly ad costs'!AF$11))/('Summary, PPI''s'!AF98))</f>
        <v>.</v>
      </c>
      <c r="CE98" s="4">
        <f t="shared" si="183"/>
        <v>3.3948556502645021E-2</v>
      </c>
      <c r="CF98" s="4" t="str">
        <f t="shared" si="184"/>
        <v>.</v>
      </c>
      <c r="CG98" s="4" t="str">
        <f t="shared" si="185"/>
        <v>.</v>
      </c>
      <c r="CH98" s="4">
        <f t="shared" si="145"/>
        <v>6.8769831995537156E-2</v>
      </c>
      <c r="CI98" s="4">
        <f t="shared" si="145"/>
        <v>7.9807789898556317E-2</v>
      </c>
      <c r="CJ98" s="4" t="str">
        <f t="shared" si="209"/>
        <v>.</v>
      </c>
      <c r="CK98" s="4">
        <f t="shared" si="149"/>
        <v>5.9537128285975724E-4</v>
      </c>
      <c r="CL98" s="4">
        <f t="shared" si="130"/>
        <v>5.5508540818067678E-2</v>
      </c>
      <c r="CM98" s="4">
        <f t="shared" si="130"/>
        <v>3.8646302170055581E-2</v>
      </c>
      <c r="CN98" s="4">
        <f t="shared" si="204"/>
        <v>4.1599358669052372E-2</v>
      </c>
      <c r="CO98" s="4">
        <f t="shared" si="180"/>
        <v>0.45169244204736336</v>
      </c>
      <c r="CP98" s="4">
        <f t="shared" si="180"/>
        <v>6.4856044513099398E-3</v>
      </c>
      <c r="CQ98" s="4" t="str">
        <f t="shared" si="173"/>
        <v>.</v>
      </c>
      <c r="CR98" s="4" t="str">
        <f t="shared" si="174"/>
        <v>.</v>
      </c>
      <c r="CS98" s="4" t="str">
        <f t="shared" si="175"/>
        <v>.</v>
      </c>
      <c r="CU98" s="5">
        <f>IF(CU97=".", ".", IF('Summary, PPI''s'!R98=".",IF(OR('Summary, hourly ad costs'!R98=-9999,'Summary, hourly ad costs'!R98=0), ".", 'Predicted PPIs'!CU97*('Summary, hourly ad costs'!B98/'Summary, hourly ad costs'!R98)/('Summary, hourly ad costs'!B97/'Summary, hourly ad costs'!R97)/(1-CE97)), 'Summary, PPI''s'!R98))</f>
        <v>33.107835520544512</v>
      </c>
      <c r="CV98" s="5" t="str">
        <f>IF(CV97=".", ".", IF('Summary, PPI''s'!S98=".",IF(OR('Summary, hourly ad costs'!S98=-9999,'Summary, hourly ad costs'!S98=0), ".", 'Predicted PPIs'!CV97*('Summary, hourly ad costs'!C98/'Summary, hourly ad costs'!S98)/('Summary, hourly ad costs'!C97/'Summary, hourly ad costs'!S97)/(1-CF97)), 'Summary, PPI''s'!S98))</f>
        <v>.</v>
      </c>
      <c r="CW98" s="5" t="str">
        <f>IF(CW97=".", ".", IF('Summary, PPI''s'!T98=".",IF(OR('Summary, hourly ad costs'!T98=-9999,'Summary, hourly ad costs'!T98=0), ".", 'Predicted PPIs'!CW97*('Summary, hourly ad costs'!D98/'Summary, hourly ad costs'!T98)/('Summary, hourly ad costs'!D97/'Summary, hourly ad costs'!T97)/(1-CG97)), 'Summary, PPI''s'!T98))</f>
        <v>.</v>
      </c>
      <c r="CX98" s="5">
        <f>IF(CX97=".", ".", IF('Summary, PPI''s'!U98=".",IF(OR('Summary, hourly ad costs'!U98=-9999,'Summary, hourly ad costs'!U98=0), ".", 'Predicted PPIs'!CX97*('Summary, hourly ad costs'!E98/'Summary, hourly ad costs'!U98)/('Summary, hourly ad costs'!E97/'Summary, hourly ad costs'!U97)/(1-CH97)), 'Summary, PPI''s'!U98))</f>
        <v>2.9555750980748465</v>
      </c>
      <c r="CY98" s="5">
        <f>IF(CY97=".", ".", IF('Summary, PPI''s'!V98=".",IF(OR('Summary, hourly ad costs'!V98=-9999,'Summary, hourly ad costs'!V98=0), ".", 'Predicted PPIs'!CY97*('Summary, hourly ad costs'!F98/'Summary, hourly ad costs'!V98)/('Summary, hourly ad costs'!F97/'Summary, hourly ad costs'!V97)/(1-CI97)), 'Summary, PPI''s'!V98))</f>
        <v>5.3832645177150216</v>
      </c>
      <c r="CZ98" s="5" t="str">
        <f>IF(CZ97=".", ".", IF('Summary, PPI''s'!W98=".",IF(OR('Summary, hourly ad costs'!W98=-9999,'Summary, hourly ad costs'!W98=0), ".", 'Predicted PPIs'!CZ97*('Summary, hourly ad costs'!G98/'Summary, hourly ad costs'!W98)/('Summary, hourly ad costs'!G97/'Summary, hourly ad costs'!W97)/(1-CJ97)), 'Summary, PPI''s'!W98))</f>
        <v>.</v>
      </c>
      <c r="DA98" s="5">
        <f>IF(DA97=".", ".", IF('Summary, PPI''s'!X98=".",IF(OR('Summary, hourly ad costs'!X98=-9999,'Summary, hourly ad costs'!X98=0), ".", 'Predicted PPIs'!DA97*('Summary, hourly ad costs'!H98/'Summary, hourly ad costs'!X98)/('Summary, hourly ad costs'!H97/'Summary, hourly ad costs'!X97)/(1-CK97)), 'Summary, PPI''s'!X98))</f>
        <v>2.2132665211179217</v>
      </c>
      <c r="DB98" s="5" t="str">
        <f>IF(DB97=".", ".", IF('Summary, PPI''s'!Y98=".",IF(OR('Summary, hourly ad costs'!Y98=-9999,'Summary, hourly ad costs'!Y98=0), ".", 'Predicted PPIs'!DB97*('Summary, hourly ad costs'!I98/'Summary, hourly ad costs'!Y98)/('Summary, hourly ad costs'!I97/'Summary, hourly ad costs'!Y97)/(1-CL97)), 'Summary, PPI''s'!Y98))</f>
        <v>.</v>
      </c>
      <c r="DC98" s="5" t="str">
        <f>IF(DC97=".", ".", IF('Summary, PPI''s'!Z98=".",IF(OR('Summary, hourly ad costs'!Z98=-9999,'Summary, hourly ad costs'!Z98=0), ".", 'Predicted PPIs'!DC97*('Summary, hourly ad costs'!J98/'Summary, hourly ad costs'!Z98)/('Summary, hourly ad costs'!J97/'Summary, hourly ad costs'!Z97)/(1-CM97)), 'Summary, PPI''s'!Z98))</f>
        <v>.</v>
      </c>
      <c r="DD98" s="5" t="str">
        <f>IF(DD97=".", ".", IF('Summary, PPI''s'!AA98=".",IF(OR('Summary, hourly ad costs'!AA98=-9999,'Summary, hourly ad costs'!AA98=0), ".", 'Predicted PPIs'!DD97*('Summary, hourly ad costs'!K98/'Summary, hourly ad costs'!AA98)/('Summary, hourly ad costs'!K97/'Summary, hourly ad costs'!AA97)/(1-CN97)), 'Summary, PPI''s'!AA98))</f>
        <v>.</v>
      </c>
      <c r="DE98" s="5" t="str">
        <f>IF(DE97=".", ".", IF('Summary, PPI''s'!AB98=".",IF(OR('Summary, hourly ad costs'!AB98=-9999,'Summary, hourly ad costs'!AB98=0), ".", 'Predicted PPIs'!DE97*('Summary, hourly ad costs'!L98/'Summary, hourly ad costs'!AB98)/('Summary, hourly ad costs'!L97/'Summary, hourly ad costs'!AB97)/(1-CO97)), 'Summary, PPI''s'!AB98))</f>
        <v>.</v>
      </c>
      <c r="DF98" s="5" t="str">
        <f>IF(DF97=".", ".", IF('Summary, PPI''s'!AC98=".",IF(OR('Summary, hourly ad costs'!AC98=-9999,'Summary, hourly ad costs'!AC98=0), ".", 'Predicted PPIs'!DF97*('Summary, hourly ad costs'!M98/'Summary, hourly ad costs'!AC98)/('Summary, hourly ad costs'!M97/'Summary, hourly ad costs'!AC97)/(1-CP97)), 'Summary, PPI''s'!AC98))</f>
        <v>.</v>
      </c>
      <c r="DG98" s="5" t="str">
        <f>IF(DG97=".", ".", IF('Summary, PPI''s'!AD98=".",IF(OR('Summary, hourly ad costs'!AD98=-9999,'Summary, hourly ad costs'!AD98=0), ".", 'Predicted PPIs'!DG97*('Summary, hourly ad costs'!N98/'Summary, hourly ad costs'!AD98)/('Summary, hourly ad costs'!N97/'Summary, hourly ad costs'!AD97)/(1-CQ97)), 'Summary, PPI''s'!AD98))</f>
        <v>.</v>
      </c>
      <c r="DH98" s="5" t="str">
        <f>IF(DH97=".", ".", IF('Summary, PPI''s'!AE98=".",IF(OR('Summary, hourly ad costs'!AE98=-9999,'Summary, hourly ad costs'!AE98=0), ".", 'Predicted PPIs'!DH97*('Summary, hourly ad costs'!O98/'Summary, hourly ad costs'!AE98)/('Summary, hourly ad costs'!O97/'Summary, hourly ad costs'!AE97)/(1-CR97)), 'Summary, PPI''s'!AE98))</f>
        <v>.</v>
      </c>
      <c r="DI98" s="5" t="str">
        <f>IF(DI97=".", ".", IF('Summary, PPI''s'!AF98=".",IF(OR('Summary, hourly ad costs'!AF98=-9999,'Summary, hourly ad costs'!AF98=0), ".", 'Predicted PPIs'!DI97*('Summary, hourly ad costs'!P98/'Summary, hourly ad costs'!AF98)/('Summary, hourly ad costs'!P97/'Summary, hourly ad costs'!AF97)/(1-CS97)), 'Summary, PPI''s'!AF98))</f>
        <v>.</v>
      </c>
      <c r="DK98" s="4">
        <f t="shared" si="205"/>
        <v>2.4796568421052623</v>
      </c>
      <c r="DM98" s="5">
        <f t="shared" si="186"/>
        <v>-1.9442390319191594E-2</v>
      </c>
      <c r="DN98" s="4">
        <f t="shared" si="187"/>
        <v>-3.3138758876892535E-2</v>
      </c>
      <c r="DO98" s="4">
        <f t="shared" si="181"/>
        <v>-2.2364141749128846E-2</v>
      </c>
      <c r="DP98" s="5">
        <f t="shared" si="188"/>
        <v>-5.7033983608424821E-2</v>
      </c>
      <c r="DQ98" s="5">
        <f t="shared" si="189"/>
        <v>-5.088994900887811E-2</v>
      </c>
      <c r="DR98" s="4">
        <f t="shared" si="146"/>
        <v>-1.6495651026742705E-3</v>
      </c>
      <c r="DS98" s="5">
        <f t="shared" si="190"/>
        <v>-5.843808370754866E-2</v>
      </c>
      <c r="DT98" s="4">
        <f t="shared" si="206"/>
        <v>-3.9669380363127213E-2</v>
      </c>
      <c r="DU98" s="4">
        <f t="shared" si="171"/>
        <v>-3.1844601089680395E-3</v>
      </c>
      <c r="DV98" s="4">
        <f t="shared" si="131"/>
        <v>-1.746219031656573E-3</v>
      </c>
      <c r="DW98" s="4">
        <f t="shared" si="182"/>
        <v>-0.22004500387893353</v>
      </c>
      <c r="DX98" s="4">
        <f t="shared" si="182"/>
        <v>0.23236389255277723</v>
      </c>
      <c r="DY98" s="4">
        <f t="shared" si="108"/>
        <v>-1.1220868017444397E-2</v>
      </c>
      <c r="DZ98" s="4">
        <f t="shared" si="132"/>
        <v>-4.0349612488171736E-3</v>
      </c>
      <c r="EA98" s="4">
        <f t="shared" si="109"/>
        <v>-6.3973426511557997E-3</v>
      </c>
      <c r="EC98" s="1">
        <f t="shared" si="154"/>
        <v>33.107835520544512</v>
      </c>
      <c r="ED98" s="1">
        <f t="shared" si="155"/>
        <v>3.350004330765469</v>
      </c>
      <c r="EE98" s="1">
        <f t="shared" si="156"/>
        <v>1.8741982454798778</v>
      </c>
      <c r="EF98" s="1">
        <f t="shared" si="157"/>
        <v>2.9555750980748465</v>
      </c>
      <c r="EG98" s="1">
        <f t="shared" si="158"/>
        <v>5.3832645177150216</v>
      </c>
      <c r="EH98" s="1">
        <f t="shared" si="159"/>
        <v>2.3406104265258629</v>
      </c>
      <c r="EI98" s="1">
        <f t="shared" si="160"/>
        <v>2.2132665211179217</v>
      </c>
      <c r="EJ98" s="1">
        <f t="shared" si="161"/>
        <v>3.2342703182596582</v>
      </c>
      <c r="EK98" s="1">
        <f t="shared" si="162"/>
        <v>6.5773857803054474</v>
      </c>
      <c r="EL98" s="1">
        <f t="shared" si="163"/>
        <v>2.0402483524220565</v>
      </c>
      <c r="EM98" s="1">
        <f t="shared" si="164"/>
        <v>0.14668861523728188</v>
      </c>
      <c r="EN98" s="1">
        <f t="shared" si="165"/>
        <v>1.3377812939872891</v>
      </c>
      <c r="EO98" s="1">
        <f t="shared" si="166"/>
        <v>1.3368098875041126</v>
      </c>
      <c r="EP98" s="1">
        <f t="shared" si="167"/>
        <v>2.2578660359782718</v>
      </c>
      <c r="EQ98" s="1">
        <f t="shared" si="168"/>
        <v>1.7824013501026734</v>
      </c>
      <c r="ES98" s="1">
        <f>IF(EF$26=".", 0, 'Summary, PPI''s'!E98)+IF(EG$26=".", 0, 'Summary, PPI''s'!F98)+IF(EH$26=".", 0, 'Summary, PPI''s'!G98)+IF(EI$26=".", 0, 'Summary, PPI''s'!H98)+IF(EJ$26=".", 0, 'Summary, PPI''s'!I98)+IF(EK$26=".", 0, 'Summary, PPI''s'!J98)+IF(EL$26=".", 0, 'Summary, PPI''s'!K98)+IF(EM$26=".", 0, 'Summary, PPI''s'!L98)+IF(EN$26=".", 0, 'Summary, PPI''s'!M98)+IF(EC$26=".", 0, 'Summary, PPI''s'!B98)+IF(ED$26=".", 0, 'Summary, PPI''s'!C98)+IF(EE$26=".", 0, 'Summary, PPI''s'!D98)+IF(EO$26=".", 0, 'Summary, PPI''s'!N98)+IF(EP$26=".", 0, 'Summary, PPI''s'!O98)+IF(EQ$26=".", 0, 'Summary, PPI''s'!P98)</f>
        <v>2212466.5773146846</v>
      </c>
      <c r="ET98" s="1">
        <f>'Summary, hourly ad costs'!E98+'Summary, hourly ad costs'!F98+'Summary, hourly ad costs'!H98+'Summary, hourly ad costs'!I98+'Summary, hourly ad costs'!J98+'Summary, hourly ad costs'!K98+'Summary, hourly ad costs'!L98+'Summary, hourly ad costs'!M98+'Summary, hourly ad costs'!B98</f>
        <v>1409414.1668436709</v>
      </c>
      <c r="EV98" s="13">
        <f>EV97*IF(EF$26=".", 1, (EF98/EF97)^(('Summary, PPI''s'!$E98+'Summary, PPI''s'!$E97)/('Predicted PPIs'!ES98+'Predicted PPIs'!ES97)))*IF(EG$26=".", 1, (EG98/EG97)^(('Summary, PPI''s'!$F98+'Summary, PPI''s'!$F97)/('Predicted PPIs'!ES98+'Predicted PPIs'!ES97)))*IF(EH$26=".", 1, (EH98/EH97)^(('Summary, PPI''s'!$G98+'Summary, PPI''s'!$G97)/('Predicted PPIs'!ES98+'Predicted PPIs'!ES97)))*IF(EI$26=".", 1, (EI98/EI97)^(('Summary, PPI''s'!$H98+'Summary, PPI''s'!$H97)/('Predicted PPIs'!ES98+'Predicted PPIs'!ES97)))*IF(EJ$26=".", 1, (EJ98/EJ97)^(('Summary, PPI''s'!$I98+'Summary, PPI''s'!$I97)/('Predicted PPIs'!ES98+'Predicted PPIs'!ES97)))*IF(EK$26=".", 1, (EK98/EK97)^(('Summary, PPI''s'!$J98+'Summary, PPI''s'!$J97)/('Predicted PPIs'!ES98+'Predicted PPIs'!ES97)))*IF(EL$26=".", 1, (EL98/EL97)^(('Summary, PPI''s'!$K98+'Summary, PPI''s'!$K97)/('Predicted PPIs'!ES98+'Predicted PPIs'!ES97)))*IF(EM$26=".", 1, (EM98/EM97)^(('Summary, PPI''s'!$L98+'Summary, PPI''s'!$L97)/('Predicted PPIs'!ES98+'Predicted PPIs'!ES97)))*IF(EN$26=".", 1, (EN98/EN97)^(('Summary, PPI''s'!$M98+'Summary, PPI''s'!$M97)/('Predicted PPIs'!ES98+'Predicted PPIs'!ES97)))*IF(EC$26=".", 1, (EC98/EC97)^(('Summary, PPI''s'!$B98+'Summary, PPI''s'!$B97)/('Predicted PPIs'!ES98+'Predicted PPIs'!ES97)))*IF(ED$26=".", 1, (ED98/ED97)^(('Summary, PPI''s'!$C98+'Summary, PPI''s'!$C97)/('Predicted PPIs'!ES98+'Predicted PPIs'!ES97)))*IF(EE$26=".", 1, (EE98/EE97)^(('Summary, PPI''s'!$D98+'Summary, PPI''s'!$D97)/('Predicted PPIs'!ES98+'Predicted PPIs'!ES97)))*IF(EO$26=".", 1, (EO98/EO97)^(('Summary, PPI''s'!$N98+'Summary, PPI''s'!$N97)/('Predicted PPIs'!ES98+'Predicted PPIs'!ES97)))*IF(EP$26=".", 1, (EP98/EP97)^(('Summary, PPI''s'!$O98+'Summary, PPI''s'!$O97)/('Predicted PPIs'!ES98+'Predicted PPIs'!ES97)))*IF(EQ$26=".", 1, (EQ98/EQ97)^(('Summary, PPI''s'!$P98+'Summary, PPI''s'!$P97)/('Predicted PPIs'!ES98+'Predicted PPIs'!ES97)))</f>
        <v>4.2442285069858574</v>
      </c>
      <c r="EW98" s="13">
        <f>EW97*IF(EF$26=".", 1, (EF98/EF97)^(('Summary, PPI''s'!$E98+'Summary, PPI''s'!$E97)/('Predicted PPIs'!ET98+'Predicted PPIs'!ET97)))*IF(EG$26=".", 1, (EG98/EG97)^(('Summary, PPI''s'!$F98+'Summary, PPI''s'!$F97)/('Predicted PPIs'!ET98+'Predicted PPIs'!ET97)))*IF(EH$26=".", 1, (EH98/EH97)^(('Summary, PPI''s'!$G98+'Summary, PPI''s'!$G97)/('Predicted PPIs'!ET98+'Predicted PPIs'!ET97)))*IF(EK$26=".", 1, (EK98/EK97)^(('Summary, PPI''s'!$J98+'Summary, PPI''s'!$J97)/('Predicted PPIs'!ET98+'Predicted PPIs'!ET97)))*IF(EL$26=".", 1, (EL98/EL97)^(('Summary, PPI''s'!$K98+'Summary, PPI''s'!$K97)/('Predicted PPIs'!ET98+'Predicted PPIs'!ET97)))*IF(EM$26=".", 1, (EM98/EM97)^(('Summary, PPI''s'!$L98+'Summary, PPI''s'!$L97)/('Predicted PPIs'!ET98+'Predicted PPIs'!ET97)))*IF(EN$26=".", 1, (EN98/EN97)^(('Summary, PPI''s'!$M98+'Summary, PPI''s'!$M97)/('Predicted PPIs'!ET98+'Predicted PPIs'!ET97)))*IF(EC$26=".", 1, (EC98/EC97)^(('Summary, PPI''s'!$B98+'Summary, PPI''s'!$B97)/('Predicted PPIs'!ET98+'Predicted PPIs'!ET97)))</f>
        <v>8.4246210403942996</v>
      </c>
      <c r="EY98" s="2"/>
    </row>
    <row r="99" spans="1:155" x14ac:dyDescent="0.3">
      <c r="A99" s="4">
        <v>1924</v>
      </c>
      <c r="B99" s="10">
        <f>IF(B98=".", ".", IF('Summary, PPI''s'!R99=".",IF(OR('Summary, hourly ad costs'!R99=-9999,'Summary, hourly ad costs'!R99=0), ".", 'Predicted PPIs'!B98*('Summary, hourly ad costs'!B99/'Summary, hourly ad costs'!R99)/('Summary, hourly ad costs'!B98/'Summary, hourly ad costs'!R98)), 'Summary, PPI''s'!R99))</f>
        <v>55.843191490741013</v>
      </c>
      <c r="C99" s="10" t="str">
        <f>IF(C98=".", ".", IF('Summary, PPI''s'!S99=".",IF(OR('Summary, hourly ad costs'!S99=-9999,'Summary, hourly ad costs'!S99=0), ".", 'Predicted PPIs'!C98*('Summary, hourly ad costs'!C99/'Summary, hourly ad costs'!S99)/('Summary, hourly ad costs'!C98/'Summary, hourly ad costs'!S98)), 'Summary, PPI''s'!S99))</f>
        <v>.</v>
      </c>
      <c r="D99" s="10" t="str">
        <f>IF(D98=".", ".", IF('Summary, PPI''s'!T99=".",IF(OR('Summary, hourly ad costs'!T99=-9999,'Summary, hourly ad costs'!T99=0), ".", 'Predicted PPIs'!D98*('Summary, hourly ad costs'!D99/'Summary, hourly ad costs'!T99)/('Summary, hourly ad costs'!D98/'Summary, hourly ad costs'!T98)), 'Summary, PPI''s'!T99))</f>
        <v>.</v>
      </c>
      <c r="E99" s="10">
        <f>IF(E98=".", ".", IF('Summary, PPI''s'!U99=".",IF(OR('Summary, hourly ad costs'!U99=-9999,'Summary, hourly ad costs'!U99=0), ".", 'Predicted PPIs'!E98*('Summary, hourly ad costs'!E99/'Summary, hourly ad costs'!U99)/('Summary, hourly ad costs'!E98/'Summary, hourly ad costs'!U98)), 'Summary, PPI''s'!U99))</f>
        <v>2.5719061599384792</v>
      </c>
      <c r="F99" s="10">
        <f>IF(F98=".", ".", IF('Summary, PPI''s'!V99=".",IF(OR('Summary, hourly ad costs'!V99=-9999,'Summary, hourly ad costs'!V99=0), ".", 'Predicted PPIs'!F98*('Summary, hourly ad costs'!F99/'Summary, hourly ad costs'!V99)/('Summary, hourly ad costs'!F98/'Summary, hourly ad costs'!V98)), 'Summary, PPI''s'!V99))</f>
        <v>4.1920655277499517</v>
      </c>
      <c r="G99" s="10" t="str">
        <f>IF(G98=".", ".", IF('Summary, PPI''s'!W99=".",IF(OR('Summary, hourly ad costs'!W99=-9999,'Summary, hourly ad costs'!W99=0), ".", 'Predicted PPIs'!G98*('Summary, hourly ad costs'!G99/'Summary, hourly ad costs'!W99)/('Summary, hourly ad costs'!G98/'Summary, hourly ad costs'!W98)), 'Summary, PPI''s'!W99))</f>
        <v>.</v>
      </c>
      <c r="H99" s="10">
        <f>IF(H98=".", ".", IF('Summary, PPI''s'!X99=".",IF(OR('Summary, hourly ad costs'!X99=-9999,'Summary, hourly ad costs'!X99=0), ".", 'Predicted PPIs'!H98*('Summary, hourly ad costs'!H99/'Summary, hourly ad costs'!X99)/('Summary, hourly ad costs'!H98/'Summary, hourly ad costs'!X98)), 'Summary, PPI''s'!X99))</f>
        <v>2.0419969360832404</v>
      </c>
      <c r="I99" s="10" t="str">
        <f>IF(I98=".", ".", IF('Summary, PPI''s'!Y99=".",IF(OR('Summary, hourly ad costs'!Y99=-9999,'Summary, hourly ad costs'!Y99=0), ".", 'Predicted PPIs'!I98*('Summary, hourly ad costs'!I99/'Summary, hourly ad costs'!Y99)/('Summary, hourly ad costs'!I98/'Summary, hourly ad costs'!Y98)), 'Summary, PPI''s'!Y99))</f>
        <v>.</v>
      </c>
      <c r="J99" s="10" t="str">
        <f>IF(J98=".", ".", IF('Summary, PPI''s'!Z99=".",IF(OR('Summary, hourly ad costs'!Z99=-9999,'Summary, hourly ad costs'!Z99=0), ".", 'Predicted PPIs'!J98*('Summary, hourly ad costs'!J99/'Summary, hourly ad costs'!Z99)/('Summary, hourly ad costs'!J98/'Summary, hourly ad costs'!Z98)), 'Summary, PPI''s'!Z99))</f>
        <v>.</v>
      </c>
      <c r="K99" s="10" t="str">
        <f>IF(K98=".", ".", IF('Summary, PPI''s'!AA99=".",IF(OR('Summary, hourly ad costs'!AA99=-9999,'Summary, hourly ad costs'!AA99=0), ".", 'Predicted PPIs'!K98*('Summary, hourly ad costs'!K99/'Summary, hourly ad costs'!AA99)/('Summary, hourly ad costs'!K98/'Summary, hourly ad costs'!AA98)), 'Summary, PPI''s'!AA99))</f>
        <v>.</v>
      </c>
      <c r="L99" s="10" t="str">
        <f>IF(L98=".", ".", IF('Summary, PPI''s'!AB99=".",IF(OR('Summary, hourly ad costs'!AB99=-9999,'Summary, hourly ad costs'!AB99=0), ".", 'Predicted PPIs'!L98*('Summary, hourly ad costs'!L99/'Summary, hourly ad costs'!AB99)/('Summary, hourly ad costs'!L98/'Summary, hourly ad costs'!AB98)), 'Summary, PPI''s'!AB99))</f>
        <v>.</v>
      </c>
      <c r="M99" s="10" t="str">
        <f>IF(M98=".", ".", IF('Summary, PPI''s'!AC99=".",IF(OR('Summary, hourly ad costs'!AC99=-9999,'Summary, hourly ad costs'!AC99=0), ".", 'Predicted PPIs'!M98*('Summary, hourly ad costs'!M99/'Summary, hourly ad costs'!AC99)/('Summary, hourly ad costs'!M98/'Summary, hourly ad costs'!AC98)), 'Summary, PPI''s'!AC99))</f>
        <v>.</v>
      </c>
      <c r="N99" s="10" t="str">
        <f>IF(N98=".", ".", IF('Summary, PPI''s'!AD99=".",IF(OR('Summary, hourly ad costs'!AD99=-9999,'Summary, hourly ad costs'!AD99=0), ".", 'Predicted PPIs'!N98*('Summary, hourly ad costs'!N99/'Summary, hourly ad costs'!AD99)/('Summary, hourly ad costs'!N98/'Summary, hourly ad costs'!AD98)), 'Summary, PPI''s'!AD99))</f>
        <v>.</v>
      </c>
      <c r="O99" s="10" t="str">
        <f>IF(O98=".", ".", IF('Summary, PPI''s'!AE99=".",IF(OR('Summary, hourly ad costs'!AE99=-9999,'Summary, hourly ad costs'!AE99=0), ".", 'Predicted PPIs'!O98*('Summary, hourly ad costs'!O99/'Summary, hourly ad costs'!AE99)/('Summary, hourly ad costs'!O98/'Summary, hourly ad costs'!AE98)), 'Summary, PPI''s'!AE99))</f>
        <v>.</v>
      </c>
      <c r="P99" s="10" t="str">
        <f>IF(P98=".", ".", IF('Summary, PPI''s'!AF99=".",IF(OR('Summary, hourly ad costs'!AF99=-9999,'Summary, hourly ad costs'!AF99=0), ".", 'Predicted PPIs'!P98*('Summary, hourly ad costs'!P99/'Summary, hourly ad costs'!AF99)/('Summary, hourly ad costs'!P98/'Summary, hourly ad costs'!AF98)), 'Summary, PPI''s'!AF99))</f>
        <v>.</v>
      </c>
      <c r="R99" s="1">
        <f>IF(E$26=".", 0, 'Summary, PPI''s'!E99)+IF(F$26=".", 0, 'Summary, PPI''s'!F99)+IF(G$26=".", 0, 'Summary, PPI''s'!G99)+IF(H$26=".", 0, 'Summary, PPI''s'!H99)+IF(I$26=".", 0, 'Summary, PPI''s'!I99)+IF(J$26=".", 0, 'Summary, PPI''s'!J99)+IF(K$26=".", 0, 'Summary, PPI''s'!K99)+IF(L$26=".", 0, 'Summary, PPI''s'!L99)+IF(M$26=".", 0, 'Summary, PPI''s'!M99)+IF(B$26=".", 0, 'Summary, PPI''s'!B99)+IF(C$26=".", 0, 'Summary, PPI''s'!C99)+IF(D$26=".", 0, 'Summary, PPI''s'!D99)+IF(N$26=".", 0, 'Summary, PPI''s'!N99)+IF(O$26=".", 0, 'Summary, PPI''s'!O99)+IF(P$26=".", 0, 'Summary, PPI''s'!P99)</f>
        <v>2067029.9423177596</v>
      </c>
      <c r="S99" s="1">
        <f>IF(E$36=".", 0, 'Summary, PPI''s'!E99)+IF(F$36=".", 0, 'Summary, PPI''s'!F99)+IF(G$36=".", 0, 'Summary, PPI''s'!G99)+IF(H$36=".", 0, 'Summary, PPI''s'!H99)+IF(I$36=".", 0, 'Summary, PPI''s'!I99)+IF(J$36=".", 0, 'Summary, PPI''s'!J99)+IF(K$36=".", 0, 'Summary, PPI''s'!K99)+IF(L$36=".", 0, 'Summary, PPI''s'!L99)+IF(M$36=".", 0, 'Summary, PPI''s'!M99)+IF(B$36=".", 0, 'Summary, PPI''s'!B99)+IF(C$36=".", 0, 'Summary, PPI''s'!C99)+IF(D$36=".", 0, 'Summary, PPI''s'!D99)+IF(N$36=".", 0, 'Summary, PPI''s'!N99)+IF(O$36=".", 0, 'Summary, PPI''s'!O99)+IF(P$36=".", 0, 'Summary, PPI''s'!P99)</f>
        <v>2067029.9423177596</v>
      </c>
      <c r="T99" s="1">
        <f>IF(E$46=".", 0, 'Summary, PPI''s'!E99)+IF(F$46=".", 0, 'Summary, PPI''s'!F99)+IF(G$46=".", 0, 'Summary, PPI''s'!G99)+IF(H$46=".", 0, 'Summary, PPI''s'!H99)+IF(I$46=".", 0, 'Summary, PPI''s'!I99)+IF(J$46=".", 0, 'Summary, PPI''s'!J99)+IF(K$46=".", 0, 'Summary, PPI''s'!K99)+IF(L$46=".", 0, 'Summary, PPI''s'!L99)+IF(M$46=".", 0, 'Summary, PPI''s'!M99)+IF(B$46=".", 0, 'Summary, PPI''s'!B99)+IF(C$46=".", 0, 'Summary, PPI''s'!C99)+IF(D$46=".", 0, 'Summary, PPI''s'!D99)+IF(N$46=".", 0, 'Summary, PPI''s'!N99)+IF(O$46=".", 0, 'Summary, PPI''s'!O99)+IF(P$46=".", 0, 'Summary, PPI''s'!P99)</f>
        <v>1789550.2135423014</v>
      </c>
      <c r="U99" s="1">
        <f>IF(E$60=".", 0, 'Summary, PPI''s'!E99)+IF(F$60=".", 0, 'Summary, PPI''s'!F99)+IF(G$60=".", 0, 'Summary, PPI''s'!G99)+IF(H$60=".", 0, 'Summary, PPI''s'!H99)+IF(I$60=".", 0, 'Summary, PPI''s'!I99)+IF(J$60=".", 0, 'Summary, PPI''s'!J99)+IF(K$60=".", 0, 'Summary, PPI''s'!K99)+IF(L$60=".", 0, 'Summary, PPI''s'!L99)+IF(M$60=".", 0, 'Summary, PPI''s'!M99)+IF(B$60=".", 0, 'Summary, PPI''s'!B99)+IF(C$60=".", 0, 'Summary, PPI''s'!C99)+IF(D$60=".", 0, 'Summary, PPI''s'!D99)+IF(N$60=".", 0, 'Summary, PPI''s'!N99)+IF(O$60=".", 0, 'Summary, PPI''s'!O99)+IF(P$60=".", 0, 'Summary, PPI''s'!P99)</f>
        <v>1666274.924592759</v>
      </c>
      <c r="V99" s="1">
        <f>IF(E$73=".", 0, 'Summary, PPI''s'!E99)+IF(F$73=".", 0, 'Summary, PPI''s'!F99)+IF(G$73=".", 0, 'Summary, PPI''s'!G99)+IF(H$73=".", 0, 'Summary, PPI''s'!H99)+IF(I$73=".", 0, 'Summary, PPI''s'!I99)+IF(J$73=".", 0, 'Summary, PPI''s'!J99)+IF(K$73=".", 0, 'Summary, PPI''s'!K99)+IF(L$73=".", 0, 'Summary, PPI''s'!L99)+IF(M$73=".", 0, 'Summary, PPI''s'!M99)+IF(B$73=".", 0, 'Summary, PPI''s'!B99)+IF(C$73=".", 0, 'Summary, PPI''s'!C99)+IF(D$73=".", 0, 'Summary, PPI''s'!D99)+IF(N$73=".", 0, 'Summary, PPI''s'!N99)+IF(O$73=".", 0, 'Summary, PPI''s'!O99)+IF(P$73=".", 0, 'Summary, PPI''s'!P99)</f>
        <v>1315474.6340784999</v>
      </c>
      <c r="W99" s="1">
        <f>IF(E$94=".",0,'Summary, PPI''s'!E99)+IF(F$94=".",0,'Summary, PPI''s'!F99)+IF(G$94=".",0,'Summary, PPI''s'!G99)+IF(H$94=".",0,'Summary, PPI''s'!H99)+IF(I$94=".",0,'Summary, PPI''s'!I99)+IF(J$94=".",0,'Summary, PPI''s'!J99)+IF(K$94=".",0,'Summary, PPI''s'!K99)+IF(L$94=".",0,'Summary, PPI''s'!L99)+IF(M$94=".",0,'Summary, PPI''s'!M99)+IF(B$94=".",0,'Summary, PPI''s'!B99)+IF(C$94=".",0,'Summary, PPI''s'!C99)+IF(D$94=".",0,'Summary, PPI''s'!D99)+IF(N$94=".",0,'Summary, PPI''s'!N99)+IF(O$94=".",0,'Summary, PPI''s'!O99)+IF(P$94=".",0,'Summary, PPI''s'!P99)</f>
        <v>1315474.6340784999</v>
      </c>
      <c r="X99" s="1">
        <f>IF(E$123=".", 0, 'Summary, PPI''s'!E99)+IF(F$123=".", 0, 'Summary, PPI''s'!F99)+IF(G$123=".", 0, 'Summary, PPI''s'!G99)+IF(H$123=".", 0, 'Summary, PPI''s'!H99)+IF(I$123=".", 0, 'Summary, PPI''s'!I99)+IF(J$123=".", 0, 'Summary, PPI''s'!J99)+IF(K$123=".", 0, 'Summary, PPI''s'!K99)+IF(L$123=".", 0, 'Summary, PPI''s'!L99)+IF(M$123=".", 0, 'Summary, PPI''s'!M99)+IF(B$123=".", 0, 'Summary, PPI''s'!B99)+IF(C$123=".", 0, 'Summary, PPI''s'!C99)+IF(D$123=".", 0, 'Summary, PPI''s'!D99)+IF(N$123=".", 0, 'Summary, PPI''s'!N99)+IF(O$123=".", 0, 'Summary, PPI''s'!O99)+IF(P$123=".", 0, 'Summary, PPI''s'!P99)</f>
        <v>1315474.6340784999</v>
      </c>
      <c r="Z99" s="4" t="e">
        <f>Z98*IF(E$26=".", 1, (E99/E98)^(('Summary, PPI''s'!$E99+'Summary, PPI''s'!$E98)/('Predicted PPIs'!R99+'Predicted PPIs'!R98)))*IF(F$26=".", 1, (F99/F98)^(('Summary, PPI''s'!$F99+'Summary, PPI''s'!$F98)/('Predicted PPIs'!R99+'Predicted PPIs'!R98)))*IF(G$26=".", 1, (G99/G98)^(('Summary, PPI''s'!$G99+'Summary, PPI''s'!$G98)/('Predicted PPIs'!R99+'Predicted PPIs'!R98)))*IF(H$26=".", 1, (H99/H98)^(('Summary, PPI''s'!$H99+'Summary, PPI''s'!$H98)/('Predicted PPIs'!R99+'Predicted PPIs'!R98)))*IF(I$26=".", 1, (I99/I98)^(('Summary, PPI''s'!$I99+'Summary, PPI''s'!$I98)/('Predicted PPIs'!R99+'Predicted PPIs'!R98)))*IF(J$26=".", 1, (J99/J98)^(('Summary, PPI''s'!$J99+'Summary, PPI''s'!$J98)/('Predicted PPIs'!R99+'Predicted PPIs'!R98)))*IF(K$26=".", 1, (K99/K98)^(('Summary, PPI''s'!$K99+'Summary, PPI''s'!$K98)/('Predicted PPIs'!R99+'Predicted PPIs'!R98)))*IF(L$26=".", 1, (L99/L98)^(('Summary, PPI''s'!$L99+'Summary, PPI''s'!$L98)/('Predicted PPIs'!R99+'Predicted PPIs'!R98)))*IF(M$26=".", 1, (M99/M98)^(('Summary, PPI''s'!$M99+'Summary, PPI''s'!$M98)/('Predicted PPIs'!R99+'Predicted PPIs'!R98)))*IF(B$26=".", 1, (B99/B98)^(('Summary, PPI''s'!$B99+'Summary, PPI''s'!$B98)/('Predicted PPIs'!R99+'Predicted PPIs'!R98)))*IF(C$26=".", 1, (C99/C98)^(('Summary, PPI''s'!$C99+'Summary, PPI''s'!$C98)/('Predicted PPIs'!R99+'Predicted PPIs'!R98)))*IF(D$26=".", 1, (D99/D98)^(('Summary, PPI''s'!$D99+'Summary, PPI''s'!$D98)/('Predicted PPIs'!R99+'Predicted PPIs'!R98)))*IF(N$26=".", 1, (N99/N98)^(('Summary, PPI''s'!$N99+'Summary, PPI''s'!$N98)/('Predicted PPIs'!R99+'Predicted PPIs'!R98)))*IF(O$26=".", 1, (O99/O98)^(('Summary, PPI''s'!$O99+'Summary, PPI''s'!$O98)/('Predicted PPIs'!R99+'Predicted PPIs'!R98)))*IF(P$26=".", 1, (P99/P98)^(('Summary, PPI''s'!$P99+'Summary, PPI''s'!$P98)/('Predicted PPIs'!R99+'Predicted PPIs'!R98)))</f>
        <v>#VALUE!</v>
      </c>
      <c r="AA99" s="4" t="e">
        <f>AA98*IF(E$36=".", 1, (E99/E98)^(('Summary, PPI''s'!$E99+'Summary, PPI''s'!$E98)/('Predicted PPIs'!S99+'Predicted PPIs'!S98)))*IF(F$36=".", 1, (F99/F98)^(('Summary, PPI''s'!$F99+'Summary, PPI''s'!$F98)/('Predicted PPIs'!S99+'Predicted PPIs'!S98)))*IF(G$36=".", 1, (G99/G98)^(('Summary, PPI''s'!$G99+'Summary, PPI''s'!$G98)/('Predicted PPIs'!S99+'Predicted PPIs'!S98)))*IF(H$36=".", 1, (H99/H98)^(('Summary, PPI''s'!$H99+'Summary, PPI''s'!$H98)/('Predicted PPIs'!S99+'Predicted PPIs'!S98)))*IF(I$36=".", 1, (I99/I98)^(('Summary, PPI''s'!$I99+'Summary, PPI''s'!$I98)/('Predicted PPIs'!S99+'Predicted PPIs'!S98)))*IF(J$36=".", 1, (J99/J98)^(('Summary, PPI''s'!$J99+'Summary, PPI''s'!$J98)/('Predicted PPIs'!S99+'Predicted PPIs'!S98)))*IF(K$36=".", 1, (K99/K98)^(('Summary, PPI''s'!$K99+'Summary, PPI''s'!$K98)/('Predicted PPIs'!S99+'Predicted PPIs'!S98)))*IF(L$36=".", 1, (L99/L98)^(('Summary, PPI''s'!$L99+'Summary, PPI''s'!$L98)/('Predicted PPIs'!S99+'Predicted PPIs'!S98)))*IF(M$36=".", 1, (M99/M98)^(('Summary, PPI''s'!$M99+'Summary, PPI''s'!$M98)/('Predicted PPIs'!S99+'Predicted PPIs'!S98)))*IF(B$36=".", 1, (B99/B98)^(('Summary, PPI''s'!$B99+'Summary, PPI''s'!$B98)/('Predicted PPIs'!S99+'Predicted PPIs'!S98)))*IF(C$36=".", 1, (C99/C98)^(('Summary, PPI''s'!$C99+'Summary, PPI''s'!$C98)/('Predicted PPIs'!S99+'Predicted PPIs'!S98)))*IF(D$36=".", 1, (D99/D98)^(('Summary, PPI''s'!$D99+'Summary, PPI''s'!$D98)/('Predicted PPIs'!S99+'Predicted PPIs'!S98)))*IF(N$36=".", 1, (N99/N98)^(('Summary, PPI''s'!$N99+'Summary, PPI''s'!$N98)/('Predicted PPIs'!S99+'Predicted PPIs'!S98)))*IF(O$36=".", 1, (O99/O98)^(('Summary, PPI''s'!$O99+'Summary, PPI''s'!$O98)/('Predicted PPIs'!S99+'Predicted PPIs'!S98)))*IF(P$36=".", 1, (P99/P98)^(('Summary, PPI''s'!$P99+'Summary, PPI''s'!$P98)/('Predicted PPIs'!S99+'Predicted PPIs'!S98)))</f>
        <v>#VALUE!</v>
      </c>
      <c r="AB99" s="4" t="e">
        <f>AB98*IF(E$46=".", 1, (E99/E98)^(('Summary, PPI''s'!$E99+'Summary, PPI''s'!$E98)/('Predicted PPIs'!T99+'Predicted PPIs'!T98)))*IF(F$46=".", 1, (F99/F98)^(('Summary, PPI''s'!$F99+'Summary, PPI''s'!$F98)/('Predicted PPIs'!T99+'Predicted PPIs'!T98)))*IF(G$46=".", 1, (G99/G98)^(('Summary, PPI''s'!$G99+'Summary, PPI''s'!$G98)/('Predicted PPIs'!T99+'Predicted PPIs'!T98)))*IF(H$46=".", 1, (H99/H98)^(('Summary, PPI''s'!$H99+'Summary, PPI''s'!$H98)/('Predicted PPIs'!T99+'Predicted PPIs'!T98)))*IF(I$46=".", 1, (I99/I98)^(('Summary, PPI''s'!$I99+'Summary, PPI''s'!$I98)/('Predicted PPIs'!T99+'Predicted PPIs'!T98)))*IF(J$46=".", 1, (J99/J98)^(('Summary, PPI''s'!$J99+'Summary, PPI''s'!$J98)/('Predicted PPIs'!T99+'Predicted PPIs'!T98)))*IF(K$46=".", 1, (K99/K98)^(('Summary, PPI''s'!$K99+'Summary, PPI''s'!$K98)/('Predicted PPIs'!T99+'Predicted PPIs'!T98)))*IF(L$46=".", 1, (L99/L98)^(('Summary, PPI''s'!$L99+'Summary, PPI''s'!$L98)/('Predicted PPIs'!T99+'Predicted PPIs'!T98)))*IF(M$46=".", 1, (M99/M98)^(('Summary, PPI''s'!$M99+'Summary, PPI''s'!$M98)/('Predicted PPIs'!T99+'Predicted PPIs'!T98)))*IF(B$46=".", 1, (B99/B98)^(('Summary, PPI''s'!$B99+'Summary, PPI''s'!$B98)/('Predicted PPIs'!T99+'Predicted PPIs'!T98)))*IF(C$46=".", 1, (C99/C98)^(('Summary, PPI''s'!$C99+'Summary, PPI''s'!$C98)/('Predicted PPIs'!T99+'Predicted PPIs'!T98)))*IF(D$46=".", 1, (D99/D98)^(('Summary, PPI''s'!$D99+'Summary, PPI''s'!$D98)/('Predicted PPIs'!T99+'Predicted PPIs'!T98)))*IF(N$46=".", 1, (N99/N98)^(('Summary, PPI''s'!$N99+'Summary, PPI''s'!$N98)/('Predicted PPIs'!T99+'Predicted PPIs'!T98)))*IF(O$46=".", 1, (O99/O98)^(('Summary, PPI''s'!$O99+'Summary, PPI''s'!$O98)/('Predicted PPIs'!T99+'Predicted PPIs'!T98)))*IF(P$46=".", 1, (P99/P98)^(('Summary, PPI''s'!$P99+'Summary, PPI''s'!$P98)/('Predicted PPIs'!T99+'Predicted PPIs'!T98)))</f>
        <v>#VALUE!</v>
      </c>
      <c r="AC99" s="4" t="e">
        <f>AC98*IF(E$60=".",1,(E99/E98)^(('Summary, PPI''s'!$E99+'Summary, PPI''s'!$E98)/('Predicted PPIs'!U99+'Predicted PPIs'!U98)))*IF(F$60=".",1,(F99/F98)^(('Summary, PPI''s'!$F99+'Summary, PPI''s'!$F98)/('Predicted PPIs'!U99+'Predicted PPIs'!U98)))*IF(G$60=".",1,(G99/G98)^(('Summary, PPI''s'!$G99+'Summary, PPI''s'!$G98)/('Predicted PPIs'!U99+'Predicted PPIs'!U98)))*IF(H$60=".",1,(H99/H98)^(('Summary, PPI''s'!$H99+'Summary, PPI''s'!$H98)/('Predicted PPIs'!U99+'Predicted PPIs'!U98)))*IF(I$60=".",1,(I99/I98)^(('Summary, PPI''s'!$I99+'Summary, PPI''s'!$I98)/('Predicted PPIs'!U99+'Predicted PPIs'!U98)))*IF(J$60=".",1,(J99/J98)^(('Summary, PPI''s'!$J99+'Summary, PPI''s'!$J98)/('Predicted PPIs'!U99+'Predicted PPIs'!U98)))*IF(K$60=".",1,(K99/K98)^(('Summary, PPI''s'!$K99+'Summary, PPI''s'!$K98)/('Predicted PPIs'!U99+'Predicted PPIs'!U98)))*IF(L$60=".",1,(L99/L98)^(('Summary, PPI''s'!$L99+'Summary, PPI''s'!$L98)/('Predicted PPIs'!U99+'Predicted PPIs'!U98)))*IF(M$60=".",1,(M99/M98)^(('Summary, PPI''s'!$M99+'Summary, PPI''s'!$M98)/('Predicted PPIs'!U99+'Predicted PPIs'!U98)))*IF(B$60=".",1,(B99/B98)^(('Summary, PPI''s'!$B99+'Summary, PPI''s'!$B98)/('Predicted PPIs'!U99+'Predicted PPIs'!U98)))*IF(C$60=".",1,(C99/C98)^(('Summary, PPI''s'!$C99+'Summary, PPI''s'!$C98)/('Predicted PPIs'!U99+'Predicted PPIs'!U98)))*IF(D$60=".",1,(D99/D98)^(('Summary, PPI''s'!$D99+'Summary, PPI''s'!$D98)/('Predicted PPIs'!U99+'Predicted PPIs'!U98)))*IF(N$60=".",1,(N99/N98)^(('Summary, PPI''s'!$N99+'Summary, PPI''s'!$N98)/('Predicted PPIs'!U99+'Predicted PPIs'!U98)))*IF(O$60=".",1,(O99/O98)^(('Summary, PPI''s'!$O99+'Summary, PPI''s'!$O98)/('Predicted PPIs'!U99+'Predicted PPIs'!U98)))*IF(P$60=".",1,(P99/P98)^(('Summary, PPI''s'!$P99+'Summary, PPI''s'!$P98)/('Predicted PPIs'!U99+'Predicted PPIs'!U98)))</f>
        <v>#VALUE!</v>
      </c>
      <c r="AD99" s="4" t="e">
        <f>AD98*IF(E$73=".", 1, (E99/E98)^(('Summary, PPI''s'!$E99+'Summary, PPI''s'!$E98)/('Predicted PPIs'!V99+'Predicted PPIs'!V98)))*IF(F$73=".", 1, (F99/F98)^(('Summary, PPI''s'!$F99+'Summary, PPI''s'!$F98)/('Predicted PPIs'!V99+'Predicted PPIs'!V98)))*IF(G$73=".", 1, (G99/G98)^(('Summary, PPI''s'!$G99+'Summary, PPI''s'!$G98)/('Predicted PPIs'!V99+'Predicted PPIs'!V98)))*IF(H$73=".", 1, (H99/H98)^(('Summary, PPI''s'!$H99+'Summary, PPI''s'!$H98)/('Predicted PPIs'!V99+'Predicted PPIs'!V98)))*IF(I$73=".", 1, (I99/I98)^(('Summary, PPI''s'!$I99+'Summary, PPI''s'!$I98)/('Predicted PPIs'!V99+'Predicted PPIs'!V98)))*IF(J$73=".", 1, (J99/J98)^(('Summary, PPI''s'!$J99+'Summary, PPI''s'!$J98)/('Predicted PPIs'!V99+'Predicted PPIs'!V98)))*IF(K$73=".", 1, (K99/K98)^(('Summary, PPI''s'!$K99+'Summary, PPI''s'!$K98)/('Predicted PPIs'!V99+'Predicted PPIs'!V98)))*IF(L$73=".", 1, (L99/L98)^(('Summary, PPI''s'!$L99+'Summary, PPI''s'!$L98)/('Predicted PPIs'!V99+'Predicted PPIs'!V98)))*IF(M$73=".", 1, (M99/M98)^(('Summary, PPI''s'!$M99+'Summary, PPI''s'!$M98)/('Predicted PPIs'!V99+'Predicted PPIs'!V98)))*IF(B$73=".", 1, (B99/B98)^(('Summary, PPI''s'!$B99+'Summary, PPI''s'!$B98)/('Predicted PPIs'!V99+'Predicted PPIs'!V98)))*IF(C$73=".", 1, (C99/C98)^(('Summary, PPI''s'!$C99+'Summary, PPI''s'!$C98)/('Predicted PPIs'!V99+'Predicted PPIs'!V98)))*IF(D$73=".", 1, (D99/D98)^(('Summary, PPI''s'!$D99+'Summary, PPI''s'!$D98)/('Predicted PPIs'!V99+'Predicted PPIs'!V98)))*IF(N$73=".", 1, (N99/N98)^(('Summary, PPI''s'!$N99+'Summary, PPI''s'!$N98)/('Predicted PPIs'!V99+'Predicted PPIs'!V98)))*IF(O$73=".", 1, (O99/O98)^(('Summary, PPI''s'!$O99+'Summary, PPI''s'!$O98)/('Predicted PPIs'!V99+'Predicted PPIs'!V98)))*IF(P$73=".", 1, (P99/P98)^(('Summary, PPI''s'!$P99+'Summary, PPI''s'!$P98)/('Predicted PPIs'!V99+'Predicted PPIs'!V98)))</f>
        <v>#VALUE!</v>
      </c>
      <c r="AE99" s="4" t="e">
        <f>AE98*IF(E$94=".", 1, (E99/E98)^(('Summary, PPI''s'!$E99+'Summary, PPI''s'!$E98)/('Predicted PPIs'!W99+'Predicted PPIs'!W98)))*IF(F$94=".", 1, (F99/F98)^(('Summary, PPI''s'!$F99+'Summary, PPI''s'!$F98)/('Predicted PPIs'!W99+'Predicted PPIs'!W98)))*IF(G$94=".", 1, (G99/G98)^(('Summary, PPI''s'!$G99+'Summary, PPI''s'!$G98)/('Predicted PPIs'!W99+'Predicted PPIs'!W98)))*IF(H$94=".", 1, (H99/H98)^(('Summary, PPI''s'!$H99+'Summary, PPI''s'!$H98)/('Predicted PPIs'!W99+'Predicted PPIs'!W98)))*IF(I$94=".", 1, (I99/I98)^(('Summary, PPI''s'!$I99+'Summary, PPI''s'!$I98)/('Predicted PPIs'!W99+'Predicted PPIs'!W98)))*IF(J$94=".", 1, (J99/J98)^(('Summary, PPI''s'!$J99+'Summary, PPI''s'!$J98)/('Predicted PPIs'!W99+'Predicted PPIs'!W98)))*IF(K$94=".", 1, (K99/K98)^(('Summary, PPI''s'!$K99+'Summary, PPI''s'!$K98)/('Predicted PPIs'!W99+'Predicted PPIs'!W98)))*IF(L$94=".", 1, (L99/L98)^(('Summary, PPI''s'!$L99+'Summary, PPI''s'!$L98)/('Predicted PPIs'!W99+'Predicted PPIs'!W98)))*IF(M$94=".", 1, (M99/M98)^(('Summary, PPI''s'!$M99+'Summary, PPI''s'!$M98)/('Predicted PPIs'!W99+'Predicted PPIs'!W98)))*IF(B$94=".", 1, (B99/B98)^(('Summary, PPI''s'!$B99+'Summary, PPI''s'!$B98)/('Predicted PPIs'!W99+'Predicted PPIs'!W98)))*IF(C$94=".", 1, (C99/C98)^(('Summary, PPI''s'!$C99+'Summary, PPI''s'!$C98)/('Predicted PPIs'!W99+'Predicted PPIs'!W98)))*IF(D$94=".", 1, (D99/D98)^(('Summary, PPI''s'!$D99+'Summary, PPI''s'!$D98)/('Predicted PPIs'!W99+'Predicted PPIs'!W98)))*IF(N$94=".", 1, (N99/N98)^(('Summary, PPI''s'!$N99+'Summary, PPI''s'!$N98)/('Predicted PPIs'!W99+'Predicted PPIs'!W98)))*IF(O$94=".", 1, (O99/O98)^(('Summary, PPI''s'!$O99+'Summary, PPI''s'!$O98)/('Predicted PPIs'!W99+'Predicted PPIs'!W98)))*IF(P$94=".", 1, (P99/P98)^(('Summary, PPI''s'!$P99+'Summary, PPI''s'!$P98)/('Predicted PPIs'!W99+'Predicted PPIs'!W98)))</f>
        <v>#VALUE!</v>
      </c>
      <c r="AF99" s="4">
        <f>AF98*IF(E$123=".", 1, (E99/E98)^(('Summary, PPI''s'!$E99+'Summary, PPI''s'!$E98)/('Predicted PPIs'!X99+'Predicted PPIs'!X98)))*IF(F$123=".", 1, (F99/F98)^(('Summary, PPI''s'!$F99+'Summary, PPI''s'!$F98)/('Predicted PPIs'!X99+'Predicted PPIs'!X98)))*IF(G$123=".", 1, (G99/G98)^(('Summary, PPI''s'!$G99+'Summary, PPI''s'!$G98)/('Predicted PPIs'!X99+'Predicted PPIs'!X98)))*IF(H$123=".", 1, (H99/H98)^(('Summary, PPI''s'!$H99+'Summary, PPI''s'!$H98)/('Predicted PPIs'!X99+'Predicted PPIs'!X98)))*IF(I$123=".", 1, (I99/I98)^(('Summary, PPI''s'!$I99+'Summary, PPI''s'!$I98)/('Predicted PPIs'!X99+'Predicted PPIs'!X98)))*IF(J$123=".", 1, (J99/J98)^(('Summary, PPI''s'!$J99+'Summary, PPI''s'!$J98)/('Predicted PPIs'!X99+'Predicted PPIs'!X98)))*IF(K$123=".", 1, (K99/K98)^(('Summary, PPI''s'!$K99+'Summary, PPI''s'!$K98)/('Predicted PPIs'!X99+'Predicted PPIs'!X98)))*IF(L$123=".", 1, (L99/L98)^(('Summary, PPI''s'!$L99+'Summary, PPI''s'!$L98)/('Predicted PPIs'!X99+'Predicted PPIs'!X98)))*IF(M$123=".", 1, (M99/M98)^(('Summary, PPI''s'!$M99+'Summary, PPI''s'!$M98)/('Predicted PPIs'!X99+'Predicted PPIs'!X98)))*IF(B$123=".", 1, (B99/B98)^(('Summary, PPI''s'!$B99+'Summary, PPI''s'!$B98)/('Predicted PPIs'!X99+'Predicted PPIs'!X98)))*IF(C$123=".", 1, (C99/C98)^(('Summary, PPI''s'!$C99+'Summary, PPI''s'!$C98)/('Predicted PPIs'!X99+'Predicted PPIs'!X98)))*IF(D$123=".", 1, (D99/D98)^(('Summary, PPI''s'!$D99+'Summary, PPI''s'!$D98)/('Predicted PPIs'!X99+'Predicted PPIs'!X98)))*IF(N$123=".", 1, (N99/N98)^(('Summary, PPI''s'!$N99+'Summary, PPI''s'!$N98)/('Predicted PPIs'!X99+'Predicted PPIs'!X98)))*IF(O$123=".", 1, (O99/O98)^(('Summary, PPI''s'!$O99+'Summary, PPI''s'!$O98)/('Predicted PPIs'!X99+'Predicted PPIs'!X98)))*IF(P$123=".", 1, (P99/P98)^(('Summary, PPI''s'!$P99+'Summary, PPI''s'!$P98)/('Predicted PPIs'!X99+'Predicted PPIs'!X98)))</f>
        <v>4.5036972714763799</v>
      </c>
      <c r="AH99" s="13">
        <f t="shared" si="152"/>
        <v>6.431536055933603</v>
      </c>
      <c r="AJ99" s="4">
        <f t="shared" si="207"/>
        <v>64.163236025013845</v>
      </c>
      <c r="AK99" s="4">
        <f t="shared" si="191"/>
        <v>-1.4200468128016626</v>
      </c>
      <c r="AL99" s="4">
        <f t="shared" si="192"/>
        <v>-4.8644685916638384</v>
      </c>
      <c r="AM99" s="4">
        <f t="shared" si="193"/>
        <v>-0.75686091073433637</v>
      </c>
      <c r="AN99" s="4">
        <f t="shared" si="176"/>
        <v>85.564191833233423</v>
      </c>
      <c r="AO99" s="4">
        <v>14.6</v>
      </c>
      <c r="AP99" s="4">
        <f t="shared" si="177"/>
        <v>-1.3506951871657755</v>
      </c>
      <c r="AQ99" s="4">
        <f t="shared" si="178"/>
        <v>-2.5534385026737962</v>
      </c>
      <c r="AR99" s="4">
        <f t="shared" si="210"/>
        <v>-2.4161070904588316E-4</v>
      </c>
      <c r="AS99" s="4">
        <f t="shared" si="208"/>
        <v>-0.49665449263332645</v>
      </c>
      <c r="AT99" s="4">
        <f t="shared" si="194"/>
        <v>9.6732289855072491</v>
      </c>
      <c r="AU99" s="4">
        <f t="shared" si="195"/>
        <v>15.928153623188409</v>
      </c>
      <c r="AV99" s="4">
        <f t="shared" si="196"/>
        <v>12.388101449275362</v>
      </c>
      <c r="AW99" s="4">
        <f t="shared" si="197"/>
        <v>6.9271391304347834</v>
      </c>
      <c r="AX99" s="4">
        <f t="shared" si="198"/>
        <v>9.2140371196406274</v>
      </c>
      <c r="AY99" s="4">
        <f t="shared" si="199"/>
        <v>10.834515942028986</v>
      </c>
      <c r="AZ99" s="4">
        <f t="shared" si="200"/>
        <v>3.7034231884057967</v>
      </c>
      <c r="BA99" s="4">
        <f t="shared" si="201"/>
        <v>10.032228985507247</v>
      </c>
      <c r="BB99" s="4">
        <f t="shared" si="202"/>
        <v>57.381876842066283</v>
      </c>
      <c r="BC99" s="4">
        <f t="shared" si="203"/>
        <v>9.4037188405797103</v>
      </c>
      <c r="BD99" s="5">
        <f>'[2]Ordinary Experience'!$AD$327</f>
        <v>215.4</v>
      </c>
      <c r="BE99" s="5">
        <f>'[2]Ordinary Experience'!$AC$327</f>
        <v>1.9038413793513154</v>
      </c>
      <c r="BG99" s="4">
        <f t="shared" si="172"/>
        <v>6.8152231709446207</v>
      </c>
      <c r="BI99" s="4">
        <f>BI$13*'[2]Ordinary Experience'!$D$327/'[2]Ordinary Experience'!$D$413</f>
        <v>112526397.92982</v>
      </c>
      <c r="BJ99" s="4">
        <f>'[2]Ordinary Experience'!$E$327</f>
        <v>30.817343853238658</v>
      </c>
      <c r="BL99" s="4">
        <f t="shared" ref="BL99:BL123" si="211">(BG99/(BI99*(100-BJ99))*100/(BG$11/(BI$11*(100-BJ$11))))</f>
        <v>22.088395058960767</v>
      </c>
      <c r="BM99" s="4">
        <f t="shared" si="153"/>
        <v>-1.5709736551032805E-3</v>
      </c>
      <c r="BO99" s="4" t="str">
        <f>IF(OR('Summary, hourly ad costs'!R99=-9999,'Summary, PPI''s'!R99="."),".",(('Summary, hourly ad costs'!B99/'Summary, hourly ad costs'!R99)*100/('Summary, hourly ad costs'!B$11/'Summary, hourly ad costs'!R$11))/('Summary, PPI''s'!R99))</f>
        <v>.</v>
      </c>
      <c r="BP99" s="4" t="str">
        <f>IF(OR('Summary, hourly ad costs'!S99=-9999,'Summary, PPI''s'!S99="."),".",(('Summary, hourly ad costs'!C99/'Summary, hourly ad costs'!S99)*100/('Summary, hourly ad costs'!C$11/'Summary, hourly ad costs'!S$11))/('Summary, PPI''s'!S99))</f>
        <v>.</v>
      </c>
      <c r="BQ99" s="4" t="str">
        <f>IF(OR('Summary, hourly ad costs'!T99=-9999,'Summary, PPI''s'!T99="."),".",(('Summary, hourly ad costs'!D99/'Summary, hourly ad costs'!T99)*100/('Summary, hourly ad costs'!D$11/'Summary, hourly ad costs'!T$11))/('Summary, PPI''s'!T99))</f>
        <v>.</v>
      </c>
      <c r="BR99" s="4" t="str">
        <f>IF(OR('Summary, hourly ad costs'!U99=-9999,'Summary, PPI''s'!U99="."),".",(('Summary, hourly ad costs'!E99/'Summary, hourly ad costs'!U99)*100/('Summary, hourly ad costs'!E$11/'Summary, hourly ad costs'!U$11))/('Summary, PPI''s'!U99))</f>
        <v>.</v>
      </c>
      <c r="BS99" s="4" t="str">
        <f>IF(OR('Summary, hourly ad costs'!V99=-9999,'Summary, PPI''s'!V99="."),".",(('Summary, hourly ad costs'!F99/'Summary, hourly ad costs'!V99)*100/('Summary, hourly ad costs'!F$11/'Summary, hourly ad costs'!V$11))/('Summary, PPI''s'!V99))</f>
        <v>.</v>
      </c>
      <c r="BT99" s="4" t="str">
        <f>IF(OR('Summary, hourly ad costs'!W99=-9999,'Summary, PPI''s'!W99="."),".",(('Summary, hourly ad costs'!G99/'Summary, hourly ad costs'!W99)*100/('Summary, hourly ad costs'!G$11/'Summary, hourly ad costs'!W$11))/('Summary, PPI''s'!W99))</f>
        <v>.</v>
      </c>
      <c r="BU99" s="4" t="str">
        <f>IF(OR('Summary, hourly ad costs'!X99=-9999,'Summary, PPI''s'!X99="."),".",(('Summary, hourly ad costs'!H99/'Summary, hourly ad costs'!X99)*100/('Summary, hourly ad costs'!H$11/'Summary, hourly ad costs'!X$11))/('Summary, PPI''s'!X99))</f>
        <v>.</v>
      </c>
      <c r="BV99" s="4" t="str">
        <f>IF(OR('Summary, hourly ad costs'!Y99=-9999,'Summary, PPI''s'!Y99="."),".",(('Summary, hourly ad costs'!I99/'Summary, hourly ad costs'!Y99)*100/('Summary, hourly ad costs'!I$11/'Summary, hourly ad costs'!Y$11))/('Summary, PPI''s'!Y99))</f>
        <v>.</v>
      </c>
      <c r="BW99" s="4" t="str">
        <f>IF(OR('Summary, hourly ad costs'!Z99=-9999,'Summary, PPI''s'!Z99="."),".",(('Summary, hourly ad costs'!J99/'Summary, hourly ad costs'!Z99)*100/('Summary, hourly ad costs'!J$11/'Summary, hourly ad costs'!Z$11))/('Summary, PPI''s'!Z99))</f>
        <v>.</v>
      </c>
      <c r="BX99" s="4" t="str">
        <f>IF(OR('Summary, hourly ad costs'!AA99=-9999,'Summary, PPI''s'!AA99="."),".",(('Summary, hourly ad costs'!K99/'Summary, hourly ad costs'!AA99)*100/('Summary, hourly ad costs'!K$11/'Summary, hourly ad costs'!AA$11))/('Summary, PPI''s'!AA99))</f>
        <v>.</v>
      </c>
      <c r="BY99" s="4" t="str">
        <f>IF(OR('Summary, hourly ad costs'!AB99=-9999,'Summary, PPI''s'!AB99="."),".",(('Summary, hourly ad costs'!L99/'Summary, hourly ad costs'!AB99)*100/('Summary, hourly ad costs'!L$11/'Summary, hourly ad costs'!AB$11))/('Summary, PPI''s'!AB99))</f>
        <v>.</v>
      </c>
      <c r="BZ99" s="4" t="str">
        <f>IF(OR('Summary, hourly ad costs'!AC99=-9999,'Summary, PPI''s'!AC99="."),".",(('Summary, hourly ad costs'!M99/'Summary, hourly ad costs'!AC99)*100/('Summary, hourly ad costs'!M$11/'Summary, hourly ad costs'!AC$11))/('Summary, PPI''s'!AC99))</f>
        <v>.</v>
      </c>
      <c r="CA99" s="4" t="str">
        <f>IF(OR('Summary, hourly ad costs'!AD99=-9999,'Summary, PPI''s'!AD99="."),".",(('Summary, hourly ad costs'!N99/'Summary, hourly ad costs'!AD99)*100/('Summary, hourly ad costs'!N$11/'Summary, hourly ad costs'!AD$11))/('Summary, PPI''s'!AD99))</f>
        <v>.</v>
      </c>
      <c r="CB99" s="4" t="str">
        <f>IF(OR('Summary, hourly ad costs'!AE99=-9999,'Summary, PPI''s'!AE99="."),".",(('Summary, hourly ad costs'!O99/'Summary, hourly ad costs'!AE99)*100/('Summary, hourly ad costs'!O$11/'Summary, hourly ad costs'!AE$11))/('Summary, PPI''s'!AE99))</f>
        <v>.</v>
      </c>
      <c r="CC99" s="4" t="str">
        <f>IF(OR('Summary, hourly ad costs'!AF99=-9999,'Summary, PPI''s'!AF99="."),".",(('Summary, hourly ad costs'!P99/'Summary, hourly ad costs'!AF99)*100/('Summary, hourly ad costs'!P$11/'Summary, hourly ad costs'!AF$11))/('Summary, PPI''s'!AF99))</f>
        <v>.</v>
      </c>
      <c r="CE99" s="4">
        <f t="shared" si="183"/>
        <v>-3.3393779790980758E-2</v>
      </c>
      <c r="CF99" s="4" t="str">
        <f t="shared" si="184"/>
        <v>.</v>
      </c>
      <c r="CG99" s="4" t="str">
        <f t="shared" si="185"/>
        <v>.</v>
      </c>
      <c r="CH99" s="4">
        <f t="shared" si="145"/>
        <v>-2.3249820075490826E-2</v>
      </c>
      <c r="CI99" s="4">
        <f t="shared" si="145"/>
        <v>-2.4701331889809993E-2</v>
      </c>
      <c r="CJ99" s="4" t="str">
        <f t="shared" si="209"/>
        <v>.</v>
      </c>
      <c r="CK99" s="4">
        <f t="shared" si="149"/>
        <v>4.6269619567205289E-3</v>
      </c>
      <c r="CL99" s="4">
        <f t="shared" si="130"/>
        <v>-1.7546690059783047E-2</v>
      </c>
      <c r="CM99" s="4">
        <f t="shared" si="130"/>
        <v>9.313101250519297E-3</v>
      </c>
      <c r="CN99" s="4">
        <f t="shared" si="204"/>
        <v>-3.2094679282421552E-2</v>
      </c>
      <c r="CO99" s="4">
        <f t="shared" si="180"/>
        <v>-1.6173333760877692E-2</v>
      </c>
      <c r="CP99" s="4">
        <f t="shared" si="180"/>
        <v>0.19505043027835792</v>
      </c>
      <c r="CQ99" s="4" t="str">
        <f t="shared" si="173"/>
        <v>.</v>
      </c>
      <c r="CR99" s="4" t="str">
        <f t="shared" si="174"/>
        <v>.</v>
      </c>
      <c r="CS99" s="4" t="str">
        <f t="shared" si="175"/>
        <v>.</v>
      </c>
      <c r="CU99" s="5">
        <f>IF(CU98=".", ".", IF('Summary, PPI''s'!R99=".",IF(OR('Summary, hourly ad costs'!R99=-9999,'Summary, hourly ad costs'!R99=0), ".", 'Predicted PPIs'!CU98*('Summary, hourly ad costs'!B99/'Summary, hourly ad costs'!R99)/('Summary, hourly ad costs'!B98/'Summary, hourly ad costs'!R98)/(1-CE98)), 'Summary, PPI''s'!R99))</f>
        <v>33.14899945199231</v>
      </c>
      <c r="CV99" s="5" t="str">
        <f>IF(CV98=".", ".", IF('Summary, PPI''s'!S99=".",IF(OR('Summary, hourly ad costs'!S99=-9999,'Summary, hourly ad costs'!S99=0), ".", 'Predicted PPIs'!CV98*('Summary, hourly ad costs'!C99/'Summary, hourly ad costs'!S99)/('Summary, hourly ad costs'!C98/'Summary, hourly ad costs'!S98)/(1-CF98)), 'Summary, PPI''s'!S99))</f>
        <v>.</v>
      </c>
      <c r="CW99" s="5" t="str">
        <f>IF(CW98=".", ".", IF('Summary, PPI''s'!T99=".",IF(OR('Summary, hourly ad costs'!T99=-9999,'Summary, hourly ad costs'!T99=0), ".", 'Predicted PPIs'!CW98*('Summary, hourly ad costs'!D99/'Summary, hourly ad costs'!T99)/('Summary, hourly ad costs'!D98/'Summary, hourly ad costs'!T98)/(1-CG98)), 'Summary, PPI''s'!T99))</f>
        <v>.</v>
      </c>
      <c r="CX99" s="5">
        <f>IF(CX98=".", ".", IF('Summary, PPI''s'!U99=".",IF(OR('Summary, hourly ad costs'!U99=-9999,'Summary, hourly ad costs'!U99=0), ".", 'Predicted PPIs'!CX98*('Summary, hourly ad costs'!E99/'Summary, hourly ad costs'!U99)/('Summary, hourly ad costs'!E98/'Summary, hourly ad costs'!U98)/(1-CH98)), 'Summary, PPI''s'!U99))</f>
        <v>3.0772211396517419</v>
      </c>
      <c r="CY99" s="5">
        <f>IF(CY98=".", ".", IF('Summary, PPI''s'!V99=".",IF(OR('Summary, hourly ad costs'!V99=-9999,'Summary, hourly ad costs'!V99=0), ".", 'Predicted PPIs'!CY98*('Summary, hourly ad costs'!F99/'Summary, hourly ad costs'!V99)/('Summary, hourly ad costs'!F98/'Summary, hourly ad costs'!V98)/(1-CI98)), 'Summary, PPI''s'!V99))</f>
        <v>5.5685471035163463</v>
      </c>
      <c r="CZ99" s="5" t="str">
        <f>IF(CZ98=".", ".", IF('Summary, PPI''s'!W99=".",IF(OR('Summary, hourly ad costs'!W99=-9999,'Summary, hourly ad costs'!W99=0), ".", 'Predicted PPIs'!CZ98*('Summary, hourly ad costs'!G99/'Summary, hourly ad costs'!W99)/('Summary, hourly ad costs'!G98/'Summary, hourly ad costs'!W98)/(1-CJ98)), 'Summary, PPI''s'!W99))</f>
        <v>.</v>
      </c>
      <c r="DA99" s="5">
        <f>IF(DA98=".", ".", IF('Summary, PPI''s'!X99=".",IF(OR('Summary, hourly ad costs'!X99=-9999,'Summary, hourly ad costs'!X99=0), ".", 'Predicted PPIs'!DA98*('Summary, hourly ad costs'!H99/'Summary, hourly ad costs'!X99)/('Summary, hourly ad costs'!H98/'Summary, hourly ad costs'!X98)/(1-CK98)), 'Summary, PPI''s'!X99))</f>
        <v>2.3077968728536646</v>
      </c>
      <c r="DB99" s="5" t="str">
        <f>IF(DB98=".", ".", IF('Summary, PPI''s'!Y99=".",IF(OR('Summary, hourly ad costs'!Y99=-9999,'Summary, hourly ad costs'!Y99=0), ".", 'Predicted PPIs'!DB98*('Summary, hourly ad costs'!I99/'Summary, hourly ad costs'!Y99)/('Summary, hourly ad costs'!I98/'Summary, hourly ad costs'!Y98)/(1-CL98)), 'Summary, PPI''s'!Y99))</f>
        <v>.</v>
      </c>
      <c r="DC99" s="5" t="str">
        <f>IF(DC98=".", ".", IF('Summary, PPI''s'!Z99=".",IF(OR('Summary, hourly ad costs'!Z99=-9999,'Summary, hourly ad costs'!Z99=0), ".", 'Predicted PPIs'!DC98*('Summary, hourly ad costs'!J99/'Summary, hourly ad costs'!Z99)/('Summary, hourly ad costs'!J98/'Summary, hourly ad costs'!Z98)/(1-CM98)), 'Summary, PPI''s'!Z99))</f>
        <v>.</v>
      </c>
      <c r="DD99" s="5" t="str">
        <f>IF(DD98=".", ".", IF('Summary, PPI''s'!AA99=".",IF(OR('Summary, hourly ad costs'!AA99=-9999,'Summary, hourly ad costs'!AA99=0), ".", 'Predicted PPIs'!DD98*('Summary, hourly ad costs'!K99/'Summary, hourly ad costs'!AA99)/('Summary, hourly ad costs'!K98/'Summary, hourly ad costs'!AA98)/(1-CN98)), 'Summary, PPI''s'!AA99))</f>
        <v>.</v>
      </c>
      <c r="DE99" s="5" t="str">
        <f>IF(DE98=".", ".", IF('Summary, PPI''s'!AB99=".",IF(OR('Summary, hourly ad costs'!AB99=-9999,'Summary, hourly ad costs'!AB99=0), ".", 'Predicted PPIs'!DE98*('Summary, hourly ad costs'!L99/'Summary, hourly ad costs'!AB99)/('Summary, hourly ad costs'!L98/'Summary, hourly ad costs'!AB98)/(1-CO98)), 'Summary, PPI''s'!AB99))</f>
        <v>.</v>
      </c>
      <c r="DF99" s="5" t="str">
        <f>IF(DF98=".", ".", IF('Summary, PPI''s'!AC99=".",IF(OR('Summary, hourly ad costs'!AC99=-9999,'Summary, hourly ad costs'!AC99=0), ".", 'Predicted PPIs'!DF98*('Summary, hourly ad costs'!M99/'Summary, hourly ad costs'!AC99)/('Summary, hourly ad costs'!M98/'Summary, hourly ad costs'!AC98)/(1-CP98)), 'Summary, PPI''s'!AC99))</f>
        <v>.</v>
      </c>
      <c r="DG99" s="5" t="str">
        <f>IF(DG98=".", ".", IF('Summary, PPI''s'!AD99=".",IF(OR('Summary, hourly ad costs'!AD99=-9999,'Summary, hourly ad costs'!AD99=0), ".", 'Predicted PPIs'!DG98*('Summary, hourly ad costs'!N99/'Summary, hourly ad costs'!AD99)/('Summary, hourly ad costs'!N98/'Summary, hourly ad costs'!AD98)/(1-CQ98)), 'Summary, PPI''s'!AD99))</f>
        <v>.</v>
      </c>
      <c r="DH99" s="5" t="str">
        <f>IF(DH98=".", ".", IF('Summary, PPI''s'!AE99=".",IF(OR('Summary, hourly ad costs'!AE99=-9999,'Summary, hourly ad costs'!AE99=0), ".", 'Predicted PPIs'!DH98*('Summary, hourly ad costs'!O99/'Summary, hourly ad costs'!AE99)/('Summary, hourly ad costs'!O98/'Summary, hourly ad costs'!AE98)/(1-CR98)), 'Summary, PPI''s'!AE99))</f>
        <v>.</v>
      </c>
      <c r="DI99" s="5" t="str">
        <f>IF(DI98=".", ".", IF('Summary, PPI''s'!AF99=".",IF(OR('Summary, hourly ad costs'!AF99=-9999,'Summary, hourly ad costs'!AF99=0), ".", 'Predicted PPIs'!DI98*('Summary, hourly ad costs'!P99/'Summary, hourly ad costs'!AF99)/('Summary, hourly ad costs'!P98/'Summary, hourly ad costs'!AF98)/(1-CS98)), 'Summary, PPI''s'!AF99))</f>
        <v>.</v>
      </c>
      <c r="DK99" s="4">
        <f t="shared" si="205"/>
        <v>2.4344694736842101</v>
      </c>
      <c r="DM99" s="5">
        <f t="shared" si="186"/>
        <v>-7.9513218682848108E-2</v>
      </c>
      <c r="DN99" s="4">
        <f t="shared" si="187"/>
        <v>-1.9340764730211207E-2</v>
      </c>
      <c r="DO99" s="4">
        <f t="shared" si="181"/>
        <v>-2.2855175518271667E-2</v>
      </c>
      <c r="DP99" s="5">
        <f t="shared" si="188"/>
        <v>4.3134383072583438E-2</v>
      </c>
      <c r="DQ99" s="5">
        <f t="shared" si="189"/>
        <v>3.890920016422883E-2</v>
      </c>
      <c r="DR99" s="4">
        <f t="shared" si="146"/>
        <v>-1.1505828220048323E-2</v>
      </c>
      <c r="DS99" s="5">
        <f t="shared" si="190"/>
        <v>-9.7379695116056597E-3</v>
      </c>
      <c r="DT99" s="4">
        <f t="shared" si="206"/>
        <v>1.1775438305837908E-2</v>
      </c>
      <c r="DU99" s="4">
        <f t="shared" si="171"/>
        <v>-3.1834839595531884E-2</v>
      </c>
      <c r="DV99" s="4">
        <f t="shared" si="131"/>
        <v>9.1063292356294561E-4</v>
      </c>
      <c r="DW99" s="4">
        <f t="shared" si="182"/>
        <v>-1.3459531743581029E-2</v>
      </c>
      <c r="DX99" s="4">
        <f t="shared" si="182"/>
        <v>-0.15090950755702048</v>
      </c>
      <c r="DY99" s="4">
        <f t="shared" si="108"/>
        <v>-2.0378521857030124E-2</v>
      </c>
      <c r="DZ99" s="4">
        <f t="shared" si="132"/>
        <v>-1.4021224199364387E-2</v>
      </c>
      <c r="EA99" s="4">
        <f t="shared" si="109"/>
        <v>-1.2118885572682418E-2</v>
      </c>
      <c r="EC99" s="1">
        <f t="shared" si="154"/>
        <v>33.14899945199231</v>
      </c>
      <c r="ED99" s="1">
        <f t="shared" si="155"/>
        <v>3.1834604864010658</v>
      </c>
      <c r="EE99" s="1">
        <f t="shared" si="156"/>
        <v>1.799793455169765</v>
      </c>
      <c r="EF99" s="1">
        <f t="shared" si="157"/>
        <v>3.0772211396517419</v>
      </c>
      <c r="EG99" s="1">
        <f t="shared" si="158"/>
        <v>5.5685471035163463</v>
      </c>
      <c r="EH99" s="1">
        <f t="shared" si="159"/>
        <v>2.2941725465871974</v>
      </c>
      <c r="EI99" s="1">
        <f t="shared" si="160"/>
        <v>2.3077968728536646</v>
      </c>
      <c r="EJ99" s="1">
        <f t="shared" si="161"/>
        <v>3.0541742513404104</v>
      </c>
      <c r="EK99" s="1">
        <f t="shared" si="162"/>
        <v>6.4370260832349739</v>
      </c>
      <c r="EL99" s="1">
        <f t="shared" si="163"/>
        <v>1.9995767290647923</v>
      </c>
      <c r="EM99" s="1">
        <f t="shared" si="164"/>
        <v>0.11804111629263529</v>
      </c>
      <c r="EN99" s="1">
        <f t="shared" si="165"/>
        <v>1.7109703137322338</v>
      </c>
      <c r="EO99" s="1">
        <f t="shared" si="166"/>
        <v>1.2978854855412325</v>
      </c>
      <c r="EP99" s="1">
        <f t="shared" si="167"/>
        <v>2.2078119776801368</v>
      </c>
      <c r="EQ99" s="1">
        <f t="shared" si="168"/>
        <v>1.7387965547440116</v>
      </c>
      <c r="ES99" s="1">
        <f>IF(EF$26=".", 0, 'Summary, PPI''s'!E99)+IF(EG$26=".", 0, 'Summary, PPI''s'!F99)+IF(EH$26=".", 0, 'Summary, PPI''s'!G99)+IF(EI$26=".", 0, 'Summary, PPI''s'!H99)+IF(EJ$26=".", 0, 'Summary, PPI''s'!I99)+IF(EK$26=".", 0, 'Summary, PPI''s'!J99)+IF(EL$26=".", 0, 'Summary, PPI''s'!K99)+IF(EM$26=".", 0, 'Summary, PPI''s'!L99)+IF(EN$26=".", 0, 'Summary, PPI''s'!M99)+IF(EC$26=".", 0, 'Summary, PPI''s'!B99)+IF(ED$26=".", 0, 'Summary, PPI''s'!C99)+IF(EE$26=".", 0, 'Summary, PPI''s'!D99)+IF(EO$26=".", 0, 'Summary, PPI''s'!N99)+IF(EP$26=".", 0, 'Summary, PPI''s'!O99)+IF(EQ$26=".", 0, 'Summary, PPI''s'!P99)</f>
        <v>2067029.9423177596</v>
      </c>
      <c r="ET99" s="1">
        <f>'Summary, hourly ad costs'!E99+'Summary, hourly ad costs'!F99+'Summary, hourly ad costs'!H99+'Summary, hourly ad costs'!I99+'Summary, hourly ad costs'!J99+'Summary, hourly ad costs'!K99+'Summary, hourly ad costs'!L99+'Summary, hourly ad costs'!M99+'Summary, hourly ad costs'!B99</f>
        <v>1315474.6340784999</v>
      </c>
      <c r="EV99" s="13">
        <f>EV98*IF(EF$26=".", 1, (EF99/EF98)^(('Summary, PPI''s'!$E99+'Summary, PPI''s'!$E98)/('Predicted PPIs'!ES99+'Predicted PPIs'!ES98)))*IF(EG$26=".", 1, (EG99/EG98)^(('Summary, PPI''s'!$F99+'Summary, PPI''s'!$F98)/('Predicted PPIs'!ES99+'Predicted PPIs'!ES98)))*IF(EH$26=".", 1, (EH99/EH98)^(('Summary, PPI''s'!$G99+'Summary, PPI''s'!$G98)/('Predicted PPIs'!ES99+'Predicted PPIs'!ES98)))*IF(EI$26=".", 1, (EI99/EI98)^(('Summary, PPI''s'!$H99+'Summary, PPI''s'!$H98)/('Predicted PPIs'!ES99+'Predicted PPIs'!ES98)))*IF(EJ$26=".", 1, (EJ99/EJ98)^(('Summary, PPI''s'!$I99+'Summary, PPI''s'!$I98)/('Predicted PPIs'!ES99+'Predicted PPIs'!ES98)))*IF(EK$26=".", 1, (EK99/EK98)^(('Summary, PPI''s'!$J99+'Summary, PPI''s'!$J98)/('Predicted PPIs'!ES99+'Predicted PPIs'!ES98)))*IF(EL$26=".", 1, (EL99/EL98)^(('Summary, PPI''s'!$K99+'Summary, PPI''s'!$K98)/('Predicted PPIs'!ES99+'Predicted PPIs'!ES98)))*IF(EM$26=".", 1, (EM99/EM98)^(('Summary, PPI''s'!$L99+'Summary, PPI''s'!$L98)/('Predicted PPIs'!ES99+'Predicted PPIs'!ES98)))*IF(EN$26=".", 1, (EN99/EN98)^(('Summary, PPI''s'!$M99+'Summary, PPI''s'!$M98)/('Predicted PPIs'!ES99+'Predicted PPIs'!ES98)))*IF(EC$26=".", 1, (EC99/EC98)^(('Summary, PPI''s'!$B99+'Summary, PPI''s'!$B98)/('Predicted PPIs'!ES99+'Predicted PPIs'!ES98)))*IF(ED$26=".", 1, (ED99/ED98)^(('Summary, PPI''s'!$C99+'Summary, PPI''s'!$C98)/('Predicted PPIs'!ES99+'Predicted PPIs'!ES98)))*IF(EE$26=".", 1, (EE99/EE98)^(('Summary, PPI''s'!$D99+'Summary, PPI''s'!$D98)/('Predicted PPIs'!ES99+'Predicted PPIs'!ES98)))*IF(EO$26=".", 1, (EO99/EO98)^(('Summary, PPI''s'!$N99+'Summary, PPI''s'!$N98)/('Predicted PPIs'!ES99+'Predicted PPIs'!ES98)))*IF(EP$26=".", 1, (EP99/EP98)^(('Summary, PPI''s'!$O99+'Summary, PPI''s'!$O98)/('Predicted PPIs'!ES99+'Predicted PPIs'!ES98)))*IF(EQ$26=".", 1, (EQ99/EQ98)^(('Summary, PPI''s'!$P99+'Summary, PPI''s'!$P98)/('Predicted PPIs'!ES99+'Predicted PPIs'!ES98)))</f>
        <v>4.2612322554264095</v>
      </c>
      <c r="EW99" s="13">
        <f>EW98*IF(EF$26=".", 1, (EF99/EF98)^(('Summary, PPI''s'!$E99+'Summary, PPI''s'!$E98)/('Predicted PPIs'!ET99+'Predicted PPIs'!ET98)))*IF(EG$26=".", 1, (EG99/EG98)^(('Summary, PPI''s'!$F99+'Summary, PPI''s'!$F98)/('Predicted PPIs'!ET99+'Predicted PPIs'!ET98)))*IF(EH$26=".", 1, (EH99/EH98)^(('Summary, PPI''s'!$G99+'Summary, PPI''s'!$G98)/('Predicted PPIs'!ET99+'Predicted PPIs'!ET98)))*IF(EK$26=".", 1, (EK99/EK98)^(('Summary, PPI''s'!$J99+'Summary, PPI''s'!$J98)/('Predicted PPIs'!ET99+'Predicted PPIs'!ET98)))*IF(EL$26=".", 1, (EL99/EL98)^(('Summary, PPI''s'!$K99+'Summary, PPI''s'!$K98)/('Predicted PPIs'!ET99+'Predicted PPIs'!ET98)))*IF(EM$26=".", 1, (EM99/EM98)^(('Summary, PPI''s'!$L99+'Summary, PPI''s'!$L98)/('Predicted PPIs'!ET99+'Predicted PPIs'!ET98)))*IF(EN$26=".", 1, (EN99/EN98)^(('Summary, PPI''s'!$M99+'Summary, PPI''s'!$M98)/('Predicted PPIs'!ET99+'Predicted PPIs'!ET98)))*IF(EC$26=".", 1, (EC99/EC98)^(('Summary, PPI''s'!$B99+'Summary, PPI''s'!$B98)/('Predicted PPIs'!ET99+'Predicted PPIs'!ET98)))</f>
        <v>8.6688942648317777</v>
      </c>
      <c r="EY99" s="2"/>
    </row>
    <row r="100" spans="1:155" x14ac:dyDescent="0.3">
      <c r="A100" s="4">
        <v>1923</v>
      </c>
      <c r="B100" s="10">
        <f>IF(B99=".", ".", IF('Summary, PPI''s'!R100=".",IF(OR('Summary, hourly ad costs'!R100=-9999,'Summary, hourly ad costs'!R100=0), ".", 'Predicted PPIs'!B99*('Summary, hourly ad costs'!B100/'Summary, hourly ad costs'!R100)/('Summary, hourly ad costs'!B99/'Summary, hourly ad costs'!R99)), 'Summary, PPI''s'!R100))</f>
        <v>61.965626723291983</v>
      </c>
      <c r="C100" s="10" t="str">
        <f>IF(C99=".", ".", IF('Summary, PPI''s'!S100=".",IF(OR('Summary, hourly ad costs'!S100=-9999,'Summary, hourly ad costs'!S100=0), ".", 'Predicted PPIs'!C99*('Summary, hourly ad costs'!C100/'Summary, hourly ad costs'!S100)/('Summary, hourly ad costs'!C99/'Summary, hourly ad costs'!S99)), 'Summary, PPI''s'!S100))</f>
        <v>.</v>
      </c>
      <c r="D100" s="10" t="str">
        <f>IF(D99=".", ".", IF('Summary, PPI''s'!T100=".",IF(OR('Summary, hourly ad costs'!T100=-9999,'Summary, hourly ad costs'!T100=0), ".", 'Predicted PPIs'!D99*('Summary, hourly ad costs'!D100/'Summary, hourly ad costs'!T100)/('Summary, hourly ad costs'!D99/'Summary, hourly ad costs'!T99)), 'Summary, PPI''s'!T100))</f>
        <v>.</v>
      </c>
      <c r="E100" s="10">
        <f>IF(E99=".", ".", IF('Summary, PPI''s'!U100=".",IF(OR('Summary, hourly ad costs'!U100=-9999,'Summary, hourly ad costs'!U100=0), ".", 'Predicted PPIs'!E99*('Summary, hourly ad costs'!E100/'Summary, hourly ad costs'!U100)/('Summary, hourly ad costs'!E99/'Summary, hourly ad costs'!U99)), 'Summary, PPI''s'!U100))</f>
        <v>2.4936119123522738</v>
      </c>
      <c r="F100" s="10">
        <f>IF(F99=".", ".", IF('Summary, PPI''s'!V100=".",IF(OR('Summary, hourly ad costs'!V100=-9999,'Summary, hourly ad costs'!V100=0), ".", 'Predicted PPIs'!F99*('Summary, hourly ad costs'!F100/'Summary, hourly ad costs'!V100)/('Summary, hourly ad costs'!F99/'Summary, hourly ad costs'!V99)), 'Summary, PPI''s'!V100))</f>
        <v>4.0867690909174756</v>
      </c>
      <c r="G100" s="10" t="str">
        <f>IF(G99=".", ".", IF('Summary, PPI''s'!W100=".",IF(OR('Summary, hourly ad costs'!W100=-9999,'Summary, hourly ad costs'!W100=0), ".", 'Predicted PPIs'!G99*('Summary, hourly ad costs'!G100/'Summary, hourly ad costs'!W100)/('Summary, hourly ad costs'!G99/'Summary, hourly ad costs'!W99)), 'Summary, PPI''s'!W100))</f>
        <v>.</v>
      </c>
      <c r="H100" s="10">
        <f>IF(H99=".", ".", IF('Summary, PPI''s'!X100=".",IF(OR('Summary, hourly ad costs'!X100=-9999,'Summary, hourly ad costs'!X100=0), ".", 'Predicted PPIs'!H99*('Summary, hourly ad costs'!H100/'Summary, hourly ad costs'!X100)/('Summary, hourly ad costs'!H99/'Summary, hourly ad costs'!X99)), 'Summary, PPI''s'!X100))</f>
        <v>2.0287249040009905</v>
      </c>
      <c r="I100" s="10" t="str">
        <f>IF(I99=".", ".", IF('Summary, PPI''s'!Y100=".",IF(OR('Summary, hourly ad costs'!Y100=-9999,'Summary, hourly ad costs'!Y100=0), ".", 'Predicted PPIs'!I99*('Summary, hourly ad costs'!I100/'Summary, hourly ad costs'!Y100)/('Summary, hourly ad costs'!I99/'Summary, hourly ad costs'!Y99)), 'Summary, PPI''s'!Y100))</f>
        <v>.</v>
      </c>
      <c r="J100" s="10" t="str">
        <f>IF(J99=".", ".", IF('Summary, PPI''s'!Z100=".",IF(OR('Summary, hourly ad costs'!Z100=-9999,'Summary, hourly ad costs'!Z100=0), ".", 'Predicted PPIs'!J99*('Summary, hourly ad costs'!J100/'Summary, hourly ad costs'!Z100)/('Summary, hourly ad costs'!J99/'Summary, hourly ad costs'!Z99)), 'Summary, PPI''s'!Z100))</f>
        <v>.</v>
      </c>
      <c r="K100" s="10" t="str">
        <f>IF(K99=".", ".", IF('Summary, PPI''s'!AA100=".",IF(OR('Summary, hourly ad costs'!AA100=-9999,'Summary, hourly ad costs'!AA100=0), ".", 'Predicted PPIs'!K99*('Summary, hourly ad costs'!K100/'Summary, hourly ad costs'!AA100)/('Summary, hourly ad costs'!K99/'Summary, hourly ad costs'!AA99)), 'Summary, PPI''s'!AA100))</f>
        <v>.</v>
      </c>
      <c r="L100" s="10" t="str">
        <f>IF(L99=".", ".", IF('Summary, PPI''s'!AB100=".",IF(OR('Summary, hourly ad costs'!AB100=-9999,'Summary, hourly ad costs'!AB100=0), ".", 'Predicted PPIs'!L99*('Summary, hourly ad costs'!L100/'Summary, hourly ad costs'!AB100)/('Summary, hourly ad costs'!L99/'Summary, hourly ad costs'!AB99)), 'Summary, PPI''s'!AB100))</f>
        <v>.</v>
      </c>
      <c r="M100" s="10" t="str">
        <f>IF(M99=".", ".", IF('Summary, PPI''s'!AC100=".",IF(OR('Summary, hourly ad costs'!AC100=-9999,'Summary, hourly ad costs'!AC100=0), ".", 'Predicted PPIs'!M99*('Summary, hourly ad costs'!M100/'Summary, hourly ad costs'!AC100)/('Summary, hourly ad costs'!M99/'Summary, hourly ad costs'!AC99)), 'Summary, PPI''s'!AC100))</f>
        <v>.</v>
      </c>
      <c r="N100" s="10" t="str">
        <f>IF(N99=".", ".", IF('Summary, PPI''s'!AD100=".",IF(OR('Summary, hourly ad costs'!AD100=-9999,'Summary, hourly ad costs'!AD100=0), ".", 'Predicted PPIs'!N99*('Summary, hourly ad costs'!N100/'Summary, hourly ad costs'!AD100)/('Summary, hourly ad costs'!N99/'Summary, hourly ad costs'!AD99)), 'Summary, PPI''s'!AD100))</f>
        <v>.</v>
      </c>
      <c r="O100" s="10" t="str">
        <f>IF(O99=".", ".", IF('Summary, PPI''s'!AE100=".",IF(OR('Summary, hourly ad costs'!AE100=-9999,'Summary, hourly ad costs'!AE100=0), ".", 'Predicted PPIs'!O99*('Summary, hourly ad costs'!O100/'Summary, hourly ad costs'!AE100)/('Summary, hourly ad costs'!O99/'Summary, hourly ad costs'!AE99)), 'Summary, PPI''s'!AE100))</f>
        <v>.</v>
      </c>
      <c r="P100" s="10" t="str">
        <f>IF(P99=".", ".", IF('Summary, PPI''s'!AF100=".",IF(OR('Summary, hourly ad costs'!AF100=-9999,'Summary, hourly ad costs'!AF100=0), ".", 'Predicted PPIs'!P99*('Summary, hourly ad costs'!P100/'Summary, hourly ad costs'!AF100)/('Summary, hourly ad costs'!P99/'Summary, hourly ad costs'!AF99)), 'Summary, PPI''s'!AF100))</f>
        <v>.</v>
      </c>
      <c r="R100" s="1">
        <f>IF(E$26=".", 0, 'Summary, PPI''s'!E100)+IF(F$26=".", 0, 'Summary, PPI''s'!F100)+IF(G$26=".", 0, 'Summary, PPI''s'!G100)+IF(H$26=".", 0, 'Summary, PPI''s'!H100)+IF(I$26=".", 0, 'Summary, PPI''s'!I100)+IF(J$26=".", 0, 'Summary, PPI''s'!J100)+IF(K$26=".", 0, 'Summary, PPI''s'!K100)+IF(L$26=".", 0, 'Summary, PPI''s'!L100)+IF(M$26=".", 0, 'Summary, PPI''s'!M100)+IF(B$26=".", 0, 'Summary, PPI''s'!B100)+IF(C$26=".", 0, 'Summary, PPI''s'!C100)+IF(D$26=".", 0, 'Summary, PPI''s'!D100)+IF(N$26=".", 0, 'Summary, PPI''s'!N100)+IF(O$26=".", 0, 'Summary, PPI''s'!O100)+IF(P$26=".", 0, 'Summary, PPI''s'!P100)</f>
        <v>1961303.8315655836</v>
      </c>
      <c r="S100" s="1">
        <f>IF(E$36=".", 0, 'Summary, PPI''s'!E100)+IF(F$36=".", 0, 'Summary, PPI''s'!F100)+IF(G$36=".", 0, 'Summary, PPI''s'!G100)+IF(H$36=".", 0, 'Summary, PPI''s'!H100)+IF(I$36=".", 0, 'Summary, PPI''s'!I100)+IF(J$36=".", 0, 'Summary, PPI''s'!J100)+IF(K$36=".", 0, 'Summary, PPI''s'!K100)+IF(L$36=".", 0, 'Summary, PPI''s'!L100)+IF(M$36=".", 0, 'Summary, PPI''s'!M100)+IF(B$36=".", 0, 'Summary, PPI''s'!B100)+IF(C$36=".", 0, 'Summary, PPI''s'!C100)+IF(D$36=".", 0, 'Summary, PPI''s'!D100)+IF(N$36=".", 0, 'Summary, PPI''s'!N100)+IF(O$36=".", 0, 'Summary, PPI''s'!O100)+IF(P$36=".", 0, 'Summary, PPI''s'!P100)</f>
        <v>1961303.8315655836</v>
      </c>
      <c r="T100" s="1">
        <f>IF(E$46=".", 0, 'Summary, PPI''s'!E100)+IF(F$46=".", 0, 'Summary, PPI''s'!F100)+IF(G$46=".", 0, 'Summary, PPI''s'!G100)+IF(H$46=".", 0, 'Summary, PPI''s'!H100)+IF(I$46=".", 0, 'Summary, PPI''s'!I100)+IF(J$46=".", 0, 'Summary, PPI''s'!J100)+IF(K$46=".", 0, 'Summary, PPI''s'!K100)+IF(L$46=".", 0, 'Summary, PPI''s'!L100)+IF(M$46=".", 0, 'Summary, PPI''s'!M100)+IF(B$46=".", 0, 'Summary, PPI''s'!B100)+IF(C$46=".", 0, 'Summary, PPI''s'!C100)+IF(D$46=".", 0, 'Summary, PPI''s'!D100)+IF(N$46=".", 0, 'Summary, PPI''s'!N100)+IF(O$46=".", 0, 'Summary, PPI''s'!O100)+IF(P$46=".", 0, 'Summary, PPI''s'!P100)</f>
        <v>1704777.2393311502</v>
      </c>
      <c r="U100" s="1">
        <f>IF(E$60=".", 0, 'Summary, PPI''s'!E100)+IF(F$60=".", 0, 'Summary, PPI''s'!F100)+IF(G$60=".", 0, 'Summary, PPI''s'!G100)+IF(H$60=".", 0, 'Summary, PPI''s'!H100)+IF(I$60=".", 0, 'Summary, PPI''s'!I100)+IF(J$60=".", 0, 'Summary, PPI''s'!J100)+IF(K$60=".", 0, 'Summary, PPI''s'!K100)+IF(L$60=".", 0, 'Summary, PPI''s'!L100)+IF(M$60=".", 0, 'Summary, PPI''s'!M100)+IF(B$60=".", 0, 'Summary, PPI''s'!B100)+IF(C$60=".", 0, 'Summary, PPI''s'!C100)+IF(D$60=".", 0, 'Summary, PPI''s'!D100)+IF(N$60=".", 0, 'Summary, PPI''s'!N100)+IF(O$60=".", 0, 'Summary, PPI''s'!O100)+IF(P$60=".", 0, 'Summary, PPI''s'!P100)</f>
        <v>1595092.9797471606</v>
      </c>
      <c r="V100" s="1">
        <f>IF(E$73=".", 0, 'Summary, PPI''s'!E100)+IF(F$73=".", 0, 'Summary, PPI''s'!F100)+IF(G$73=".", 0, 'Summary, PPI''s'!G100)+IF(H$73=".", 0, 'Summary, PPI''s'!H100)+IF(I$73=".", 0, 'Summary, PPI''s'!I100)+IF(J$73=".", 0, 'Summary, PPI''s'!J100)+IF(K$73=".", 0, 'Summary, PPI''s'!K100)+IF(L$73=".", 0, 'Summary, PPI''s'!L100)+IF(M$73=".", 0, 'Summary, PPI''s'!M100)+IF(B$73=".", 0, 'Summary, PPI''s'!B100)+IF(C$73=".", 0, 'Summary, PPI''s'!C100)+IF(D$73=".", 0, 'Summary, PPI''s'!D100)+IF(N$73=".", 0, 'Summary, PPI''s'!N100)+IF(O$73=".", 0, 'Summary, PPI''s'!O100)+IF(P$73=".", 0, 'Summary, PPI''s'!P100)</f>
        <v>1244698.4332816391</v>
      </c>
      <c r="W100" s="1">
        <f>IF(E$94=".",0,'Summary, PPI''s'!E100)+IF(F$94=".",0,'Summary, PPI''s'!F100)+IF(G$94=".",0,'Summary, PPI''s'!G100)+IF(H$94=".",0,'Summary, PPI''s'!H100)+IF(I$94=".",0,'Summary, PPI''s'!I100)+IF(J$94=".",0,'Summary, PPI''s'!J100)+IF(K$94=".",0,'Summary, PPI''s'!K100)+IF(L$94=".",0,'Summary, PPI''s'!L100)+IF(M$94=".",0,'Summary, PPI''s'!M100)+IF(B$94=".",0,'Summary, PPI''s'!B100)+IF(C$94=".",0,'Summary, PPI''s'!C100)+IF(D$94=".",0,'Summary, PPI''s'!D100)+IF(N$94=".",0,'Summary, PPI''s'!N100)+IF(O$94=".",0,'Summary, PPI''s'!O100)+IF(P$94=".",0,'Summary, PPI''s'!P100)</f>
        <v>1244698.4332816391</v>
      </c>
      <c r="X100" s="1">
        <f>IF(E$123=".", 0, 'Summary, PPI''s'!E100)+IF(F$123=".", 0, 'Summary, PPI''s'!F100)+IF(G$123=".", 0, 'Summary, PPI''s'!G100)+IF(H$123=".", 0, 'Summary, PPI''s'!H100)+IF(I$123=".", 0, 'Summary, PPI''s'!I100)+IF(J$123=".", 0, 'Summary, PPI''s'!J100)+IF(K$123=".", 0, 'Summary, PPI''s'!K100)+IF(L$123=".", 0, 'Summary, PPI''s'!L100)+IF(M$123=".", 0, 'Summary, PPI''s'!M100)+IF(B$123=".", 0, 'Summary, PPI''s'!B100)+IF(C$123=".", 0, 'Summary, PPI''s'!C100)+IF(D$123=".", 0, 'Summary, PPI''s'!D100)+IF(N$123=".", 0, 'Summary, PPI''s'!N100)+IF(O$123=".", 0, 'Summary, PPI''s'!O100)+IF(P$123=".", 0, 'Summary, PPI''s'!P100)</f>
        <v>1244698.4332816391</v>
      </c>
      <c r="Z100" s="4" t="e">
        <f>Z99*IF(E$26=".", 1, (E100/E99)^(('Summary, PPI''s'!$E100+'Summary, PPI''s'!$E99)/('Predicted PPIs'!R100+'Predicted PPIs'!R99)))*IF(F$26=".", 1, (F100/F99)^(('Summary, PPI''s'!$F100+'Summary, PPI''s'!$F99)/('Predicted PPIs'!R100+'Predicted PPIs'!R99)))*IF(G$26=".", 1, (G100/G99)^(('Summary, PPI''s'!$G100+'Summary, PPI''s'!$G99)/('Predicted PPIs'!R100+'Predicted PPIs'!R99)))*IF(H$26=".", 1, (H100/H99)^(('Summary, PPI''s'!$H100+'Summary, PPI''s'!$H99)/('Predicted PPIs'!R100+'Predicted PPIs'!R99)))*IF(I$26=".", 1, (I100/I99)^(('Summary, PPI''s'!$I100+'Summary, PPI''s'!$I99)/('Predicted PPIs'!R100+'Predicted PPIs'!R99)))*IF(J$26=".", 1, (J100/J99)^(('Summary, PPI''s'!$J100+'Summary, PPI''s'!$J99)/('Predicted PPIs'!R100+'Predicted PPIs'!R99)))*IF(K$26=".", 1, (K100/K99)^(('Summary, PPI''s'!$K100+'Summary, PPI''s'!$K99)/('Predicted PPIs'!R100+'Predicted PPIs'!R99)))*IF(L$26=".", 1, (L100/L99)^(('Summary, PPI''s'!$L100+'Summary, PPI''s'!$L99)/('Predicted PPIs'!R100+'Predicted PPIs'!R99)))*IF(M$26=".", 1, (M100/M99)^(('Summary, PPI''s'!$M100+'Summary, PPI''s'!$M99)/('Predicted PPIs'!R100+'Predicted PPIs'!R99)))*IF(B$26=".", 1, (B100/B99)^(('Summary, PPI''s'!$B100+'Summary, PPI''s'!$B99)/('Predicted PPIs'!R100+'Predicted PPIs'!R99)))*IF(C$26=".", 1, (C100/C99)^(('Summary, PPI''s'!$C100+'Summary, PPI''s'!$C99)/('Predicted PPIs'!R100+'Predicted PPIs'!R99)))*IF(D$26=".", 1, (D100/D99)^(('Summary, PPI''s'!$D100+'Summary, PPI''s'!$D99)/('Predicted PPIs'!R100+'Predicted PPIs'!R99)))*IF(N$26=".", 1, (N100/N99)^(('Summary, PPI''s'!$N100+'Summary, PPI''s'!$N99)/('Predicted PPIs'!R100+'Predicted PPIs'!R99)))*IF(O$26=".", 1, (O100/O99)^(('Summary, PPI''s'!$O100+'Summary, PPI''s'!$O99)/('Predicted PPIs'!R100+'Predicted PPIs'!R99)))*IF(P$26=".", 1, (P100/P99)^(('Summary, PPI''s'!$P100+'Summary, PPI''s'!$P99)/('Predicted PPIs'!R100+'Predicted PPIs'!R99)))</f>
        <v>#VALUE!</v>
      </c>
      <c r="AA100" s="4" t="e">
        <f>AA99*IF(E$36=".", 1, (E100/E99)^(('Summary, PPI''s'!$E100+'Summary, PPI''s'!$E99)/('Predicted PPIs'!S100+'Predicted PPIs'!S99)))*IF(F$36=".", 1, (F100/F99)^(('Summary, PPI''s'!$F100+'Summary, PPI''s'!$F99)/('Predicted PPIs'!S100+'Predicted PPIs'!S99)))*IF(G$36=".", 1, (G100/G99)^(('Summary, PPI''s'!$G100+'Summary, PPI''s'!$G99)/('Predicted PPIs'!S100+'Predicted PPIs'!S99)))*IF(H$36=".", 1, (H100/H99)^(('Summary, PPI''s'!$H100+'Summary, PPI''s'!$H99)/('Predicted PPIs'!S100+'Predicted PPIs'!S99)))*IF(I$36=".", 1, (I100/I99)^(('Summary, PPI''s'!$I100+'Summary, PPI''s'!$I99)/('Predicted PPIs'!S100+'Predicted PPIs'!S99)))*IF(J$36=".", 1, (J100/J99)^(('Summary, PPI''s'!$J100+'Summary, PPI''s'!$J99)/('Predicted PPIs'!S100+'Predicted PPIs'!S99)))*IF(K$36=".", 1, (K100/K99)^(('Summary, PPI''s'!$K100+'Summary, PPI''s'!$K99)/('Predicted PPIs'!S100+'Predicted PPIs'!S99)))*IF(L$36=".", 1, (L100/L99)^(('Summary, PPI''s'!$L100+'Summary, PPI''s'!$L99)/('Predicted PPIs'!S100+'Predicted PPIs'!S99)))*IF(M$36=".", 1, (M100/M99)^(('Summary, PPI''s'!$M100+'Summary, PPI''s'!$M99)/('Predicted PPIs'!S100+'Predicted PPIs'!S99)))*IF(B$36=".", 1, (B100/B99)^(('Summary, PPI''s'!$B100+'Summary, PPI''s'!$B99)/('Predicted PPIs'!S100+'Predicted PPIs'!S99)))*IF(C$36=".", 1, (C100/C99)^(('Summary, PPI''s'!$C100+'Summary, PPI''s'!$C99)/('Predicted PPIs'!S100+'Predicted PPIs'!S99)))*IF(D$36=".", 1, (D100/D99)^(('Summary, PPI''s'!$D100+'Summary, PPI''s'!$D99)/('Predicted PPIs'!S100+'Predicted PPIs'!S99)))*IF(N$36=".", 1, (N100/N99)^(('Summary, PPI''s'!$N100+'Summary, PPI''s'!$N99)/('Predicted PPIs'!S100+'Predicted PPIs'!S99)))*IF(O$36=".", 1, (O100/O99)^(('Summary, PPI''s'!$O100+'Summary, PPI''s'!$O99)/('Predicted PPIs'!S100+'Predicted PPIs'!S99)))*IF(P$36=".", 1, (P100/P99)^(('Summary, PPI''s'!$P100+'Summary, PPI''s'!$P99)/('Predicted PPIs'!S100+'Predicted PPIs'!S99)))</f>
        <v>#VALUE!</v>
      </c>
      <c r="AB100" s="4" t="e">
        <f>AB99*IF(E$46=".", 1, (E100/E99)^(('Summary, PPI''s'!$E100+'Summary, PPI''s'!$E99)/('Predicted PPIs'!T100+'Predicted PPIs'!T99)))*IF(F$46=".", 1, (F100/F99)^(('Summary, PPI''s'!$F100+'Summary, PPI''s'!$F99)/('Predicted PPIs'!T100+'Predicted PPIs'!T99)))*IF(G$46=".", 1, (G100/G99)^(('Summary, PPI''s'!$G100+'Summary, PPI''s'!$G99)/('Predicted PPIs'!T100+'Predicted PPIs'!T99)))*IF(H$46=".", 1, (H100/H99)^(('Summary, PPI''s'!$H100+'Summary, PPI''s'!$H99)/('Predicted PPIs'!T100+'Predicted PPIs'!T99)))*IF(I$46=".", 1, (I100/I99)^(('Summary, PPI''s'!$I100+'Summary, PPI''s'!$I99)/('Predicted PPIs'!T100+'Predicted PPIs'!T99)))*IF(J$46=".", 1, (J100/J99)^(('Summary, PPI''s'!$J100+'Summary, PPI''s'!$J99)/('Predicted PPIs'!T100+'Predicted PPIs'!T99)))*IF(K$46=".", 1, (K100/K99)^(('Summary, PPI''s'!$K100+'Summary, PPI''s'!$K99)/('Predicted PPIs'!T100+'Predicted PPIs'!T99)))*IF(L$46=".", 1, (L100/L99)^(('Summary, PPI''s'!$L100+'Summary, PPI''s'!$L99)/('Predicted PPIs'!T100+'Predicted PPIs'!T99)))*IF(M$46=".", 1, (M100/M99)^(('Summary, PPI''s'!$M100+'Summary, PPI''s'!$M99)/('Predicted PPIs'!T100+'Predicted PPIs'!T99)))*IF(B$46=".", 1, (B100/B99)^(('Summary, PPI''s'!$B100+'Summary, PPI''s'!$B99)/('Predicted PPIs'!T100+'Predicted PPIs'!T99)))*IF(C$46=".", 1, (C100/C99)^(('Summary, PPI''s'!$C100+'Summary, PPI''s'!$C99)/('Predicted PPIs'!T100+'Predicted PPIs'!T99)))*IF(D$46=".", 1, (D100/D99)^(('Summary, PPI''s'!$D100+'Summary, PPI''s'!$D99)/('Predicted PPIs'!T100+'Predicted PPIs'!T99)))*IF(N$46=".", 1, (N100/N99)^(('Summary, PPI''s'!$N100+'Summary, PPI''s'!$N99)/('Predicted PPIs'!T100+'Predicted PPIs'!T99)))*IF(O$46=".", 1, (O100/O99)^(('Summary, PPI''s'!$O100+'Summary, PPI''s'!$O99)/('Predicted PPIs'!T100+'Predicted PPIs'!T99)))*IF(P$46=".", 1, (P100/P99)^(('Summary, PPI''s'!$P100+'Summary, PPI''s'!$P99)/('Predicted PPIs'!T100+'Predicted PPIs'!T99)))</f>
        <v>#VALUE!</v>
      </c>
      <c r="AC100" s="4" t="e">
        <f>AC99*IF(E$60=".",1,(E100/E99)^(('Summary, PPI''s'!$E100+'Summary, PPI''s'!$E99)/('Predicted PPIs'!U100+'Predicted PPIs'!U99)))*IF(F$60=".",1,(F100/F99)^(('Summary, PPI''s'!$F100+'Summary, PPI''s'!$F99)/('Predicted PPIs'!U100+'Predicted PPIs'!U99)))*IF(G$60=".",1,(G100/G99)^(('Summary, PPI''s'!$G100+'Summary, PPI''s'!$G99)/('Predicted PPIs'!U100+'Predicted PPIs'!U99)))*IF(H$60=".",1,(H100/H99)^(('Summary, PPI''s'!$H100+'Summary, PPI''s'!$H99)/('Predicted PPIs'!U100+'Predicted PPIs'!U99)))*IF(I$60=".",1,(I100/I99)^(('Summary, PPI''s'!$I100+'Summary, PPI''s'!$I99)/('Predicted PPIs'!U100+'Predicted PPIs'!U99)))*IF(J$60=".",1,(J100/J99)^(('Summary, PPI''s'!$J100+'Summary, PPI''s'!$J99)/('Predicted PPIs'!U100+'Predicted PPIs'!U99)))*IF(K$60=".",1,(K100/K99)^(('Summary, PPI''s'!$K100+'Summary, PPI''s'!$K99)/('Predicted PPIs'!U100+'Predicted PPIs'!U99)))*IF(L$60=".",1,(L100/L99)^(('Summary, PPI''s'!$L100+'Summary, PPI''s'!$L99)/('Predicted PPIs'!U100+'Predicted PPIs'!U99)))*IF(M$60=".",1,(M100/M99)^(('Summary, PPI''s'!$M100+'Summary, PPI''s'!$M99)/('Predicted PPIs'!U100+'Predicted PPIs'!U99)))*IF(B$60=".",1,(B100/B99)^(('Summary, PPI''s'!$B100+'Summary, PPI''s'!$B99)/('Predicted PPIs'!U100+'Predicted PPIs'!U99)))*IF(C$60=".",1,(C100/C99)^(('Summary, PPI''s'!$C100+'Summary, PPI''s'!$C99)/('Predicted PPIs'!U100+'Predicted PPIs'!U99)))*IF(D$60=".",1,(D100/D99)^(('Summary, PPI''s'!$D100+'Summary, PPI''s'!$D99)/('Predicted PPIs'!U100+'Predicted PPIs'!U99)))*IF(N$60=".",1,(N100/N99)^(('Summary, PPI''s'!$N100+'Summary, PPI''s'!$N99)/('Predicted PPIs'!U100+'Predicted PPIs'!U99)))*IF(O$60=".",1,(O100/O99)^(('Summary, PPI''s'!$O100+'Summary, PPI''s'!$O99)/('Predicted PPIs'!U100+'Predicted PPIs'!U99)))*IF(P$60=".",1,(P100/P99)^(('Summary, PPI''s'!$P100+'Summary, PPI''s'!$P99)/('Predicted PPIs'!U100+'Predicted PPIs'!U99)))</f>
        <v>#VALUE!</v>
      </c>
      <c r="AD100" s="4" t="e">
        <f>AD99*IF(E$73=".", 1, (E100/E99)^(('Summary, PPI''s'!$E100+'Summary, PPI''s'!$E99)/('Predicted PPIs'!V100+'Predicted PPIs'!V99)))*IF(F$73=".", 1, (F100/F99)^(('Summary, PPI''s'!$F100+'Summary, PPI''s'!$F99)/('Predicted PPIs'!V100+'Predicted PPIs'!V99)))*IF(G$73=".", 1, (G100/G99)^(('Summary, PPI''s'!$G100+'Summary, PPI''s'!$G99)/('Predicted PPIs'!V100+'Predicted PPIs'!V99)))*IF(H$73=".", 1, (H100/H99)^(('Summary, PPI''s'!$H100+'Summary, PPI''s'!$H99)/('Predicted PPIs'!V100+'Predicted PPIs'!V99)))*IF(I$73=".", 1, (I100/I99)^(('Summary, PPI''s'!$I100+'Summary, PPI''s'!$I99)/('Predicted PPIs'!V100+'Predicted PPIs'!V99)))*IF(J$73=".", 1, (J100/J99)^(('Summary, PPI''s'!$J100+'Summary, PPI''s'!$J99)/('Predicted PPIs'!V100+'Predicted PPIs'!V99)))*IF(K$73=".", 1, (K100/K99)^(('Summary, PPI''s'!$K100+'Summary, PPI''s'!$K99)/('Predicted PPIs'!V100+'Predicted PPIs'!V99)))*IF(L$73=".", 1, (L100/L99)^(('Summary, PPI''s'!$L100+'Summary, PPI''s'!$L99)/('Predicted PPIs'!V100+'Predicted PPIs'!V99)))*IF(M$73=".", 1, (M100/M99)^(('Summary, PPI''s'!$M100+'Summary, PPI''s'!$M99)/('Predicted PPIs'!V100+'Predicted PPIs'!V99)))*IF(B$73=".", 1, (B100/B99)^(('Summary, PPI''s'!$B100+'Summary, PPI''s'!$B99)/('Predicted PPIs'!V100+'Predicted PPIs'!V99)))*IF(C$73=".", 1, (C100/C99)^(('Summary, PPI''s'!$C100+'Summary, PPI''s'!$C99)/('Predicted PPIs'!V100+'Predicted PPIs'!V99)))*IF(D$73=".", 1, (D100/D99)^(('Summary, PPI''s'!$D100+'Summary, PPI''s'!$D99)/('Predicted PPIs'!V100+'Predicted PPIs'!V99)))*IF(N$73=".", 1, (N100/N99)^(('Summary, PPI''s'!$N100+'Summary, PPI''s'!$N99)/('Predicted PPIs'!V100+'Predicted PPIs'!V99)))*IF(O$73=".", 1, (O100/O99)^(('Summary, PPI''s'!$O100+'Summary, PPI''s'!$O99)/('Predicted PPIs'!V100+'Predicted PPIs'!V99)))*IF(P$73=".", 1, (P100/P99)^(('Summary, PPI''s'!$P100+'Summary, PPI''s'!$P99)/('Predicted PPIs'!V100+'Predicted PPIs'!V99)))</f>
        <v>#VALUE!</v>
      </c>
      <c r="AE100" s="4" t="e">
        <f>AE99*IF(E$94=".", 1, (E100/E99)^(('Summary, PPI''s'!$E100+'Summary, PPI''s'!$E99)/('Predicted PPIs'!W100+'Predicted PPIs'!W99)))*IF(F$94=".", 1, (F100/F99)^(('Summary, PPI''s'!$F100+'Summary, PPI''s'!$F99)/('Predicted PPIs'!W100+'Predicted PPIs'!W99)))*IF(G$94=".", 1, (G100/G99)^(('Summary, PPI''s'!$G100+'Summary, PPI''s'!$G99)/('Predicted PPIs'!W100+'Predicted PPIs'!W99)))*IF(H$94=".", 1, (H100/H99)^(('Summary, PPI''s'!$H100+'Summary, PPI''s'!$H99)/('Predicted PPIs'!W100+'Predicted PPIs'!W99)))*IF(I$94=".", 1, (I100/I99)^(('Summary, PPI''s'!$I100+'Summary, PPI''s'!$I99)/('Predicted PPIs'!W100+'Predicted PPIs'!W99)))*IF(J$94=".", 1, (J100/J99)^(('Summary, PPI''s'!$J100+'Summary, PPI''s'!$J99)/('Predicted PPIs'!W100+'Predicted PPIs'!W99)))*IF(K$94=".", 1, (K100/K99)^(('Summary, PPI''s'!$K100+'Summary, PPI''s'!$K99)/('Predicted PPIs'!W100+'Predicted PPIs'!W99)))*IF(L$94=".", 1, (L100/L99)^(('Summary, PPI''s'!$L100+'Summary, PPI''s'!$L99)/('Predicted PPIs'!W100+'Predicted PPIs'!W99)))*IF(M$94=".", 1, (M100/M99)^(('Summary, PPI''s'!$M100+'Summary, PPI''s'!$M99)/('Predicted PPIs'!W100+'Predicted PPIs'!W99)))*IF(B$94=".", 1, (B100/B99)^(('Summary, PPI''s'!$B100+'Summary, PPI''s'!$B99)/('Predicted PPIs'!W100+'Predicted PPIs'!W99)))*IF(C$94=".", 1, (C100/C99)^(('Summary, PPI''s'!$C100+'Summary, PPI''s'!$C99)/('Predicted PPIs'!W100+'Predicted PPIs'!W99)))*IF(D$94=".", 1, (D100/D99)^(('Summary, PPI''s'!$D100+'Summary, PPI''s'!$D99)/('Predicted PPIs'!W100+'Predicted PPIs'!W99)))*IF(N$94=".", 1, (N100/N99)^(('Summary, PPI''s'!$N100+'Summary, PPI''s'!$N99)/('Predicted PPIs'!W100+'Predicted PPIs'!W99)))*IF(O$94=".", 1, (O100/O99)^(('Summary, PPI''s'!$O100+'Summary, PPI''s'!$O99)/('Predicted PPIs'!W100+'Predicted PPIs'!W99)))*IF(P$94=".", 1, (P100/P99)^(('Summary, PPI''s'!$P100+'Summary, PPI''s'!$P99)/('Predicted PPIs'!W100+'Predicted PPIs'!W99)))</f>
        <v>#VALUE!</v>
      </c>
      <c r="AF100" s="4">
        <f>AF99*IF(E$123=".", 1, (E100/E99)^(('Summary, PPI''s'!$E100+'Summary, PPI''s'!$E99)/('Predicted PPIs'!X100+'Predicted PPIs'!X99)))*IF(F$123=".", 1, (F100/F99)^(('Summary, PPI''s'!$F100+'Summary, PPI''s'!$F99)/('Predicted PPIs'!X100+'Predicted PPIs'!X99)))*IF(G$123=".", 1, (G100/G99)^(('Summary, PPI''s'!$G100+'Summary, PPI''s'!$G99)/('Predicted PPIs'!X100+'Predicted PPIs'!X99)))*IF(H$123=".", 1, (H100/H99)^(('Summary, PPI''s'!$H100+'Summary, PPI''s'!$H99)/('Predicted PPIs'!X100+'Predicted PPIs'!X99)))*IF(I$123=".", 1, (I100/I99)^(('Summary, PPI''s'!$I100+'Summary, PPI''s'!$I99)/('Predicted PPIs'!X100+'Predicted PPIs'!X99)))*IF(J$123=".", 1, (J100/J99)^(('Summary, PPI''s'!$J100+'Summary, PPI''s'!$J99)/('Predicted PPIs'!X100+'Predicted PPIs'!X99)))*IF(K$123=".", 1, (K100/K99)^(('Summary, PPI''s'!$K100+'Summary, PPI''s'!$K99)/('Predicted PPIs'!X100+'Predicted PPIs'!X99)))*IF(L$123=".", 1, (L100/L99)^(('Summary, PPI''s'!$L100+'Summary, PPI''s'!$L99)/('Predicted PPIs'!X100+'Predicted PPIs'!X99)))*IF(M$123=".", 1, (M100/M99)^(('Summary, PPI''s'!$M100+'Summary, PPI''s'!$M99)/('Predicted PPIs'!X100+'Predicted PPIs'!X99)))*IF(B$123=".", 1, (B100/B99)^(('Summary, PPI''s'!$B100+'Summary, PPI''s'!$B99)/('Predicted PPIs'!X100+'Predicted PPIs'!X99)))*IF(C$123=".", 1, (C100/C99)^(('Summary, PPI''s'!$C100+'Summary, PPI''s'!$C99)/('Predicted PPIs'!X100+'Predicted PPIs'!X99)))*IF(D$123=".", 1, (D100/D99)^(('Summary, PPI''s'!$D100+'Summary, PPI''s'!$D99)/('Predicted PPIs'!X100+'Predicted PPIs'!X99)))*IF(N$123=".", 1, (N100/N99)^(('Summary, PPI''s'!$N100+'Summary, PPI''s'!$N99)/('Predicted PPIs'!X100+'Predicted PPIs'!X99)))*IF(O$123=".", 1, (O100/O99)^(('Summary, PPI''s'!$O100+'Summary, PPI''s'!$O99)/('Predicted PPIs'!X100+'Predicted PPIs'!X99)))*IF(P$123=".", 1, (P100/P99)^(('Summary, PPI''s'!$P100+'Summary, PPI''s'!$P99)/('Predicted PPIs'!X100+'Predicted PPIs'!X99)))</f>
        <v>4.5362962179554058</v>
      </c>
      <c r="AH100" s="13">
        <f t="shared" ref="AH100:AH123" si="212">IF(A100&gt;(A$26-0.01),AH99*Z100/Z99,IF(A100&gt;(A$36-0.01),AH99*AA100/AA99,IF(A100&gt;(A$46-0.01),AH99*AB100/AB99,IF(A100&gt;(A$60-0.01), AH99*AC100/AC99,IF(A100&gt;(A$73-0.01),AH99*AD100/AD99,IF(A100&gt;(A$94-0.01),AH99*AE100/AE99,AH99*AF100/AF99))))))</f>
        <v>6.4780892070508349</v>
      </c>
      <c r="AJ100" s="4">
        <f t="shared" si="207"/>
        <v>62.275934619079521</v>
      </c>
      <c r="AK100" s="4">
        <f t="shared" si="191"/>
        <v>-1.3782774677323411</v>
      </c>
      <c r="AL100" s="4">
        <f t="shared" si="192"/>
        <v>-4.7213848106557945</v>
      </c>
      <c r="AM100" s="4">
        <f t="shared" si="193"/>
        <v>-0.73459855694082177</v>
      </c>
      <c r="AN100" s="4">
        <f t="shared" si="176"/>
        <v>83.047401385171526</v>
      </c>
      <c r="AO100" s="4">
        <v>15.5</v>
      </c>
      <c r="AP100" s="4">
        <f t="shared" si="177"/>
        <v>-1.433957219251337</v>
      </c>
      <c r="AQ100" s="4">
        <f t="shared" si="178"/>
        <v>-2.710842245989304</v>
      </c>
      <c r="AR100" s="4">
        <f t="shared" si="210"/>
        <v>-2.2159562072255557E-4</v>
      </c>
      <c r="AS100" s="4">
        <f t="shared" si="208"/>
        <v>-0.45551151691222252</v>
      </c>
      <c r="AT100" s="4">
        <f t="shared" si="194"/>
        <v>9.6103574879227072</v>
      </c>
      <c r="AU100" s="4">
        <f t="shared" si="195"/>
        <v>15.824628019323674</v>
      </c>
      <c r="AV100" s="4">
        <f t="shared" si="196"/>
        <v>12.307584541062802</v>
      </c>
      <c r="AW100" s="4">
        <f t="shared" si="197"/>
        <v>6.8821159420289861</v>
      </c>
      <c r="AX100" s="4">
        <f t="shared" si="198"/>
        <v>9.1541501560032223</v>
      </c>
      <c r="AY100" s="4">
        <f t="shared" si="199"/>
        <v>10.764096618357488</v>
      </c>
      <c r="AZ100" s="4">
        <f t="shared" si="200"/>
        <v>3.6793526570048307</v>
      </c>
      <c r="BA100" s="4">
        <f t="shared" si="201"/>
        <v>9.9670241545893727</v>
      </c>
      <c r="BB100" s="4">
        <f t="shared" si="202"/>
        <v>57.008921282275693</v>
      </c>
      <c r="BC100" s="4">
        <f t="shared" si="203"/>
        <v>9.3425990338164251</v>
      </c>
      <c r="BD100" s="5">
        <f>'[2]Ordinary Experience'!$AD$326</f>
        <v>214</v>
      </c>
      <c r="BE100" s="5">
        <f>'[2]Ordinary Experience'!$AC$326</f>
        <v>1.8817550524446875</v>
      </c>
      <c r="BG100" s="4">
        <f t="shared" si="172"/>
        <v>6.702927922383191</v>
      </c>
      <c r="BI100" s="4">
        <f>BI$13*'[2]Ordinary Experience'!$D$326/'[2]Ordinary Experience'!$D$413</f>
        <v>110887557.12368011</v>
      </c>
      <c r="BJ100" s="4">
        <f>'[2]Ordinary Experience'!$E$326</f>
        <v>31.060123849920302</v>
      </c>
      <c r="BL100" s="4">
        <f t="shared" si="211"/>
        <v>22.123149944691779</v>
      </c>
      <c r="BM100" s="4">
        <f t="shared" si="153"/>
        <v>-0.11323890450178931</v>
      </c>
      <c r="BO100" s="4" t="str">
        <f>IF(OR('Summary, hourly ad costs'!R100=-9999,'Summary, PPI''s'!R100="."),".",(('Summary, hourly ad costs'!B100/'Summary, hourly ad costs'!R100)*100/('Summary, hourly ad costs'!B$11/'Summary, hourly ad costs'!R$11))/('Summary, PPI''s'!R100))</f>
        <v>.</v>
      </c>
      <c r="BP100" s="4" t="str">
        <f>IF(OR('Summary, hourly ad costs'!S100=-9999,'Summary, PPI''s'!S100="."),".",(('Summary, hourly ad costs'!C100/'Summary, hourly ad costs'!S100)*100/('Summary, hourly ad costs'!C$11/'Summary, hourly ad costs'!S$11))/('Summary, PPI''s'!S100))</f>
        <v>.</v>
      </c>
      <c r="BQ100" s="4" t="str">
        <f>IF(OR('Summary, hourly ad costs'!T100=-9999,'Summary, PPI''s'!T100="."),".",(('Summary, hourly ad costs'!D100/'Summary, hourly ad costs'!T100)*100/('Summary, hourly ad costs'!D$11/'Summary, hourly ad costs'!T$11))/('Summary, PPI''s'!T100))</f>
        <v>.</v>
      </c>
      <c r="BR100" s="4" t="str">
        <f>IF(OR('Summary, hourly ad costs'!U100=-9999,'Summary, PPI''s'!U100="."),".",(('Summary, hourly ad costs'!E100/'Summary, hourly ad costs'!U100)*100/('Summary, hourly ad costs'!E$11/'Summary, hourly ad costs'!U$11))/('Summary, PPI''s'!U100))</f>
        <v>.</v>
      </c>
      <c r="BS100" s="4" t="str">
        <f>IF(OR('Summary, hourly ad costs'!V100=-9999,'Summary, PPI''s'!V100="."),".",(('Summary, hourly ad costs'!F100/'Summary, hourly ad costs'!V100)*100/('Summary, hourly ad costs'!F$11/'Summary, hourly ad costs'!V$11))/('Summary, PPI''s'!V100))</f>
        <v>.</v>
      </c>
      <c r="BT100" s="4" t="str">
        <f>IF(OR('Summary, hourly ad costs'!W100=-9999,'Summary, PPI''s'!W100="."),".",(('Summary, hourly ad costs'!G100/'Summary, hourly ad costs'!W100)*100/('Summary, hourly ad costs'!G$11/'Summary, hourly ad costs'!W$11))/('Summary, PPI''s'!W100))</f>
        <v>.</v>
      </c>
      <c r="BU100" s="4" t="str">
        <f>IF(OR('Summary, hourly ad costs'!X100=-9999,'Summary, PPI''s'!X100="."),".",(('Summary, hourly ad costs'!H100/'Summary, hourly ad costs'!X100)*100/('Summary, hourly ad costs'!H$11/'Summary, hourly ad costs'!X$11))/('Summary, PPI''s'!X100))</f>
        <v>.</v>
      </c>
      <c r="BV100" s="4" t="str">
        <f>IF(OR('Summary, hourly ad costs'!Y100=-9999,'Summary, PPI''s'!Y100="."),".",(('Summary, hourly ad costs'!I100/'Summary, hourly ad costs'!Y100)*100/('Summary, hourly ad costs'!I$11/'Summary, hourly ad costs'!Y$11))/('Summary, PPI''s'!Y100))</f>
        <v>.</v>
      </c>
      <c r="BW100" s="4" t="str">
        <f>IF(OR('Summary, hourly ad costs'!Z100=-9999,'Summary, PPI''s'!Z100="."),".",(('Summary, hourly ad costs'!J100/'Summary, hourly ad costs'!Z100)*100/('Summary, hourly ad costs'!J$11/'Summary, hourly ad costs'!Z$11))/('Summary, PPI''s'!Z100))</f>
        <v>.</v>
      </c>
      <c r="BX100" s="4" t="str">
        <f>IF(OR('Summary, hourly ad costs'!AA100=-9999,'Summary, PPI''s'!AA100="."),".",(('Summary, hourly ad costs'!K100/'Summary, hourly ad costs'!AA100)*100/('Summary, hourly ad costs'!K$11/'Summary, hourly ad costs'!AA$11))/('Summary, PPI''s'!AA100))</f>
        <v>.</v>
      </c>
      <c r="BY100" s="4" t="str">
        <f>IF(OR('Summary, hourly ad costs'!AB100=-9999,'Summary, PPI''s'!AB100="."),".",(('Summary, hourly ad costs'!L100/'Summary, hourly ad costs'!AB100)*100/('Summary, hourly ad costs'!L$11/'Summary, hourly ad costs'!AB$11))/('Summary, PPI''s'!AB100))</f>
        <v>.</v>
      </c>
      <c r="BZ100" s="4" t="str">
        <f>IF(OR('Summary, hourly ad costs'!AC100=-9999,'Summary, PPI''s'!AC100="."),".",(('Summary, hourly ad costs'!M100/'Summary, hourly ad costs'!AC100)*100/('Summary, hourly ad costs'!M$11/'Summary, hourly ad costs'!AC$11))/('Summary, PPI''s'!AC100))</f>
        <v>.</v>
      </c>
      <c r="CA100" s="4" t="str">
        <f>IF(OR('Summary, hourly ad costs'!AD100=-9999,'Summary, PPI''s'!AD100="."),".",(('Summary, hourly ad costs'!N100/'Summary, hourly ad costs'!AD100)*100/('Summary, hourly ad costs'!N$11/'Summary, hourly ad costs'!AD$11))/('Summary, PPI''s'!AD100))</f>
        <v>.</v>
      </c>
      <c r="CB100" s="4" t="str">
        <f>IF(OR('Summary, hourly ad costs'!AE100=-9999,'Summary, PPI''s'!AE100="."),".",(('Summary, hourly ad costs'!O100/'Summary, hourly ad costs'!AE100)*100/('Summary, hourly ad costs'!O$11/'Summary, hourly ad costs'!AE$11))/('Summary, PPI''s'!AE100))</f>
        <v>.</v>
      </c>
      <c r="CC100" s="4" t="str">
        <f>IF(OR('Summary, hourly ad costs'!AF100=-9999,'Summary, PPI''s'!AF100="."),".",(('Summary, hourly ad costs'!P100/'Summary, hourly ad costs'!AF100)*100/('Summary, hourly ad costs'!P$11/'Summary, hourly ad costs'!AF$11))/('Summary, PPI''s'!AF100))</f>
        <v>.</v>
      </c>
      <c r="CE100" s="4">
        <f t="shared" si="183"/>
        <v>-0.13899557690580824</v>
      </c>
      <c r="CF100" s="4" t="str">
        <f t="shared" si="184"/>
        <v>.</v>
      </c>
      <c r="CG100" s="4" t="str">
        <f t="shared" si="185"/>
        <v>.</v>
      </c>
      <c r="CH100" s="4">
        <f t="shared" si="145"/>
        <v>-0.1675489514007209</v>
      </c>
      <c r="CI100" s="4">
        <f t="shared" si="145"/>
        <v>-0.18858562345378552</v>
      </c>
      <c r="CJ100" s="4" t="str">
        <f t="shared" si="209"/>
        <v>.</v>
      </c>
      <c r="CK100" s="4">
        <f t="shared" si="149"/>
        <v>1.0949035763823865E-2</v>
      </c>
      <c r="CL100" s="4">
        <f t="shared" si="130"/>
        <v>-0.1321070705565599</v>
      </c>
      <c r="CM100" s="4">
        <f t="shared" si="130"/>
        <v>-3.6685284055375501E-2</v>
      </c>
      <c r="CN100" s="4">
        <f t="shared" si="204"/>
        <v>-0.14765679477529561</v>
      </c>
      <c r="CO100" s="4">
        <f t="shared" si="180"/>
        <v>-0.7498494943034375</v>
      </c>
      <c r="CP100" s="4">
        <f t="shared" si="180"/>
        <v>0.49074531667429555</v>
      </c>
      <c r="CQ100" s="4" t="str">
        <f t="shared" si="173"/>
        <v>.</v>
      </c>
      <c r="CR100" s="4" t="str">
        <f t="shared" si="174"/>
        <v>.</v>
      </c>
      <c r="CS100" s="4" t="str">
        <f t="shared" si="175"/>
        <v>.</v>
      </c>
      <c r="CU100" s="5">
        <f>IF(CU99=".", ".", IF('Summary, PPI''s'!R100=".",IF(OR('Summary, hourly ad costs'!R100=-9999,'Summary, hourly ad costs'!R100=0), ".", 'Predicted PPIs'!CU99*('Summary, hourly ad costs'!B100/'Summary, hourly ad costs'!R100)/('Summary, hourly ad costs'!B99/'Summary, hourly ad costs'!R99)/(1-CE99)), 'Summary, PPI''s'!R100))</f>
        <v>35.594688548088563</v>
      </c>
      <c r="CV100" s="5" t="str">
        <f>IF(CV99=".", ".", IF('Summary, PPI''s'!S100=".",IF(OR('Summary, hourly ad costs'!S100=-9999,'Summary, hourly ad costs'!S100=0), ".", 'Predicted PPIs'!CV99*('Summary, hourly ad costs'!C100/'Summary, hourly ad costs'!S100)/('Summary, hourly ad costs'!C99/'Summary, hourly ad costs'!S99)/(1-CF99)), 'Summary, PPI''s'!S100))</f>
        <v>.</v>
      </c>
      <c r="CW100" s="5" t="str">
        <f>IF(CW99=".", ".", IF('Summary, PPI''s'!T100=".",IF(OR('Summary, hourly ad costs'!T100=-9999,'Summary, hourly ad costs'!T100=0), ".", 'Predicted PPIs'!CW99*('Summary, hourly ad costs'!D100/'Summary, hourly ad costs'!T100)/('Summary, hourly ad costs'!D99/'Summary, hourly ad costs'!T99)/(1-CG99)), 'Summary, PPI''s'!T100))</f>
        <v>.</v>
      </c>
      <c r="CX100" s="5">
        <f>IF(CX99=".", ".", IF('Summary, PPI''s'!U100=".",IF(OR('Summary, hourly ad costs'!U100=-9999,'Summary, hourly ad costs'!U100=0), ".", 'Predicted PPIs'!CX99*('Summary, hourly ad costs'!E100/'Summary, hourly ad costs'!U100)/('Summary, hourly ad costs'!E99/'Summary, hourly ad costs'!U99)/(1-CH99)), 'Summary, PPI''s'!U100))</f>
        <v>2.9157532988062358</v>
      </c>
      <c r="CY100" s="5">
        <f>IF(CY99=".", ".", IF('Summary, PPI''s'!V100=".",IF(OR('Summary, hourly ad costs'!V100=-9999,'Summary, hourly ad costs'!V100=0), ".", 'Predicted PPIs'!CY99*('Summary, hourly ad costs'!F100/'Summary, hourly ad costs'!V100)/('Summary, hourly ad costs'!F99/'Summary, hourly ad costs'!V99)/(1-CI99)), 'Summary, PPI''s'!V100))</f>
        <v>5.2978131180476105</v>
      </c>
      <c r="CZ100" s="5" t="str">
        <f>IF(CZ99=".", ".", IF('Summary, PPI''s'!W100=".",IF(OR('Summary, hourly ad costs'!W100=-9999,'Summary, hourly ad costs'!W100=0), ".", 'Predicted PPIs'!CZ99*('Summary, hourly ad costs'!G100/'Summary, hourly ad costs'!W100)/('Summary, hourly ad costs'!G99/'Summary, hourly ad costs'!W99)/(1-CJ99)), 'Summary, PPI''s'!W100))</f>
        <v>.</v>
      </c>
      <c r="DA100" s="5">
        <f>IF(DA99=".", ".", IF('Summary, PPI''s'!X100=".",IF(OR('Summary, hourly ad costs'!X100=-9999,'Summary, hourly ad costs'!X100=0), ".", 'Predicted PPIs'!DA99*('Summary, hourly ad costs'!H100/'Summary, hourly ad costs'!X100)/('Summary, hourly ad costs'!H99/'Summary, hourly ad costs'!X99)/(1-CK99)), 'Summary, PPI''s'!X100))</f>
        <v>2.3034552644583628</v>
      </c>
      <c r="DB100" s="5" t="str">
        <f>IF(DB99=".", ".", IF('Summary, PPI''s'!Y100=".",IF(OR('Summary, hourly ad costs'!Y100=-9999,'Summary, hourly ad costs'!Y100=0), ".", 'Predicted PPIs'!DB99*('Summary, hourly ad costs'!I100/'Summary, hourly ad costs'!Y100)/('Summary, hourly ad costs'!I99/'Summary, hourly ad costs'!Y99)/(1-CL99)), 'Summary, PPI''s'!Y100))</f>
        <v>.</v>
      </c>
      <c r="DC100" s="5" t="str">
        <f>IF(DC99=".", ".", IF('Summary, PPI''s'!Z100=".",IF(OR('Summary, hourly ad costs'!Z100=-9999,'Summary, hourly ad costs'!Z100=0), ".", 'Predicted PPIs'!DC99*('Summary, hourly ad costs'!J100/'Summary, hourly ad costs'!Z100)/('Summary, hourly ad costs'!J99/'Summary, hourly ad costs'!Z99)/(1-CM99)), 'Summary, PPI''s'!Z100))</f>
        <v>.</v>
      </c>
      <c r="DD100" s="5" t="str">
        <f>IF(DD99=".", ".", IF('Summary, PPI''s'!AA100=".",IF(OR('Summary, hourly ad costs'!AA100=-9999,'Summary, hourly ad costs'!AA100=0), ".", 'Predicted PPIs'!DD99*('Summary, hourly ad costs'!K100/'Summary, hourly ad costs'!AA100)/('Summary, hourly ad costs'!K99/'Summary, hourly ad costs'!AA99)/(1-CN99)), 'Summary, PPI''s'!AA100))</f>
        <v>.</v>
      </c>
      <c r="DE100" s="5" t="str">
        <f>IF(DE99=".", ".", IF('Summary, PPI''s'!AB100=".",IF(OR('Summary, hourly ad costs'!AB100=-9999,'Summary, hourly ad costs'!AB100=0), ".", 'Predicted PPIs'!DE99*('Summary, hourly ad costs'!L100/'Summary, hourly ad costs'!AB100)/('Summary, hourly ad costs'!L99/'Summary, hourly ad costs'!AB99)/(1-CO99)), 'Summary, PPI''s'!AB100))</f>
        <v>.</v>
      </c>
      <c r="DF100" s="5" t="str">
        <f>IF(DF99=".", ".", IF('Summary, PPI''s'!AC100=".",IF(OR('Summary, hourly ad costs'!AC100=-9999,'Summary, hourly ad costs'!AC100=0), ".", 'Predicted PPIs'!DF99*('Summary, hourly ad costs'!M100/'Summary, hourly ad costs'!AC100)/('Summary, hourly ad costs'!M99/'Summary, hourly ad costs'!AC99)/(1-CP99)), 'Summary, PPI''s'!AC100))</f>
        <v>.</v>
      </c>
      <c r="DG100" s="5" t="str">
        <f>IF(DG99=".", ".", IF('Summary, PPI''s'!AD100=".",IF(OR('Summary, hourly ad costs'!AD100=-9999,'Summary, hourly ad costs'!AD100=0), ".", 'Predicted PPIs'!DG99*('Summary, hourly ad costs'!N100/'Summary, hourly ad costs'!AD100)/('Summary, hourly ad costs'!N99/'Summary, hourly ad costs'!AD99)/(1-CQ99)), 'Summary, PPI''s'!AD100))</f>
        <v>.</v>
      </c>
      <c r="DH100" s="5" t="str">
        <f>IF(DH99=".", ".", IF('Summary, PPI''s'!AE100=".",IF(OR('Summary, hourly ad costs'!AE100=-9999,'Summary, hourly ad costs'!AE100=0), ".", 'Predicted PPIs'!DH99*('Summary, hourly ad costs'!O100/'Summary, hourly ad costs'!AE100)/('Summary, hourly ad costs'!O99/'Summary, hourly ad costs'!AE99)/(1-CR99)), 'Summary, PPI''s'!AE100))</f>
        <v>.</v>
      </c>
      <c r="DI100" s="5" t="str">
        <f>IF(DI99=".", ".", IF('Summary, PPI''s'!AF100=".",IF(OR('Summary, hourly ad costs'!AF100=-9999,'Summary, hourly ad costs'!AF100=0), ".", 'Predicted PPIs'!DI99*('Summary, hourly ad costs'!P100/'Summary, hourly ad costs'!AF100)/('Summary, hourly ad costs'!P99/'Summary, hourly ad costs'!AF99)/(1-CS99)), 'Summary, PPI''s'!AF100))</f>
        <v>.</v>
      </c>
      <c r="DK100" s="4">
        <f t="shared" si="205"/>
        <v>2.4062273684210522</v>
      </c>
      <c r="DM100" s="5">
        <f t="shared" si="186"/>
        <v>4.4076971752372573E-2</v>
      </c>
      <c r="DN100" s="4">
        <f t="shared" si="187"/>
        <v>2.2963369604133629E-3</v>
      </c>
      <c r="DO100" s="4">
        <f t="shared" si="181"/>
        <v>-2.3625182193410699E-2</v>
      </c>
      <c r="DP100" s="5">
        <f t="shared" si="188"/>
        <v>3.5831066175019854E-2</v>
      </c>
      <c r="DQ100" s="5">
        <f t="shared" si="189"/>
        <v>0.29275367730226054</v>
      </c>
      <c r="DR100" s="4">
        <f t="shared" si="146"/>
        <v>-2.6961768053989178E-2</v>
      </c>
      <c r="DS100" s="5">
        <f t="shared" si="190"/>
        <v>0.12941387892249478</v>
      </c>
      <c r="DT100" s="4">
        <f t="shared" si="206"/>
        <v>9.2447799894269586E-2</v>
      </c>
      <c r="DU100" s="4">
        <f t="shared" si="171"/>
        <v>-7.6762469498525152E-2</v>
      </c>
      <c r="DV100" s="4">
        <f t="shared" si="131"/>
        <v>5.0769324103507431E-3</v>
      </c>
      <c r="DW100" s="4">
        <f t="shared" si="182"/>
        <v>0.31049414013657467</v>
      </c>
      <c r="DX100" s="4">
        <f t="shared" si="182"/>
        <v>-0.75193350027133354</v>
      </c>
      <c r="DY100" s="4">
        <f t="shared" si="108"/>
        <v>-3.4738948834186982E-2</v>
      </c>
      <c r="DZ100" s="4">
        <f t="shared" si="132"/>
        <v>-2.9681021172265433E-2</v>
      </c>
      <c r="EA100" s="4">
        <f t="shared" si="109"/>
        <v>-2.1091030705105179E-2</v>
      </c>
      <c r="EC100" s="1">
        <f t="shared" ref="EC100:EC123" si="213">IF(CU100=".", EC99*$DK100/$DK99/(1-DM99), CU100)</f>
        <v>35.594688548088563</v>
      </c>
      <c r="ED100" s="1">
        <f t="shared" ref="ED100:ED123" si="214">IF(CV100=".", ED99*$DK100/$DK99/(1-DN99), CV100)</f>
        <v>3.0868277804075799</v>
      </c>
      <c r="EE100" s="1">
        <f t="shared" ref="EE100:EE123" si="215">IF(CW100=".", EE99*$DK100/$DK99/(1-DO99), CW100)</f>
        <v>1.7391652536210533</v>
      </c>
      <c r="EF100" s="1">
        <f t="shared" ref="EF100:EF123" si="216">IF(CX100=".", EF99*$DK100/$DK99/(1-DP99), CX100)</f>
        <v>2.9157532988062358</v>
      </c>
      <c r="EG100" s="1">
        <f t="shared" ref="EG100:EG123" si="217">IF(CY100=".", EG99*$DK100/$DK99/(1-DQ99), CY100)</f>
        <v>5.2978131180476105</v>
      </c>
      <c r="EH100" s="1">
        <f t="shared" ref="EH100:EH123" si="218">IF(CZ100=".", EH99*$DK100/$DK99/(1-DR99), CZ100)</f>
        <v>2.2417646568330327</v>
      </c>
      <c r="EI100" s="1">
        <f t="shared" ref="EI100:EI123" si="219">IF(DA100=".", EI99*$DK100/$DK99/(1-DS99), DA100)</f>
        <v>2.3034552644583628</v>
      </c>
      <c r="EJ100" s="1">
        <f t="shared" ref="EJ100:EJ123" si="220">IF(DB100=".", EJ99*$DK100/$DK99/(1-DT99), DB100)</f>
        <v>3.0547135869090489</v>
      </c>
      <c r="EK100" s="1">
        <f t="shared" ref="EK100:EK123" si="221">IF(DC100=".", EK99*$DK100/$DK99/(1-DU99), DC100)</f>
        <v>6.1660552275258445</v>
      </c>
      <c r="EL100" s="1">
        <f t="shared" ref="EL100:EL123" si="222">IF(DD100=".", EL99*$DK100/$DK99/(1-DV99), DD100)</f>
        <v>1.9781811801634053</v>
      </c>
      <c r="EM100" s="1">
        <f t="shared" ref="EM100:EM123" si="223">IF(DE100=".", EM99*$DK100/$DK99/(1-DW99), DE100)</f>
        <v>0.1151222383709745</v>
      </c>
      <c r="EN100" s="1">
        <f t="shared" ref="EN100:EN123" si="224">IF(DF100=".", EN99*$DK100/$DK99/(1-DX99), DF100)</f>
        <v>1.4693783126139235</v>
      </c>
      <c r="EO100" s="1">
        <f t="shared" ref="EO100:EO123" si="225">IF(DG100=".", EO99*$DK100/$DK99/(1-DY99), DG100)</f>
        <v>1.2572087533165501</v>
      </c>
      <c r="EP100" s="1">
        <f t="shared" ref="EP100:EP123" si="226">IF(DH100=".", EP99*$DK100/$DK99/(1-DZ99), DH100)</f>
        <v>2.1520252807810794</v>
      </c>
      <c r="EQ100" s="1">
        <f t="shared" ref="EQ100:EQ123" si="227">IF(DI100=".", EQ99*$DK100/$DK99/(1-EA99), DI100)</f>
        <v>1.6980464701083395</v>
      </c>
      <c r="ES100" s="1">
        <f>IF(EF$26=".", 0, 'Summary, PPI''s'!E100)+IF(EG$26=".", 0, 'Summary, PPI''s'!F100)+IF(EH$26=".", 0, 'Summary, PPI''s'!G100)+IF(EI$26=".", 0, 'Summary, PPI''s'!H100)+IF(EJ$26=".", 0, 'Summary, PPI''s'!I100)+IF(EK$26=".", 0, 'Summary, PPI''s'!J100)+IF(EL$26=".", 0, 'Summary, PPI''s'!K100)+IF(EM$26=".", 0, 'Summary, PPI''s'!L100)+IF(EN$26=".", 0, 'Summary, PPI''s'!M100)+IF(EC$26=".", 0, 'Summary, PPI''s'!B100)+IF(ED$26=".", 0, 'Summary, PPI''s'!C100)+IF(EE$26=".", 0, 'Summary, PPI''s'!D100)+IF(EO$26=".", 0, 'Summary, PPI''s'!N100)+IF(EP$26=".", 0, 'Summary, PPI''s'!O100)+IF(EQ$26=".", 0, 'Summary, PPI''s'!P100)</f>
        <v>1961303.8315655836</v>
      </c>
      <c r="ET100" s="1">
        <f>'Summary, hourly ad costs'!E100+'Summary, hourly ad costs'!F100+'Summary, hourly ad costs'!H100+'Summary, hourly ad costs'!I100+'Summary, hourly ad costs'!J100+'Summary, hourly ad costs'!K100+'Summary, hourly ad costs'!L100+'Summary, hourly ad costs'!M100+'Summary, hourly ad costs'!B100</f>
        <v>1244698.4332816391</v>
      </c>
      <c r="EV100" s="13">
        <f>EV99*IF(EF$26=".", 1, (EF100/EF99)^(('Summary, PPI''s'!$E100+'Summary, PPI''s'!$E99)/('Predicted PPIs'!ES100+'Predicted PPIs'!ES99)))*IF(EG$26=".", 1, (EG100/EG99)^(('Summary, PPI''s'!$F100+'Summary, PPI''s'!$F99)/('Predicted PPIs'!ES100+'Predicted PPIs'!ES99)))*IF(EH$26=".", 1, (EH100/EH99)^(('Summary, PPI''s'!$G100+'Summary, PPI''s'!$G99)/('Predicted PPIs'!ES100+'Predicted PPIs'!ES99)))*IF(EI$26=".", 1, (EI100/EI99)^(('Summary, PPI''s'!$H100+'Summary, PPI''s'!$H99)/('Predicted PPIs'!ES100+'Predicted PPIs'!ES99)))*IF(EJ$26=".", 1, (EJ100/EJ99)^(('Summary, PPI''s'!$I100+'Summary, PPI''s'!$I99)/('Predicted PPIs'!ES100+'Predicted PPIs'!ES99)))*IF(EK$26=".", 1, (EK100/EK99)^(('Summary, PPI''s'!$J100+'Summary, PPI''s'!$J99)/('Predicted PPIs'!ES100+'Predicted PPIs'!ES99)))*IF(EL$26=".", 1, (EL100/EL99)^(('Summary, PPI''s'!$K100+'Summary, PPI''s'!$K99)/('Predicted PPIs'!ES100+'Predicted PPIs'!ES99)))*IF(EM$26=".", 1, (EM100/EM99)^(('Summary, PPI''s'!$L100+'Summary, PPI''s'!$L99)/('Predicted PPIs'!ES100+'Predicted PPIs'!ES99)))*IF(EN$26=".", 1, (EN100/EN99)^(('Summary, PPI''s'!$M100+'Summary, PPI''s'!$M99)/('Predicted PPIs'!ES100+'Predicted PPIs'!ES99)))*IF(EC$26=".", 1, (EC100/EC99)^(('Summary, PPI''s'!$B100+'Summary, PPI''s'!$B99)/('Predicted PPIs'!ES100+'Predicted PPIs'!ES99)))*IF(ED$26=".", 1, (ED100/ED99)^(('Summary, PPI''s'!$C100+'Summary, PPI''s'!$C99)/('Predicted PPIs'!ES100+'Predicted PPIs'!ES99)))*IF(EE$26=".", 1, (EE100/EE99)^(('Summary, PPI''s'!$D100+'Summary, PPI''s'!$D99)/('Predicted PPIs'!ES100+'Predicted PPIs'!ES99)))*IF(EO$26=".", 1, (EO100/EO99)^(('Summary, PPI''s'!$N100+'Summary, PPI''s'!$N99)/('Predicted PPIs'!ES100+'Predicted PPIs'!ES99)))*IF(EP$26=".", 1, (EP100/EP99)^(('Summary, PPI''s'!$O100+'Summary, PPI''s'!$O99)/('Predicted PPIs'!ES100+'Predicted PPIs'!ES99)))*IF(EQ$26=".", 1, (EQ100/EQ99)^(('Summary, PPI''s'!$P100+'Summary, PPI''s'!$P99)/('Predicted PPIs'!ES100+'Predicted PPIs'!ES99)))</f>
        <v>4.1635500313924814</v>
      </c>
      <c r="EW100" s="13">
        <f>EW99*IF(EF$26=".", 1, (EF100/EF99)^(('Summary, PPI''s'!$E100+'Summary, PPI''s'!$E99)/('Predicted PPIs'!ET100+'Predicted PPIs'!ET99)))*IF(EG$26=".", 1, (EG100/EG99)^(('Summary, PPI''s'!$F100+'Summary, PPI''s'!$F99)/('Predicted PPIs'!ET100+'Predicted PPIs'!ET99)))*IF(EH$26=".", 1, (EH100/EH99)^(('Summary, PPI''s'!$G100+'Summary, PPI''s'!$G99)/('Predicted PPIs'!ET100+'Predicted PPIs'!ET99)))*IF(EK$26=".", 1, (EK100/EK99)^(('Summary, PPI''s'!$J100+'Summary, PPI''s'!$J99)/('Predicted PPIs'!ET100+'Predicted PPIs'!ET99)))*IF(EL$26=".", 1, (EL100/EL99)^(('Summary, PPI''s'!$K100+'Summary, PPI''s'!$K99)/('Predicted PPIs'!ET100+'Predicted PPIs'!ET99)))*IF(EM$26=".", 1, (EM100/EM99)^(('Summary, PPI''s'!$L100+'Summary, PPI''s'!$L99)/('Predicted PPIs'!ET100+'Predicted PPIs'!ET99)))*IF(EN$26=".", 1, (EN100/EN99)^(('Summary, PPI''s'!$M100+'Summary, PPI''s'!$M99)/('Predicted PPIs'!ET100+'Predicted PPIs'!ET99)))*IF(EC$26=".", 1, (EC100/EC99)^(('Summary, PPI''s'!$B100+'Summary, PPI''s'!$B99)/('Predicted PPIs'!ET100+'Predicted PPIs'!ET99)))</f>
        <v>8.5068603711416841</v>
      </c>
      <c r="EY100" s="2"/>
    </row>
    <row r="101" spans="1:155" x14ac:dyDescent="0.3">
      <c r="A101" s="4">
        <v>1922</v>
      </c>
      <c r="B101" s="10">
        <f>IF(B100=".", ".", IF('Summary, PPI''s'!R101=".",IF(OR('Summary, hourly ad costs'!R101=-9999,'Summary, hourly ad costs'!R101=0), ".", 'Predicted PPIs'!B100*('Summary, hourly ad costs'!B101/'Summary, hourly ad costs'!R101)/('Summary, hourly ad costs'!B100/'Summary, hourly ad costs'!R100)), 'Summary, PPI''s'!R101))</f>
        <v>62.944309637780869</v>
      </c>
      <c r="C101" s="10" t="str">
        <f>IF(C100=".", ".", IF('Summary, PPI''s'!S101=".",IF(OR('Summary, hourly ad costs'!S101=-9999,'Summary, hourly ad costs'!S101=0), ".", 'Predicted PPIs'!C100*('Summary, hourly ad costs'!C101/'Summary, hourly ad costs'!S101)/('Summary, hourly ad costs'!C100/'Summary, hourly ad costs'!S100)), 'Summary, PPI''s'!S101))</f>
        <v>.</v>
      </c>
      <c r="D101" s="10" t="str">
        <f>IF(D100=".", ".", IF('Summary, PPI''s'!T101=".",IF(OR('Summary, hourly ad costs'!T101=-9999,'Summary, hourly ad costs'!T101=0), ".", 'Predicted PPIs'!D100*('Summary, hourly ad costs'!D101/'Summary, hourly ad costs'!T101)/('Summary, hourly ad costs'!D100/'Summary, hourly ad costs'!T100)), 'Summary, PPI''s'!T101))</f>
        <v>.</v>
      </c>
      <c r="E101" s="10">
        <f>IF(E100=".", ".", IF('Summary, PPI''s'!U101=".",IF(OR('Summary, hourly ad costs'!U101=-9999,'Summary, hourly ad costs'!U101=0), ".", 'Predicted PPIs'!E100*('Summary, hourly ad costs'!E101/'Summary, hourly ad costs'!U101)/('Summary, hourly ad costs'!E100/'Summary, hourly ad costs'!U100)), 'Summary, PPI''s'!U101))</f>
        <v>2.617165204185401</v>
      </c>
      <c r="F101" s="10">
        <f>IF(F100=".", ".", IF('Summary, PPI''s'!V101=".",IF(OR('Summary, hourly ad costs'!V101=-9999,'Summary, hourly ad costs'!V101=0), ".", 'Predicted PPIs'!F100*('Summary, hourly ad costs'!F101/'Summary, hourly ad costs'!V101)/('Summary, hourly ad costs'!F100/'Summary, hourly ad costs'!V100)), 'Summary, PPI''s'!V101))</f>
        <v>3.4987337852378557</v>
      </c>
      <c r="G101" s="10" t="str">
        <f>IF(G100=".", ".", IF('Summary, PPI''s'!W101=".",IF(OR('Summary, hourly ad costs'!W101=-9999,'Summary, hourly ad costs'!W101=0), ".", 'Predicted PPIs'!G100*('Summary, hourly ad costs'!G101/'Summary, hourly ad costs'!W101)/('Summary, hourly ad costs'!G100/'Summary, hourly ad costs'!W100)), 'Summary, PPI''s'!W101))</f>
        <v>.</v>
      </c>
      <c r="H101" s="10">
        <f>IF(H100=".", ".", IF('Summary, PPI''s'!X101=".",IF(OR('Summary, hourly ad costs'!X101=-9999,'Summary, hourly ad costs'!X101=0), ".", 'Predicted PPIs'!H100*('Summary, hourly ad costs'!H101/'Summary, hourly ad costs'!X101)/('Summary, hourly ad costs'!H100/'Summary, hourly ad costs'!X100)), 'Summary, PPI''s'!X101))</f>
        <v>1.6542639988232379</v>
      </c>
      <c r="I101" s="10" t="str">
        <f>IF(I100=".", ".", IF('Summary, PPI''s'!Y101=".",IF(OR('Summary, hourly ad costs'!Y101=-9999,'Summary, hourly ad costs'!Y101=0), ".", 'Predicted PPIs'!I100*('Summary, hourly ad costs'!I101/'Summary, hourly ad costs'!Y101)/('Summary, hourly ad costs'!I100/'Summary, hourly ad costs'!Y100)), 'Summary, PPI''s'!Y101))</f>
        <v>.</v>
      </c>
      <c r="J101" s="10" t="str">
        <f>IF(J100=".", ".", IF('Summary, PPI''s'!Z101=".",IF(OR('Summary, hourly ad costs'!Z101=-9999,'Summary, hourly ad costs'!Z101=0), ".", 'Predicted PPIs'!J100*('Summary, hourly ad costs'!J101/'Summary, hourly ad costs'!Z101)/('Summary, hourly ad costs'!J100/'Summary, hourly ad costs'!Z100)), 'Summary, PPI''s'!Z101))</f>
        <v>.</v>
      </c>
      <c r="K101" s="10" t="str">
        <f>IF(K100=".", ".", IF('Summary, PPI''s'!AA101=".",IF(OR('Summary, hourly ad costs'!AA101=-9999,'Summary, hourly ad costs'!AA101=0), ".", 'Predicted PPIs'!K100*('Summary, hourly ad costs'!K101/'Summary, hourly ad costs'!AA101)/('Summary, hourly ad costs'!K100/'Summary, hourly ad costs'!AA100)), 'Summary, PPI''s'!AA101))</f>
        <v>.</v>
      </c>
      <c r="L101" s="10" t="str">
        <f>IF(L100=".", ".", IF('Summary, PPI''s'!AB101=".",IF(OR('Summary, hourly ad costs'!AB101=-9999,'Summary, hourly ad costs'!AB101=0), ".", 'Predicted PPIs'!L100*('Summary, hourly ad costs'!L101/'Summary, hourly ad costs'!AB101)/('Summary, hourly ad costs'!L100/'Summary, hourly ad costs'!AB100)), 'Summary, PPI''s'!AB101))</f>
        <v>.</v>
      </c>
      <c r="M101" s="10" t="str">
        <f>IF(M100=".", ".", IF('Summary, PPI''s'!AC101=".",IF(OR('Summary, hourly ad costs'!AC101=-9999,'Summary, hourly ad costs'!AC101=0), ".", 'Predicted PPIs'!M100*('Summary, hourly ad costs'!M101/'Summary, hourly ad costs'!AC101)/('Summary, hourly ad costs'!M100/'Summary, hourly ad costs'!AC100)), 'Summary, PPI''s'!AC101))</f>
        <v>.</v>
      </c>
      <c r="N101" s="10" t="str">
        <f>IF(N100=".", ".", IF('Summary, PPI''s'!AD101=".",IF(OR('Summary, hourly ad costs'!AD101=-9999,'Summary, hourly ad costs'!AD101=0), ".", 'Predicted PPIs'!N100*('Summary, hourly ad costs'!N101/'Summary, hourly ad costs'!AD101)/('Summary, hourly ad costs'!N100/'Summary, hourly ad costs'!AD100)), 'Summary, PPI''s'!AD101))</f>
        <v>.</v>
      </c>
      <c r="O101" s="10" t="str">
        <f>IF(O100=".", ".", IF('Summary, PPI''s'!AE101=".",IF(OR('Summary, hourly ad costs'!AE101=-9999,'Summary, hourly ad costs'!AE101=0), ".", 'Predicted PPIs'!O100*('Summary, hourly ad costs'!O101/'Summary, hourly ad costs'!AE101)/('Summary, hourly ad costs'!O100/'Summary, hourly ad costs'!AE100)), 'Summary, PPI''s'!AE101))</f>
        <v>.</v>
      </c>
      <c r="P101" s="10" t="str">
        <f>IF(P100=".", ".", IF('Summary, PPI''s'!AF101=".",IF(OR('Summary, hourly ad costs'!AF101=-9999,'Summary, hourly ad costs'!AF101=0), ".", 'Predicted PPIs'!P100*('Summary, hourly ad costs'!P101/'Summary, hourly ad costs'!AF101)/('Summary, hourly ad costs'!P100/'Summary, hourly ad costs'!AF100)), 'Summary, PPI''s'!AF101))</f>
        <v>.</v>
      </c>
      <c r="R101" s="1">
        <f>IF(E$26=".", 0, 'Summary, PPI''s'!E101)+IF(F$26=".", 0, 'Summary, PPI''s'!F101)+IF(G$26=".", 0, 'Summary, PPI''s'!G101)+IF(H$26=".", 0, 'Summary, PPI''s'!H101)+IF(I$26=".", 0, 'Summary, PPI''s'!I101)+IF(J$26=".", 0, 'Summary, PPI''s'!J101)+IF(K$26=".", 0, 'Summary, PPI''s'!K101)+IF(L$26=".", 0, 'Summary, PPI''s'!L101)+IF(M$26=".", 0, 'Summary, PPI''s'!M101)+IF(B$26=".", 0, 'Summary, PPI''s'!B101)+IF(C$26=".", 0, 'Summary, PPI''s'!C101)+IF(D$26=".", 0, 'Summary, PPI''s'!D101)+IF(N$26=".", 0, 'Summary, PPI''s'!N101)+IF(O$26=".", 0, 'Summary, PPI''s'!O101)+IF(P$26=".", 0, 'Summary, PPI''s'!P101)</f>
        <v>1788008.8016709357</v>
      </c>
      <c r="S101" s="1">
        <f>IF(E$36=".", 0, 'Summary, PPI''s'!E101)+IF(F$36=".", 0, 'Summary, PPI''s'!F101)+IF(G$36=".", 0, 'Summary, PPI''s'!G101)+IF(H$36=".", 0, 'Summary, PPI''s'!H101)+IF(I$36=".", 0, 'Summary, PPI''s'!I101)+IF(J$36=".", 0, 'Summary, PPI''s'!J101)+IF(K$36=".", 0, 'Summary, PPI''s'!K101)+IF(L$36=".", 0, 'Summary, PPI''s'!L101)+IF(M$36=".", 0, 'Summary, PPI''s'!M101)+IF(B$36=".", 0, 'Summary, PPI''s'!B101)+IF(C$36=".", 0, 'Summary, PPI''s'!C101)+IF(D$36=".", 0, 'Summary, PPI''s'!D101)+IF(N$36=".", 0, 'Summary, PPI''s'!N101)+IF(O$36=".", 0, 'Summary, PPI''s'!O101)+IF(P$36=".", 0, 'Summary, PPI''s'!P101)</f>
        <v>1788008.8016709357</v>
      </c>
      <c r="T101" s="1">
        <f>IF(E$46=".", 0, 'Summary, PPI''s'!E101)+IF(F$46=".", 0, 'Summary, PPI''s'!F101)+IF(G$46=".", 0, 'Summary, PPI''s'!G101)+IF(H$46=".", 0, 'Summary, PPI''s'!H101)+IF(I$46=".", 0, 'Summary, PPI''s'!I101)+IF(J$46=".", 0, 'Summary, PPI''s'!J101)+IF(K$46=".", 0, 'Summary, PPI''s'!K101)+IF(L$46=".", 0, 'Summary, PPI''s'!L101)+IF(M$46=".", 0, 'Summary, PPI''s'!M101)+IF(B$46=".", 0, 'Summary, PPI''s'!B101)+IF(C$46=".", 0, 'Summary, PPI''s'!C101)+IF(D$46=".", 0, 'Summary, PPI''s'!D101)+IF(N$46=".", 0, 'Summary, PPI''s'!N101)+IF(O$46=".", 0, 'Summary, PPI''s'!O101)+IF(P$46=".", 0, 'Summary, PPI''s'!P101)</f>
        <v>1552952.8373782055</v>
      </c>
      <c r="U101" s="1">
        <f>IF(E$60=".", 0, 'Summary, PPI''s'!E101)+IF(F$60=".", 0, 'Summary, PPI''s'!F101)+IF(G$60=".", 0, 'Summary, PPI''s'!G101)+IF(H$60=".", 0, 'Summary, PPI''s'!H101)+IF(I$60=".", 0, 'Summary, PPI''s'!I101)+IF(J$60=".", 0, 'Summary, PPI''s'!J101)+IF(K$60=".", 0, 'Summary, PPI''s'!K101)+IF(L$60=".", 0, 'Summary, PPI''s'!L101)+IF(M$60=".", 0, 'Summary, PPI''s'!M101)+IF(B$60=".", 0, 'Summary, PPI''s'!B101)+IF(C$60=".", 0, 'Summary, PPI''s'!C101)+IF(D$60=".", 0, 'Summary, PPI''s'!D101)+IF(N$60=".", 0, 'Summary, PPI''s'!N101)+IF(O$60=".", 0, 'Summary, PPI''s'!O101)+IF(P$60=".", 0, 'Summary, PPI''s'!P101)</f>
        <v>1455317.7780684219</v>
      </c>
      <c r="V101" s="1">
        <f>IF(E$73=".", 0, 'Summary, PPI''s'!E101)+IF(F$73=".", 0, 'Summary, PPI''s'!F101)+IF(G$73=".", 0, 'Summary, PPI''s'!G101)+IF(H$73=".", 0, 'Summary, PPI''s'!H101)+IF(I$73=".", 0, 'Summary, PPI''s'!I101)+IF(J$73=".", 0, 'Summary, PPI''s'!J101)+IF(K$73=".", 0, 'Summary, PPI''s'!K101)+IF(L$73=".", 0, 'Summary, PPI''s'!L101)+IF(M$73=".", 0, 'Summary, PPI''s'!M101)+IF(B$73=".", 0, 'Summary, PPI''s'!B101)+IF(C$73=".", 0, 'Summary, PPI''s'!C101)+IF(D$73=".", 0, 'Summary, PPI''s'!D101)+IF(N$73=".", 0, 'Summary, PPI''s'!N101)+IF(O$73=".", 0, 'Summary, PPI''s'!O101)+IF(P$73=".", 0, 'Summary, PPI''s'!P101)</f>
        <v>1138561.7418045299</v>
      </c>
      <c r="W101" s="1">
        <f>IF(E$94=".",0,'Summary, PPI''s'!E101)+IF(F$94=".",0,'Summary, PPI''s'!F101)+IF(G$94=".",0,'Summary, PPI''s'!G101)+IF(H$94=".",0,'Summary, PPI''s'!H101)+IF(I$94=".",0,'Summary, PPI''s'!I101)+IF(J$94=".",0,'Summary, PPI''s'!J101)+IF(K$94=".",0,'Summary, PPI''s'!K101)+IF(L$94=".",0,'Summary, PPI''s'!L101)+IF(M$94=".",0,'Summary, PPI''s'!M101)+IF(B$94=".",0,'Summary, PPI''s'!B101)+IF(C$94=".",0,'Summary, PPI''s'!C101)+IF(D$94=".",0,'Summary, PPI''s'!D101)+IF(N$94=".",0,'Summary, PPI''s'!N101)+IF(O$94=".",0,'Summary, PPI''s'!O101)+IF(P$94=".",0,'Summary, PPI''s'!P101)</f>
        <v>1138561.7418045299</v>
      </c>
      <c r="X101" s="1">
        <f>IF(E$123=".", 0, 'Summary, PPI''s'!E101)+IF(F$123=".", 0, 'Summary, PPI''s'!F101)+IF(G$123=".", 0, 'Summary, PPI''s'!G101)+IF(H$123=".", 0, 'Summary, PPI''s'!H101)+IF(I$123=".", 0, 'Summary, PPI''s'!I101)+IF(J$123=".", 0, 'Summary, PPI''s'!J101)+IF(K$123=".", 0, 'Summary, PPI''s'!K101)+IF(L$123=".", 0, 'Summary, PPI''s'!L101)+IF(M$123=".", 0, 'Summary, PPI''s'!M101)+IF(B$123=".", 0, 'Summary, PPI''s'!B101)+IF(C$123=".", 0, 'Summary, PPI''s'!C101)+IF(D$123=".", 0, 'Summary, PPI''s'!D101)+IF(N$123=".", 0, 'Summary, PPI''s'!N101)+IF(O$123=".", 0, 'Summary, PPI''s'!O101)+IF(P$123=".", 0, 'Summary, PPI''s'!P101)</f>
        <v>1138561.7418045299</v>
      </c>
      <c r="Z101" s="4" t="e">
        <f>Z100*IF(E$26=".", 1, (E101/E100)^(('Summary, PPI''s'!$E101+'Summary, PPI''s'!$E100)/('Predicted PPIs'!R101+'Predicted PPIs'!R100)))*IF(F$26=".", 1, (F101/F100)^(('Summary, PPI''s'!$F101+'Summary, PPI''s'!$F100)/('Predicted PPIs'!R101+'Predicted PPIs'!R100)))*IF(G$26=".", 1, (G101/G100)^(('Summary, PPI''s'!$G101+'Summary, PPI''s'!$G100)/('Predicted PPIs'!R101+'Predicted PPIs'!R100)))*IF(H$26=".", 1, (H101/H100)^(('Summary, PPI''s'!$H101+'Summary, PPI''s'!$H100)/('Predicted PPIs'!R101+'Predicted PPIs'!R100)))*IF(I$26=".", 1, (I101/I100)^(('Summary, PPI''s'!$I101+'Summary, PPI''s'!$I100)/('Predicted PPIs'!R101+'Predicted PPIs'!R100)))*IF(J$26=".", 1, (J101/J100)^(('Summary, PPI''s'!$J101+'Summary, PPI''s'!$J100)/('Predicted PPIs'!R101+'Predicted PPIs'!R100)))*IF(K$26=".", 1, (K101/K100)^(('Summary, PPI''s'!$K101+'Summary, PPI''s'!$K100)/('Predicted PPIs'!R101+'Predicted PPIs'!R100)))*IF(L$26=".", 1, (L101/L100)^(('Summary, PPI''s'!$L101+'Summary, PPI''s'!$L100)/('Predicted PPIs'!R101+'Predicted PPIs'!R100)))*IF(M$26=".", 1, (M101/M100)^(('Summary, PPI''s'!$M101+'Summary, PPI''s'!$M100)/('Predicted PPIs'!R101+'Predicted PPIs'!R100)))*IF(B$26=".", 1, (B101/B100)^(('Summary, PPI''s'!$B101+'Summary, PPI''s'!$B100)/('Predicted PPIs'!R101+'Predicted PPIs'!R100)))*IF(C$26=".", 1, (C101/C100)^(('Summary, PPI''s'!$C101+'Summary, PPI''s'!$C100)/('Predicted PPIs'!R101+'Predicted PPIs'!R100)))*IF(D$26=".", 1, (D101/D100)^(('Summary, PPI''s'!$D101+'Summary, PPI''s'!$D100)/('Predicted PPIs'!R101+'Predicted PPIs'!R100)))*IF(N$26=".", 1, (N101/N100)^(('Summary, PPI''s'!$N101+'Summary, PPI''s'!$N100)/('Predicted PPIs'!R101+'Predicted PPIs'!R100)))*IF(O$26=".", 1, (O101/O100)^(('Summary, PPI''s'!$O101+'Summary, PPI''s'!$O100)/('Predicted PPIs'!R101+'Predicted PPIs'!R100)))*IF(P$26=".", 1, (P101/P100)^(('Summary, PPI''s'!$P101+'Summary, PPI''s'!$P100)/('Predicted PPIs'!R101+'Predicted PPIs'!R100)))</f>
        <v>#VALUE!</v>
      </c>
      <c r="AA101" s="4" t="e">
        <f>AA100*IF(E$36=".", 1, (E101/E100)^(('Summary, PPI''s'!$E101+'Summary, PPI''s'!$E100)/('Predicted PPIs'!S101+'Predicted PPIs'!S100)))*IF(F$36=".", 1, (F101/F100)^(('Summary, PPI''s'!$F101+'Summary, PPI''s'!$F100)/('Predicted PPIs'!S101+'Predicted PPIs'!S100)))*IF(G$36=".", 1, (G101/G100)^(('Summary, PPI''s'!$G101+'Summary, PPI''s'!$G100)/('Predicted PPIs'!S101+'Predicted PPIs'!S100)))*IF(H$36=".", 1, (H101/H100)^(('Summary, PPI''s'!$H101+'Summary, PPI''s'!$H100)/('Predicted PPIs'!S101+'Predicted PPIs'!S100)))*IF(I$36=".", 1, (I101/I100)^(('Summary, PPI''s'!$I101+'Summary, PPI''s'!$I100)/('Predicted PPIs'!S101+'Predicted PPIs'!S100)))*IF(J$36=".", 1, (J101/J100)^(('Summary, PPI''s'!$J101+'Summary, PPI''s'!$J100)/('Predicted PPIs'!S101+'Predicted PPIs'!S100)))*IF(K$36=".", 1, (K101/K100)^(('Summary, PPI''s'!$K101+'Summary, PPI''s'!$K100)/('Predicted PPIs'!S101+'Predicted PPIs'!S100)))*IF(L$36=".", 1, (L101/L100)^(('Summary, PPI''s'!$L101+'Summary, PPI''s'!$L100)/('Predicted PPIs'!S101+'Predicted PPIs'!S100)))*IF(M$36=".", 1, (M101/M100)^(('Summary, PPI''s'!$M101+'Summary, PPI''s'!$M100)/('Predicted PPIs'!S101+'Predicted PPIs'!S100)))*IF(B$36=".", 1, (B101/B100)^(('Summary, PPI''s'!$B101+'Summary, PPI''s'!$B100)/('Predicted PPIs'!S101+'Predicted PPIs'!S100)))*IF(C$36=".", 1, (C101/C100)^(('Summary, PPI''s'!$C101+'Summary, PPI''s'!$C100)/('Predicted PPIs'!S101+'Predicted PPIs'!S100)))*IF(D$36=".", 1, (D101/D100)^(('Summary, PPI''s'!$D101+'Summary, PPI''s'!$D100)/('Predicted PPIs'!S101+'Predicted PPIs'!S100)))*IF(N$36=".", 1, (N101/N100)^(('Summary, PPI''s'!$N101+'Summary, PPI''s'!$N100)/('Predicted PPIs'!S101+'Predicted PPIs'!S100)))*IF(O$36=".", 1, (O101/O100)^(('Summary, PPI''s'!$O101+'Summary, PPI''s'!$O100)/('Predicted PPIs'!S101+'Predicted PPIs'!S100)))*IF(P$36=".", 1, (P101/P100)^(('Summary, PPI''s'!$P101+'Summary, PPI''s'!$P100)/('Predicted PPIs'!S101+'Predicted PPIs'!S100)))</f>
        <v>#VALUE!</v>
      </c>
      <c r="AB101" s="4" t="e">
        <f>AB100*IF(E$46=".", 1, (E101/E100)^(('Summary, PPI''s'!$E101+'Summary, PPI''s'!$E100)/('Predicted PPIs'!T101+'Predicted PPIs'!T100)))*IF(F$46=".", 1, (F101/F100)^(('Summary, PPI''s'!$F101+'Summary, PPI''s'!$F100)/('Predicted PPIs'!T101+'Predicted PPIs'!T100)))*IF(G$46=".", 1, (G101/G100)^(('Summary, PPI''s'!$G101+'Summary, PPI''s'!$G100)/('Predicted PPIs'!T101+'Predicted PPIs'!T100)))*IF(H$46=".", 1, (H101/H100)^(('Summary, PPI''s'!$H101+'Summary, PPI''s'!$H100)/('Predicted PPIs'!T101+'Predicted PPIs'!T100)))*IF(I$46=".", 1, (I101/I100)^(('Summary, PPI''s'!$I101+'Summary, PPI''s'!$I100)/('Predicted PPIs'!T101+'Predicted PPIs'!T100)))*IF(J$46=".", 1, (J101/J100)^(('Summary, PPI''s'!$J101+'Summary, PPI''s'!$J100)/('Predicted PPIs'!T101+'Predicted PPIs'!T100)))*IF(K$46=".", 1, (K101/K100)^(('Summary, PPI''s'!$K101+'Summary, PPI''s'!$K100)/('Predicted PPIs'!T101+'Predicted PPIs'!T100)))*IF(L$46=".", 1, (L101/L100)^(('Summary, PPI''s'!$L101+'Summary, PPI''s'!$L100)/('Predicted PPIs'!T101+'Predicted PPIs'!T100)))*IF(M$46=".", 1, (M101/M100)^(('Summary, PPI''s'!$M101+'Summary, PPI''s'!$M100)/('Predicted PPIs'!T101+'Predicted PPIs'!T100)))*IF(B$46=".", 1, (B101/B100)^(('Summary, PPI''s'!$B101+'Summary, PPI''s'!$B100)/('Predicted PPIs'!T101+'Predicted PPIs'!T100)))*IF(C$46=".", 1, (C101/C100)^(('Summary, PPI''s'!$C101+'Summary, PPI''s'!$C100)/('Predicted PPIs'!T101+'Predicted PPIs'!T100)))*IF(D$46=".", 1, (D101/D100)^(('Summary, PPI''s'!$D101+'Summary, PPI''s'!$D100)/('Predicted PPIs'!T101+'Predicted PPIs'!T100)))*IF(N$46=".", 1, (N101/N100)^(('Summary, PPI''s'!$N101+'Summary, PPI''s'!$N100)/('Predicted PPIs'!T101+'Predicted PPIs'!T100)))*IF(O$46=".", 1, (O101/O100)^(('Summary, PPI''s'!$O101+'Summary, PPI''s'!$O100)/('Predicted PPIs'!T101+'Predicted PPIs'!T100)))*IF(P$46=".", 1, (P101/P100)^(('Summary, PPI''s'!$P101+'Summary, PPI''s'!$P100)/('Predicted PPIs'!T101+'Predicted PPIs'!T100)))</f>
        <v>#VALUE!</v>
      </c>
      <c r="AC101" s="4" t="e">
        <f>AC100*IF(E$60=".",1,(E101/E100)^(('Summary, PPI''s'!$E101+'Summary, PPI''s'!$E100)/('Predicted PPIs'!U101+'Predicted PPIs'!U100)))*IF(F$60=".",1,(F101/F100)^(('Summary, PPI''s'!$F101+'Summary, PPI''s'!$F100)/('Predicted PPIs'!U101+'Predicted PPIs'!U100)))*IF(G$60=".",1,(G101/G100)^(('Summary, PPI''s'!$G101+'Summary, PPI''s'!$G100)/('Predicted PPIs'!U101+'Predicted PPIs'!U100)))*IF(H$60=".",1,(H101/H100)^(('Summary, PPI''s'!$H101+'Summary, PPI''s'!$H100)/('Predicted PPIs'!U101+'Predicted PPIs'!U100)))*IF(I$60=".",1,(I101/I100)^(('Summary, PPI''s'!$I101+'Summary, PPI''s'!$I100)/('Predicted PPIs'!U101+'Predicted PPIs'!U100)))*IF(J$60=".",1,(J101/J100)^(('Summary, PPI''s'!$J101+'Summary, PPI''s'!$J100)/('Predicted PPIs'!U101+'Predicted PPIs'!U100)))*IF(K$60=".",1,(K101/K100)^(('Summary, PPI''s'!$K101+'Summary, PPI''s'!$K100)/('Predicted PPIs'!U101+'Predicted PPIs'!U100)))*IF(L$60=".",1,(L101/L100)^(('Summary, PPI''s'!$L101+'Summary, PPI''s'!$L100)/('Predicted PPIs'!U101+'Predicted PPIs'!U100)))*IF(M$60=".",1,(M101/M100)^(('Summary, PPI''s'!$M101+'Summary, PPI''s'!$M100)/('Predicted PPIs'!U101+'Predicted PPIs'!U100)))*IF(B$60=".",1,(B101/B100)^(('Summary, PPI''s'!$B101+'Summary, PPI''s'!$B100)/('Predicted PPIs'!U101+'Predicted PPIs'!U100)))*IF(C$60=".",1,(C101/C100)^(('Summary, PPI''s'!$C101+'Summary, PPI''s'!$C100)/('Predicted PPIs'!U101+'Predicted PPIs'!U100)))*IF(D$60=".",1,(D101/D100)^(('Summary, PPI''s'!$D101+'Summary, PPI''s'!$D100)/('Predicted PPIs'!U101+'Predicted PPIs'!U100)))*IF(N$60=".",1,(N101/N100)^(('Summary, PPI''s'!$N101+'Summary, PPI''s'!$N100)/('Predicted PPIs'!U101+'Predicted PPIs'!U100)))*IF(O$60=".",1,(O101/O100)^(('Summary, PPI''s'!$O101+'Summary, PPI''s'!$O100)/('Predicted PPIs'!U101+'Predicted PPIs'!U100)))*IF(P$60=".",1,(P101/P100)^(('Summary, PPI''s'!$P101+'Summary, PPI''s'!$P100)/('Predicted PPIs'!U101+'Predicted PPIs'!U100)))</f>
        <v>#VALUE!</v>
      </c>
      <c r="AD101" s="4" t="e">
        <f>AD100*IF(E$73=".", 1, (E101/E100)^(('Summary, PPI''s'!$E101+'Summary, PPI''s'!$E100)/('Predicted PPIs'!V101+'Predicted PPIs'!V100)))*IF(F$73=".", 1, (F101/F100)^(('Summary, PPI''s'!$F101+'Summary, PPI''s'!$F100)/('Predicted PPIs'!V101+'Predicted PPIs'!V100)))*IF(G$73=".", 1, (G101/G100)^(('Summary, PPI''s'!$G101+'Summary, PPI''s'!$G100)/('Predicted PPIs'!V101+'Predicted PPIs'!V100)))*IF(H$73=".", 1, (H101/H100)^(('Summary, PPI''s'!$H101+'Summary, PPI''s'!$H100)/('Predicted PPIs'!V101+'Predicted PPIs'!V100)))*IF(I$73=".", 1, (I101/I100)^(('Summary, PPI''s'!$I101+'Summary, PPI''s'!$I100)/('Predicted PPIs'!V101+'Predicted PPIs'!V100)))*IF(J$73=".", 1, (J101/J100)^(('Summary, PPI''s'!$J101+'Summary, PPI''s'!$J100)/('Predicted PPIs'!V101+'Predicted PPIs'!V100)))*IF(K$73=".", 1, (K101/K100)^(('Summary, PPI''s'!$K101+'Summary, PPI''s'!$K100)/('Predicted PPIs'!V101+'Predicted PPIs'!V100)))*IF(L$73=".", 1, (L101/L100)^(('Summary, PPI''s'!$L101+'Summary, PPI''s'!$L100)/('Predicted PPIs'!V101+'Predicted PPIs'!V100)))*IF(M$73=".", 1, (M101/M100)^(('Summary, PPI''s'!$M101+'Summary, PPI''s'!$M100)/('Predicted PPIs'!V101+'Predicted PPIs'!V100)))*IF(B$73=".", 1, (B101/B100)^(('Summary, PPI''s'!$B101+'Summary, PPI''s'!$B100)/('Predicted PPIs'!V101+'Predicted PPIs'!V100)))*IF(C$73=".", 1, (C101/C100)^(('Summary, PPI''s'!$C101+'Summary, PPI''s'!$C100)/('Predicted PPIs'!V101+'Predicted PPIs'!V100)))*IF(D$73=".", 1, (D101/D100)^(('Summary, PPI''s'!$D101+'Summary, PPI''s'!$D100)/('Predicted PPIs'!V101+'Predicted PPIs'!V100)))*IF(N$73=".", 1, (N101/N100)^(('Summary, PPI''s'!$N101+'Summary, PPI''s'!$N100)/('Predicted PPIs'!V101+'Predicted PPIs'!V100)))*IF(O$73=".", 1, (O101/O100)^(('Summary, PPI''s'!$O101+'Summary, PPI''s'!$O100)/('Predicted PPIs'!V101+'Predicted PPIs'!V100)))*IF(P$73=".", 1, (P101/P100)^(('Summary, PPI''s'!$P101+'Summary, PPI''s'!$P100)/('Predicted PPIs'!V101+'Predicted PPIs'!V100)))</f>
        <v>#VALUE!</v>
      </c>
      <c r="AE101" s="4" t="e">
        <f>AE100*IF(E$94=".", 1, (E101/E100)^(('Summary, PPI''s'!$E101+'Summary, PPI''s'!$E100)/('Predicted PPIs'!W101+'Predicted PPIs'!W100)))*IF(F$94=".", 1, (F101/F100)^(('Summary, PPI''s'!$F101+'Summary, PPI''s'!$F100)/('Predicted PPIs'!W101+'Predicted PPIs'!W100)))*IF(G$94=".", 1, (G101/G100)^(('Summary, PPI''s'!$G101+'Summary, PPI''s'!$G100)/('Predicted PPIs'!W101+'Predicted PPIs'!W100)))*IF(H$94=".", 1, (H101/H100)^(('Summary, PPI''s'!$H101+'Summary, PPI''s'!$H100)/('Predicted PPIs'!W101+'Predicted PPIs'!W100)))*IF(I$94=".", 1, (I101/I100)^(('Summary, PPI''s'!$I101+'Summary, PPI''s'!$I100)/('Predicted PPIs'!W101+'Predicted PPIs'!W100)))*IF(J$94=".", 1, (J101/J100)^(('Summary, PPI''s'!$J101+'Summary, PPI''s'!$J100)/('Predicted PPIs'!W101+'Predicted PPIs'!W100)))*IF(K$94=".", 1, (K101/K100)^(('Summary, PPI''s'!$K101+'Summary, PPI''s'!$K100)/('Predicted PPIs'!W101+'Predicted PPIs'!W100)))*IF(L$94=".", 1, (L101/L100)^(('Summary, PPI''s'!$L101+'Summary, PPI''s'!$L100)/('Predicted PPIs'!W101+'Predicted PPIs'!W100)))*IF(M$94=".", 1, (M101/M100)^(('Summary, PPI''s'!$M101+'Summary, PPI''s'!$M100)/('Predicted PPIs'!W101+'Predicted PPIs'!W100)))*IF(B$94=".", 1, (B101/B100)^(('Summary, PPI''s'!$B101+'Summary, PPI''s'!$B100)/('Predicted PPIs'!W101+'Predicted PPIs'!W100)))*IF(C$94=".", 1, (C101/C100)^(('Summary, PPI''s'!$C101+'Summary, PPI''s'!$C100)/('Predicted PPIs'!W101+'Predicted PPIs'!W100)))*IF(D$94=".", 1, (D101/D100)^(('Summary, PPI''s'!$D101+'Summary, PPI''s'!$D100)/('Predicted PPIs'!W101+'Predicted PPIs'!W100)))*IF(N$94=".", 1, (N101/N100)^(('Summary, PPI''s'!$N101+'Summary, PPI''s'!$N100)/('Predicted PPIs'!W101+'Predicted PPIs'!W100)))*IF(O$94=".", 1, (O101/O100)^(('Summary, PPI''s'!$O101+'Summary, PPI''s'!$O100)/('Predicted PPIs'!W101+'Predicted PPIs'!W100)))*IF(P$94=".", 1, (P101/P100)^(('Summary, PPI''s'!$P101+'Summary, PPI''s'!$P100)/('Predicted PPIs'!W101+'Predicted PPIs'!W100)))</f>
        <v>#VALUE!</v>
      </c>
      <c r="AF101" s="4">
        <f>AF100*IF(E$123=".", 1, (E101/E100)^(('Summary, PPI''s'!$E101+'Summary, PPI''s'!$E100)/('Predicted PPIs'!X101+'Predicted PPIs'!X100)))*IF(F$123=".", 1, (F101/F100)^(('Summary, PPI''s'!$F101+'Summary, PPI''s'!$F100)/('Predicted PPIs'!X101+'Predicted PPIs'!X100)))*IF(G$123=".", 1, (G101/G100)^(('Summary, PPI''s'!$G101+'Summary, PPI''s'!$G100)/('Predicted PPIs'!X101+'Predicted PPIs'!X100)))*IF(H$123=".", 1, (H101/H100)^(('Summary, PPI''s'!$H101+'Summary, PPI''s'!$H100)/('Predicted PPIs'!X101+'Predicted PPIs'!X100)))*IF(I$123=".", 1, (I101/I100)^(('Summary, PPI''s'!$I101+'Summary, PPI''s'!$I100)/('Predicted PPIs'!X101+'Predicted PPIs'!X100)))*IF(J$123=".", 1, (J101/J100)^(('Summary, PPI''s'!$J101+'Summary, PPI''s'!$J100)/('Predicted PPIs'!X101+'Predicted PPIs'!X100)))*IF(K$123=".", 1, (K101/K100)^(('Summary, PPI''s'!$K101+'Summary, PPI''s'!$K100)/('Predicted PPIs'!X101+'Predicted PPIs'!X100)))*IF(L$123=".", 1, (L101/L100)^(('Summary, PPI''s'!$L101+'Summary, PPI''s'!$L100)/('Predicted PPIs'!X101+'Predicted PPIs'!X100)))*IF(M$123=".", 1, (M101/M100)^(('Summary, PPI''s'!$M101+'Summary, PPI''s'!$M100)/('Predicted PPIs'!X101+'Predicted PPIs'!X100)))*IF(B$123=".", 1, (B101/B100)^(('Summary, PPI''s'!$B101+'Summary, PPI''s'!$B100)/('Predicted PPIs'!X101+'Predicted PPIs'!X100)))*IF(C$123=".", 1, (C101/C100)^(('Summary, PPI''s'!$C101+'Summary, PPI''s'!$C100)/('Predicted PPIs'!X101+'Predicted PPIs'!X100)))*IF(D$123=".", 1, (D101/D100)^(('Summary, PPI''s'!$D101+'Summary, PPI''s'!$D100)/('Predicted PPIs'!X101+'Predicted PPIs'!X100)))*IF(N$123=".", 1, (N101/N100)^(('Summary, PPI''s'!$N101+'Summary, PPI''s'!$N100)/('Predicted PPIs'!X101+'Predicted PPIs'!X100)))*IF(O$123=".", 1, (O101/O100)^(('Summary, PPI''s'!$O101+'Summary, PPI''s'!$O100)/('Predicted PPIs'!X101+'Predicted PPIs'!X100)))*IF(P$123=".", 1, (P101/P100)^(('Summary, PPI''s'!$P101+'Summary, PPI''s'!$P100)/('Predicted PPIs'!X101+'Predicted PPIs'!X100)))</f>
        <v>4.5530143628611279</v>
      </c>
      <c r="AH101" s="13">
        <f t="shared" si="212"/>
        <v>6.5019636695797578</v>
      </c>
      <c r="AJ101" s="4">
        <f t="shared" si="207"/>
        <v>56.940404746096419</v>
      </c>
      <c r="AK101" s="4">
        <f t="shared" si="191"/>
        <v>-1.2601926786829865</v>
      </c>
      <c r="AL101" s="4">
        <f t="shared" si="192"/>
        <v>-4.3168771970296342</v>
      </c>
      <c r="AM101" s="4">
        <f t="shared" si="193"/>
        <v>-0.67166136347785566</v>
      </c>
      <c r="AN101" s="4">
        <f t="shared" si="176"/>
        <v>75.932263030773427</v>
      </c>
      <c r="AO101" s="4">
        <v>11.8</v>
      </c>
      <c r="AP101" s="4">
        <f t="shared" si="177"/>
        <v>-1.0916577540106953</v>
      </c>
      <c r="AQ101" s="4">
        <f t="shared" si="178"/>
        <v>-2.0637379679144381</v>
      </c>
      <c r="AR101" s="4">
        <f t="shared" si="210"/>
        <v>-1.79097830446997E-4</v>
      </c>
      <c r="AS101" s="4">
        <f t="shared" si="208"/>
        <v>-0.36815314380576891</v>
      </c>
      <c r="AT101" s="4">
        <f t="shared" si="194"/>
        <v>7.8364830917874411</v>
      </c>
      <c r="AU101" s="4">
        <f t="shared" si="195"/>
        <v>12.903727053140098</v>
      </c>
      <c r="AV101" s="4">
        <f t="shared" si="196"/>
        <v>10.035857487922707</v>
      </c>
      <c r="AW101" s="4">
        <f t="shared" si="197"/>
        <v>5.6118188405797103</v>
      </c>
      <c r="AX101" s="4">
        <f t="shared" si="198"/>
        <v>7.4644822533764597</v>
      </c>
      <c r="AY101" s="4">
        <f t="shared" si="199"/>
        <v>8.7772657004830918</v>
      </c>
      <c r="AZ101" s="4">
        <f t="shared" si="200"/>
        <v>3.000219806763285</v>
      </c>
      <c r="BA101" s="4">
        <f t="shared" si="201"/>
        <v>8.1273164251207728</v>
      </c>
      <c r="BB101" s="4">
        <f t="shared" si="202"/>
        <v>46.48624655961266</v>
      </c>
      <c r="BC101" s="4">
        <f t="shared" si="203"/>
        <v>7.6181473429951696</v>
      </c>
      <c r="BD101" s="5">
        <f>'[2]Ordinary Experience'!$AD$325</f>
        <v>174.5</v>
      </c>
      <c r="BE101" s="5">
        <f>'[2]Ordinary Experience'!$AC$325</f>
        <v>1.7521819345924712</v>
      </c>
      <c r="BG101" s="4">
        <f t="shared" si="172"/>
        <v>7.4223615676937822</v>
      </c>
      <c r="BI101" s="4">
        <f>BI$13*'[2]Ordinary Experience'!$D$325/'[2]Ordinary Experience'!$D$413</f>
        <v>109272584.48747437</v>
      </c>
      <c r="BJ101" s="4">
        <f>'[2]Ordinary Experience'!$E$325</f>
        <v>31.30481647499294</v>
      </c>
      <c r="BL101" s="4">
        <f t="shared" si="211"/>
        <v>24.94826403301138</v>
      </c>
      <c r="BM101" s="4">
        <f t="shared" si="153"/>
        <v>0.13168750793121298</v>
      </c>
      <c r="BO101" s="4" t="str">
        <f>IF(OR('Summary, hourly ad costs'!R101=-9999,'Summary, PPI''s'!R101="."),".",(('Summary, hourly ad costs'!B101/'Summary, hourly ad costs'!R101)*100/('Summary, hourly ad costs'!B$11/'Summary, hourly ad costs'!R$11))/('Summary, PPI''s'!R101))</f>
        <v>.</v>
      </c>
      <c r="BP101" s="4" t="str">
        <f>IF(OR('Summary, hourly ad costs'!S101=-9999,'Summary, PPI''s'!S101="."),".",(('Summary, hourly ad costs'!C101/'Summary, hourly ad costs'!S101)*100/('Summary, hourly ad costs'!C$11/'Summary, hourly ad costs'!S$11))/('Summary, PPI''s'!S101))</f>
        <v>.</v>
      </c>
      <c r="BQ101" s="4" t="str">
        <f>IF(OR('Summary, hourly ad costs'!T101=-9999,'Summary, PPI''s'!T101="."),".",(('Summary, hourly ad costs'!D101/'Summary, hourly ad costs'!T101)*100/('Summary, hourly ad costs'!D$11/'Summary, hourly ad costs'!T$11))/('Summary, PPI''s'!T101))</f>
        <v>.</v>
      </c>
      <c r="BR101" s="4" t="str">
        <f>IF(OR('Summary, hourly ad costs'!U101=-9999,'Summary, PPI''s'!U101="."),".",(('Summary, hourly ad costs'!E101/'Summary, hourly ad costs'!U101)*100/('Summary, hourly ad costs'!E$11/'Summary, hourly ad costs'!U$11))/('Summary, PPI''s'!U101))</f>
        <v>.</v>
      </c>
      <c r="BS101" s="4" t="str">
        <f>IF(OR('Summary, hourly ad costs'!V101=-9999,'Summary, PPI''s'!V101="."),".",(('Summary, hourly ad costs'!F101/'Summary, hourly ad costs'!V101)*100/('Summary, hourly ad costs'!F$11/'Summary, hourly ad costs'!V$11))/('Summary, PPI''s'!V101))</f>
        <v>.</v>
      </c>
      <c r="BT101" s="4" t="str">
        <f>IF(OR('Summary, hourly ad costs'!W101=-9999,'Summary, PPI''s'!W101="."),".",(('Summary, hourly ad costs'!G101/'Summary, hourly ad costs'!W101)*100/('Summary, hourly ad costs'!G$11/'Summary, hourly ad costs'!W$11))/('Summary, PPI''s'!W101))</f>
        <v>.</v>
      </c>
      <c r="BU101" s="4" t="str">
        <f>IF(OR('Summary, hourly ad costs'!X101=-9999,'Summary, PPI''s'!X101="."),".",(('Summary, hourly ad costs'!H101/'Summary, hourly ad costs'!X101)*100/('Summary, hourly ad costs'!H$11/'Summary, hourly ad costs'!X$11))/('Summary, PPI''s'!X101))</f>
        <v>.</v>
      </c>
      <c r="BV101" s="4" t="str">
        <f>IF(OR('Summary, hourly ad costs'!Y101=-9999,'Summary, PPI''s'!Y101="."),".",(('Summary, hourly ad costs'!I101/'Summary, hourly ad costs'!Y101)*100/('Summary, hourly ad costs'!I$11/'Summary, hourly ad costs'!Y$11))/('Summary, PPI''s'!Y101))</f>
        <v>.</v>
      </c>
      <c r="BW101" s="4" t="str">
        <f>IF(OR('Summary, hourly ad costs'!Z101=-9999,'Summary, PPI''s'!Z101="."),".",(('Summary, hourly ad costs'!J101/'Summary, hourly ad costs'!Z101)*100/('Summary, hourly ad costs'!J$11/'Summary, hourly ad costs'!Z$11))/('Summary, PPI''s'!Z101))</f>
        <v>.</v>
      </c>
      <c r="BX101" s="4" t="str">
        <f>IF(OR('Summary, hourly ad costs'!AA101=-9999,'Summary, PPI''s'!AA101="."),".",(('Summary, hourly ad costs'!K101/'Summary, hourly ad costs'!AA101)*100/('Summary, hourly ad costs'!K$11/'Summary, hourly ad costs'!AA$11))/('Summary, PPI''s'!AA101))</f>
        <v>.</v>
      </c>
      <c r="BY101" s="4" t="str">
        <f>IF(OR('Summary, hourly ad costs'!AB101=-9999,'Summary, PPI''s'!AB101="."),".",(('Summary, hourly ad costs'!L101/'Summary, hourly ad costs'!AB101)*100/('Summary, hourly ad costs'!L$11/'Summary, hourly ad costs'!AB$11))/('Summary, PPI''s'!AB101))</f>
        <v>.</v>
      </c>
      <c r="BZ101" s="4" t="str">
        <f>IF(OR('Summary, hourly ad costs'!AC101=-9999,'Summary, PPI''s'!AC101="."),".",(('Summary, hourly ad costs'!M101/'Summary, hourly ad costs'!AC101)*100/('Summary, hourly ad costs'!M$11/'Summary, hourly ad costs'!AC$11))/('Summary, PPI''s'!AC101))</f>
        <v>.</v>
      </c>
      <c r="CA101" s="4" t="str">
        <f>IF(OR('Summary, hourly ad costs'!AD101=-9999,'Summary, PPI''s'!AD101="."),".",(('Summary, hourly ad costs'!N101/'Summary, hourly ad costs'!AD101)*100/('Summary, hourly ad costs'!N$11/'Summary, hourly ad costs'!AD$11))/('Summary, PPI''s'!AD101))</f>
        <v>.</v>
      </c>
      <c r="CB101" s="4" t="str">
        <f>IF(OR('Summary, hourly ad costs'!AE101=-9999,'Summary, PPI''s'!AE101="."),".",(('Summary, hourly ad costs'!O101/'Summary, hourly ad costs'!AE101)*100/('Summary, hourly ad costs'!O$11/'Summary, hourly ad costs'!AE$11))/('Summary, PPI''s'!AE101))</f>
        <v>.</v>
      </c>
      <c r="CC101" s="4" t="str">
        <f>IF(OR('Summary, hourly ad costs'!AF101=-9999,'Summary, PPI''s'!AF101="."),".",(('Summary, hourly ad costs'!P101/'Summary, hourly ad costs'!AF101)*100/('Summary, hourly ad costs'!P$11/'Summary, hourly ad costs'!AF$11))/('Summary, PPI''s'!AF101))</f>
        <v>.</v>
      </c>
      <c r="CE101" s="4">
        <f t="shared" si="183"/>
        <v>9.2625705208957965E-2</v>
      </c>
      <c r="CF101" s="4" t="str">
        <f t="shared" si="184"/>
        <v>.</v>
      </c>
      <c r="CG101" s="4" t="str">
        <f t="shared" si="185"/>
        <v>.</v>
      </c>
      <c r="CH101" s="4">
        <f t="shared" si="145"/>
        <v>0.14894897494852627</v>
      </c>
      <c r="CI101" s="4">
        <f t="shared" si="145"/>
        <v>0.17086933628750434</v>
      </c>
      <c r="CJ101" s="4" t="str">
        <f t="shared" si="209"/>
        <v>.</v>
      </c>
      <c r="CK101" s="4">
        <f t="shared" si="149"/>
        <v>-2.9174597015250913E-3</v>
      </c>
      <c r="CL101" s="4">
        <f t="shared" si="130"/>
        <v>0.11916348482391477</v>
      </c>
      <c r="CM101" s="4">
        <f t="shared" si="130"/>
        <v>6.420509159017708E-2</v>
      </c>
      <c r="CN101" s="4">
        <f t="shared" si="204"/>
        <v>0.10581091207868074</v>
      </c>
      <c r="CO101" s="4">
        <f t="shared" si="180"/>
        <v>0.85935619731112567</v>
      </c>
      <c r="CP101" s="4">
        <f t="shared" si="180"/>
        <v>-0.15781588751936571</v>
      </c>
      <c r="CQ101" s="4" t="str">
        <f t="shared" si="173"/>
        <v>.</v>
      </c>
      <c r="CR101" s="4" t="str">
        <f t="shared" si="174"/>
        <v>.</v>
      </c>
      <c r="CS101" s="4" t="str">
        <f t="shared" si="175"/>
        <v>.</v>
      </c>
      <c r="CU101" s="5">
        <f>IF(CU100=".", ".", IF('Summary, PPI''s'!R101=".",IF(OR('Summary, hourly ad costs'!R101=-9999,'Summary, hourly ad costs'!R101=0), ".", 'Predicted PPIs'!CU100*('Summary, hourly ad costs'!B101/'Summary, hourly ad costs'!R101)/('Summary, hourly ad costs'!B100/'Summary, hourly ad costs'!R100)/(1-CE100)), 'Summary, PPI''s'!R101))</f>
        <v>31.744521692491112</v>
      </c>
      <c r="CV101" s="5" t="str">
        <f>IF(CV100=".", ".", IF('Summary, PPI''s'!S101=".",IF(OR('Summary, hourly ad costs'!S101=-9999,'Summary, hourly ad costs'!S101=0), ".", 'Predicted PPIs'!CV100*('Summary, hourly ad costs'!C101/'Summary, hourly ad costs'!S101)/('Summary, hourly ad costs'!C100/'Summary, hourly ad costs'!S100)/(1-CF100)), 'Summary, PPI''s'!S101))</f>
        <v>.</v>
      </c>
      <c r="CW101" s="5" t="str">
        <f>IF(CW100=".", ".", IF('Summary, PPI''s'!T101=".",IF(OR('Summary, hourly ad costs'!T101=-9999,'Summary, hourly ad costs'!T101=0), ".", 'Predicted PPIs'!CW100*('Summary, hourly ad costs'!D101/'Summary, hourly ad costs'!T101)/('Summary, hourly ad costs'!D100/'Summary, hourly ad costs'!T100)/(1-CG100)), 'Summary, PPI''s'!T101))</f>
        <v>.</v>
      </c>
      <c r="CX101" s="5">
        <f>IF(CX100=".", ".", IF('Summary, PPI''s'!U101=".",IF(OR('Summary, hourly ad costs'!U101=-9999,'Summary, hourly ad costs'!U101=0), ".", 'Predicted PPIs'!CX100*('Summary, hourly ad costs'!E101/'Summary, hourly ad costs'!U101)/('Summary, hourly ad costs'!E100/'Summary, hourly ad costs'!U100)/(1-CH100)), 'Summary, PPI''s'!U101))</f>
        <v>2.6210659655990467</v>
      </c>
      <c r="CY101" s="5">
        <f>IF(CY100=".", ".", IF('Summary, PPI''s'!V101=".",IF(OR('Summary, hourly ad costs'!V101=-9999,'Summary, hourly ad costs'!V101=0), ".", 'Predicted PPIs'!CY100*('Summary, hourly ad costs'!F101/'Summary, hourly ad costs'!V101)/('Summary, hourly ad costs'!F100/'Summary, hourly ad costs'!V100)/(1-CI100)), 'Summary, PPI''s'!V101))</f>
        <v>3.8158997813455668</v>
      </c>
      <c r="CZ101" s="5" t="str">
        <f>IF(CZ100=".", ".", IF('Summary, PPI''s'!W101=".",IF(OR('Summary, hourly ad costs'!W101=-9999,'Summary, hourly ad costs'!W101=0), ".", 'Predicted PPIs'!CZ100*('Summary, hourly ad costs'!G101/'Summary, hourly ad costs'!W101)/('Summary, hourly ad costs'!G100/'Summary, hourly ad costs'!W100)/(1-CJ100)), 'Summary, PPI''s'!W101))</f>
        <v>.</v>
      </c>
      <c r="DA101" s="5">
        <f>IF(DA100=".", ".", IF('Summary, PPI''s'!X101=".",IF(OR('Summary, hourly ad costs'!X101=-9999,'Summary, hourly ad costs'!X101=0), ".", 'Predicted PPIs'!DA100*('Summary, hourly ad costs'!H101/'Summary, hourly ad costs'!X101)/('Summary, hourly ad costs'!H100/'Summary, hourly ad costs'!X100)/(1-CK100)), 'Summary, PPI''s'!X101))</f>
        <v>1.8990778547517593</v>
      </c>
      <c r="DB101" s="5" t="str">
        <f>IF(DB100=".", ".", IF('Summary, PPI''s'!Y101=".",IF(OR('Summary, hourly ad costs'!Y101=-9999,'Summary, hourly ad costs'!Y101=0), ".", 'Predicted PPIs'!DB100*('Summary, hourly ad costs'!I101/'Summary, hourly ad costs'!Y101)/('Summary, hourly ad costs'!I100/'Summary, hourly ad costs'!Y100)/(1-CL100)), 'Summary, PPI''s'!Y101))</f>
        <v>.</v>
      </c>
      <c r="DC101" s="5" t="str">
        <f>IF(DC100=".", ".", IF('Summary, PPI''s'!Z101=".",IF(OR('Summary, hourly ad costs'!Z101=-9999,'Summary, hourly ad costs'!Z101=0), ".", 'Predicted PPIs'!DC100*('Summary, hourly ad costs'!J101/'Summary, hourly ad costs'!Z101)/('Summary, hourly ad costs'!J100/'Summary, hourly ad costs'!Z100)/(1-CM100)), 'Summary, PPI''s'!Z101))</f>
        <v>.</v>
      </c>
      <c r="DD101" s="5" t="str">
        <f>IF(DD100=".", ".", IF('Summary, PPI''s'!AA101=".",IF(OR('Summary, hourly ad costs'!AA101=-9999,'Summary, hourly ad costs'!AA101=0), ".", 'Predicted PPIs'!DD100*('Summary, hourly ad costs'!K101/'Summary, hourly ad costs'!AA101)/('Summary, hourly ad costs'!K100/'Summary, hourly ad costs'!AA100)/(1-CN100)), 'Summary, PPI''s'!AA101))</f>
        <v>.</v>
      </c>
      <c r="DE101" s="5" t="str">
        <f>IF(DE100=".", ".", IF('Summary, PPI''s'!AB101=".",IF(OR('Summary, hourly ad costs'!AB101=-9999,'Summary, hourly ad costs'!AB101=0), ".", 'Predicted PPIs'!DE100*('Summary, hourly ad costs'!L101/'Summary, hourly ad costs'!AB101)/('Summary, hourly ad costs'!L100/'Summary, hourly ad costs'!AB100)/(1-CO100)), 'Summary, PPI''s'!AB101))</f>
        <v>.</v>
      </c>
      <c r="DF101" s="5" t="str">
        <f>IF(DF100=".", ".", IF('Summary, PPI''s'!AC101=".",IF(OR('Summary, hourly ad costs'!AC101=-9999,'Summary, hourly ad costs'!AC101=0), ".", 'Predicted PPIs'!DF100*('Summary, hourly ad costs'!M101/'Summary, hourly ad costs'!AC101)/('Summary, hourly ad costs'!M100/'Summary, hourly ad costs'!AC100)/(1-CP100)), 'Summary, PPI''s'!AC101))</f>
        <v>.</v>
      </c>
      <c r="DG101" s="5" t="str">
        <f>IF(DG100=".", ".", IF('Summary, PPI''s'!AD101=".",IF(OR('Summary, hourly ad costs'!AD101=-9999,'Summary, hourly ad costs'!AD101=0), ".", 'Predicted PPIs'!DG100*('Summary, hourly ad costs'!N101/'Summary, hourly ad costs'!AD101)/('Summary, hourly ad costs'!N100/'Summary, hourly ad costs'!AD100)/(1-CQ100)), 'Summary, PPI''s'!AD101))</f>
        <v>.</v>
      </c>
      <c r="DH101" s="5" t="str">
        <f>IF(DH100=".", ".", IF('Summary, PPI''s'!AE101=".",IF(OR('Summary, hourly ad costs'!AE101=-9999,'Summary, hourly ad costs'!AE101=0), ".", 'Predicted PPIs'!DH100*('Summary, hourly ad costs'!O101/'Summary, hourly ad costs'!AE101)/('Summary, hourly ad costs'!O100/'Summary, hourly ad costs'!AE100)/(1-CR100)), 'Summary, PPI''s'!AE101))</f>
        <v>.</v>
      </c>
      <c r="DI101" s="5" t="str">
        <f>IF(DI100=".", ".", IF('Summary, PPI''s'!AF101=".",IF(OR('Summary, hourly ad costs'!AF101=-9999,'Summary, hourly ad costs'!AF101=0), ".", 'Predicted PPIs'!DI100*('Summary, hourly ad costs'!P101/'Summary, hourly ad costs'!AF101)/('Summary, hourly ad costs'!P100/'Summary, hourly ad costs'!AF100)/(1-CS100)), 'Summary, PPI''s'!AF101))</f>
        <v>.</v>
      </c>
      <c r="DK101" s="4">
        <f t="shared" si="205"/>
        <v>2.2405403508771924</v>
      </c>
      <c r="DM101" s="5">
        <f t="shared" si="186"/>
        <v>0.26175568547388894</v>
      </c>
      <c r="DN101" s="4">
        <f t="shared" si="187"/>
        <v>-4.5161314062140689E-2</v>
      </c>
      <c r="DO101" s="4">
        <f t="shared" si="181"/>
        <v>-2.1936291111957801E-2</v>
      </c>
      <c r="DP101" s="5">
        <f t="shared" si="188"/>
        <v>-4.6311882994534037E-2</v>
      </c>
      <c r="DQ101" s="5">
        <f t="shared" si="189"/>
        <v>-0.13624719714458766</v>
      </c>
      <c r="DR101" s="4">
        <f t="shared" si="146"/>
        <v>6.9384561697841199E-3</v>
      </c>
      <c r="DS101" s="5">
        <f t="shared" si="190"/>
        <v>-0.10579506428328589</v>
      </c>
      <c r="DT101" s="4">
        <f t="shared" si="206"/>
        <v>-8.4494603860665679E-2</v>
      </c>
      <c r="DU101" s="4">
        <f t="shared" si="171"/>
        <v>2.1779369038499925E-2</v>
      </c>
      <c r="DV101" s="4">
        <f t="shared" si="131"/>
        <v>-4.0612040150603971E-3</v>
      </c>
      <c r="DW101" s="4">
        <f t="shared" si="182"/>
        <v>-0.40004835891841906</v>
      </c>
      <c r="DX101" s="4">
        <f t="shared" si="182"/>
        <v>0.56632008610327478</v>
      </c>
      <c r="DY101" s="4">
        <f t="shared" ref="DY101:DY122" si="228">_xlfn.FORECAST.LINEAR($BM101,DY$4:DY$35,$BM$4:$BM$35)</f>
        <v>-3.241563382045648E-3</v>
      </c>
      <c r="DZ101" s="4">
        <f t="shared" si="132"/>
        <v>4.6663322972617487E-3</v>
      </c>
      <c r="EA101" s="4">
        <f t="shared" ref="EA101:EA122" si="229">_xlfn.FORECAST.LINEAR($BM101,EA$4:EA$35,$BM$4:$BM$35)</f>
        <v>-1.4120118278807062E-3</v>
      </c>
      <c r="EC101" s="1">
        <f t="shared" si="213"/>
        <v>31.744521692491112</v>
      </c>
      <c r="ED101" s="1">
        <f t="shared" si="214"/>
        <v>2.8808917569724573</v>
      </c>
      <c r="EE101" s="1">
        <f t="shared" si="215"/>
        <v>1.5820346683950604</v>
      </c>
      <c r="EF101" s="1">
        <f t="shared" si="216"/>
        <v>2.6210659655990467</v>
      </c>
      <c r="EG101" s="1">
        <f t="shared" si="217"/>
        <v>3.8158997813455668</v>
      </c>
      <c r="EH101" s="1">
        <f t="shared" si="218"/>
        <v>2.032599664549223</v>
      </c>
      <c r="EI101" s="1">
        <f t="shared" si="219"/>
        <v>1.8990778547517593</v>
      </c>
      <c r="EJ101" s="1">
        <f t="shared" si="220"/>
        <v>3.1341154491065848</v>
      </c>
      <c r="EK101" s="1">
        <f t="shared" si="221"/>
        <v>5.3321653451777111</v>
      </c>
      <c r="EL101" s="1">
        <f t="shared" si="222"/>
        <v>1.8513676600215936</v>
      </c>
      <c r="EM101" s="1">
        <f t="shared" si="223"/>
        <v>0.15546669683761366</v>
      </c>
      <c r="EN101" s="1">
        <f t="shared" si="224"/>
        <v>0.78096598016999763</v>
      </c>
      <c r="EO101" s="1">
        <f t="shared" si="225"/>
        <v>1.1313388654934389</v>
      </c>
      <c r="EP101" s="1">
        <f t="shared" si="226"/>
        <v>1.9460803541661629</v>
      </c>
      <c r="EQ101" s="1">
        <f t="shared" si="227"/>
        <v>1.5484643728614631</v>
      </c>
      <c r="ES101" s="1">
        <f>IF(EF$26=".", 0, 'Summary, PPI''s'!E101)+IF(EG$26=".", 0, 'Summary, PPI''s'!F101)+IF(EH$26=".", 0, 'Summary, PPI''s'!G101)+IF(EI$26=".", 0, 'Summary, PPI''s'!H101)+IF(EJ$26=".", 0, 'Summary, PPI''s'!I101)+IF(EK$26=".", 0, 'Summary, PPI''s'!J101)+IF(EL$26=".", 0, 'Summary, PPI''s'!K101)+IF(EM$26=".", 0, 'Summary, PPI''s'!L101)+IF(EN$26=".", 0, 'Summary, PPI''s'!M101)+IF(EC$26=".", 0, 'Summary, PPI''s'!B101)+IF(ED$26=".", 0, 'Summary, PPI''s'!C101)+IF(EE$26=".", 0, 'Summary, PPI''s'!D101)+IF(EO$26=".", 0, 'Summary, PPI''s'!N101)+IF(EP$26=".", 0, 'Summary, PPI''s'!O101)+IF(EQ$26=".", 0, 'Summary, PPI''s'!P101)</f>
        <v>1788008.8016709357</v>
      </c>
      <c r="ET101" s="1">
        <f>'Summary, hourly ad costs'!E101+'Summary, hourly ad costs'!F101+'Summary, hourly ad costs'!H101+'Summary, hourly ad costs'!I101+'Summary, hourly ad costs'!J101+'Summary, hourly ad costs'!K101+'Summary, hourly ad costs'!L101+'Summary, hourly ad costs'!M101+'Summary, hourly ad costs'!B101</f>
        <v>1138561.7418045299</v>
      </c>
      <c r="EV101" s="13">
        <f>EV100*IF(EF$26=".", 1, (EF101/EF100)^(('Summary, PPI''s'!$E101+'Summary, PPI''s'!$E100)/('Predicted PPIs'!ES101+'Predicted PPIs'!ES100)))*IF(EG$26=".", 1, (EG101/EG100)^(('Summary, PPI''s'!$F101+'Summary, PPI''s'!$F100)/('Predicted PPIs'!ES101+'Predicted PPIs'!ES100)))*IF(EH$26=".", 1, (EH101/EH100)^(('Summary, PPI''s'!$G101+'Summary, PPI''s'!$G100)/('Predicted PPIs'!ES101+'Predicted PPIs'!ES100)))*IF(EI$26=".", 1, (EI101/EI100)^(('Summary, PPI''s'!$H101+'Summary, PPI''s'!$H100)/('Predicted PPIs'!ES101+'Predicted PPIs'!ES100)))*IF(EJ$26=".", 1, (EJ101/EJ100)^(('Summary, PPI''s'!$I101+'Summary, PPI''s'!$I100)/('Predicted PPIs'!ES101+'Predicted PPIs'!ES100)))*IF(EK$26=".", 1, (EK101/EK100)^(('Summary, PPI''s'!$J101+'Summary, PPI''s'!$J100)/('Predicted PPIs'!ES101+'Predicted PPIs'!ES100)))*IF(EL$26=".", 1, (EL101/EL100)^(('Summary, PPI''s'!$K101+'Summary, PPI''s'!$K100)/('Predicted PPIs'!ES101+'Predicted PPIs'!ES100)))*IF(EM$26=".", 1, (EM101/EM100)^(('Summary, PPI''s'!$L101+'Summary, PPI''s'!$L100)/('Predicted PPIs'!ES101+'Predicted PPIs'!ES100)))*IF(EN$26=".", 1, (EN101/EN100)^(('Summary, PPI''s'!$M101+'Summary, PPI''s'!$M100)/('Predicted PPIs'!ES101+'Predicted PPIs'!ES100)))*IF(EC$26=".", 1, (EC101/EC100)^(('Summary, PPI''s'!$B101+'Summary, PPI''s'!$B100)/('Predicted PPIs'!ES101+'Predicted PPIs'!ES100)))*IF(ED$26=".", 1, (ED101/ED100)^(('Summary, PPI''s'!$C101+'Summary, PPI''s'!$C100)/('Predicted PPIs'!ES101+'Predicted PPIs'!ES100)))*IF(EE$26=".", 1, (EE101/EE100)^(('Summary, PPI''s'!$D101+'Summary, PPI''s'!$D100)/('Predicted PPIs'!ES101+'Predicted PPIs'!ES100)))*IF(EO$26=".", 1, (EO101/EO100)^(('Summary, PPI''s'!$N101+'Summary, PPI''s'!$N100)/('Predicted PPIs'!ES101+'Predicted PPIs'!ES100)))*IF(EP$26=".", 1, (EP101/EP100)^(('Summary, PPI''s'!$O101+'Summary, PPI''s'!$O100)/('Predicted PPIs'!ES101+'Predicted PPIs'!ES100)))*IF(EQ$26=".", 1, (EQ101/EQ100)^(('Summary, PPI''s'!$P101+'Summary, PPI''s'!$P100)/('Predicted PPIs'!ES101+'Predicted PPIs'!ES100)))</f>
        <v>3.6742809413500734</v>
      </c>
      <c r="EW101" s="13">
        <f>EW100*IF(EF$26=".", 1, (EF101/EF100)^(('Summary, PPI''s'!$E101+'Summary, PPI''s'!$E100)/('Predicted PPIs'!ET101+'Predicted PPIs'!ET100)))*IF(EG$26=".", 1, (EG101/EG100)^(('Summary, PPI''s'!$F101+'Summary, PPI''s'!$F100)/('Predicted PPIs'!ET101+'Predicted PPIs'!ET100)))*IF(EH$26=".", 1, (EH101/EH100)^(('Summary, PPI''s'!$G101+'Summary, PPI''s'!$G100)/('Predicted PPIs'!ET101+'Predicted PPIs'!ET100)))*IF(EK$26=".", 1, (EK101/EK100)^(('Summary, PPI''s'!$J101+'Summary, PPI''s'!$J100)/('Predicted PPIs'!ET101+'Predicted PPIs'!ET100)))*IF(EL$26=".", 1, (EL101/EL100)^(('Summary, PPI''s'!$K101+'Summary, PPI''s'!$K100)/('Predicted PPIs'!ET101+'Predicted PPIs'!ET100)))*IF(EM$26=".", 1, (EM101/EM100)^(('Summary, PPI''s'!$L101+'Summary, PPI''s'!$L100)/('Predicted PPIs'!ET101+'Predicted PPIs'!ET100)))*IF(EN$26=".", 1, (EN101/EN100)^(('Summary, PPI''s'!$M101+'Summary, PPI''s'!$M100)/('Predicted PPIs'!ET101+'Predicted PPIs'!ET100)))*IF(EC$26=".", 1, (EC101/EC100)^(('Summary, PPI''s'!$B101+'Summary, PPI''s'!$B100)/('Predicted PPIs'!ET101+'Predicted PPIs'!ET100)))</f>
        <v>7.3413993412904404</v>
      </c>
      <c r="EY101" s="2"/>
    </row>
    <row r="102" spans="1:155" x14ac:dyDescent="0.3">
      <c r="A102" s="4">
        <v>1921</v>
      </c>
      <c r="B102" s="10">
        <f>IF(B101=".", ".", IF('Summary, PPI''s'!R102=".",IF(OR('Summary, hourly ad costs'!R102=-9999,'Summary, hourly ad costs'!R102=0), ".", 'Predicted PPIs'!B101*('Summary, hourly ad costs'!B102/'Summary, hourly ad costs'!R102)/('Summary, hourly ad costs'!B101/'Summary, hourly ad costs'!R101)), 'Summary, PPI''s'!R102))</f>
        <v>46.672952776963072</v>
      </c>
      <c r="C102" s="10" t="str">
        <f>IF(C101=".", ".", IF('Summary, PPI''s'!S102=".",IF(OR('Summary, hourly ad costs'!S102=-9999,'Summary, hourly ad costs'!S102=0), ".", 'Predicted PPIs'!C101*('Summary, hourly ad costs'!C102/'Summary, hourly ad costs'!S102)/('Summary, hourly ad costs'!C101/'Summary, hourly ad costs'!S101)), 'Summary, PPI''s'!S102))</f>
        <v>.</v>
      </c>
      <c r="D102" s="10" t="str">
        <f>IF(D101=".", ".", IF('Summary, PPI''s'!T102=".",IF(OR('Summary, hourly ad costs'!T102=-9999,'Summary, hourly ad costs'!T102=0), ".", 'Predicted PPIs'!D101*('Summary, hourly ad costs'!D102/'Summary, hourly ad costs'!T102)/('Summary, hourly ad costs'!D101/'Summary, hourly ad costs'!T101)), 'Summary, PPI''s'!T102))</f>
        <v>.</v>
      </c>
      <c r="E102" s="10">
        <f>IF(E101=".", ".", IF('Summary, PPI''s'!U102=".",IF(OR('Summary, hourly ad costs'!U102=-9999,'Summary, hourly ad costs'!U102=0), ".", 'Predicted PPIs'!E101*('Summary, hourly ad costs'!E102/'Summary, hourly ad costs'!U102)/('Summary, hourly ad costs'!E101/'Summary, hourly ad costs'!U101)), 'Summary, PPI''s'!U102))</f>
        <v>2.4081191245838021</v>
      </c>
      <c r="F102" s="10">
        <f>IF(F101=".", ".", IF('Summary, PPI''s'!V102=".",IF(OR('Summary, hourly ad costs'!V102=-9999,'Summary, hourly ad costs'!V102=0), ".", 'Predicted PPIs'!F101*('Summary, hourly ad costs'!F102/'Summary, hourly ad costs'!V102)/('Summary, hourly ad costs'!F101/'Summary, hourly ad costs'!V101)), 'Summary, PPI''s'!V102))</f>
        <v>3.4629164017303729</v>
      </c>
      <c r="G102" s="10" t="str">
        <f>IF(G101=".", ".", IF('Summary, PPI''s'!W102=".",IF(OR('Summary, hourly ad costs'!W102=-9999,'Summary, hourly ad costs'!W102=0), ".", 'Predicted PPIs'!G101*('Summary, hourly ad costs'!G102/'Summary, hourly ad costs'!W102)/('Summary, hourly ad costs'!G101/'Summary, hourly ad costs'!W101)), 'Summary, PPI''s'!W102))</f>
        <v>.</v>
      </c>
      <c r="H102" s="10">
        <f>IF(H101=".", ".", IF('Summary, PPI''s'!X102=".",IF(OR('Summary, hourly ad costs'!X102=-9999,'Summary, hourly ad costs'!X102=0), ".", 'Predicted PPIs'!H101*('Summary, hourly ad costs'!H102/'Summary, hourly ad costs'!X102)/('Summary, hourly ad costs'!H101/'Summary, hourly ad costs'!X101)), 'Summary, PPI''s'!X102))</f>
        <v>1.9130686244271022</v>
      </c>
      <c r="I102" s="10" t="str">
        <f>IF(I101=".", ".", IF('Summary, PPI''s'!Y102=".",IF(OR('Summary, hourly ad costs'!Y102=-9999,'Summary, hourly ad costs'!Y102=0), ".", 'Predicted PPIs'!I101*('Summary, hourly ad costs'!I102/'Summary, hourly ad costs'!Y102)/('Summary, hourly ad costs'!I101/'Summary, hourly ad costs'!Y101)), 'Summary, PPI''s'!Y102))</f>
        <v>.</v>
      </c>
      <c r="J102" s="10" t="str">
        <f>IF(J101=".", ".", IF('Summary, PPI''s'!Z102=".",IF(OR('Summary, hourly ad costs'!Z102=-9999,'Summary, hourly ad costs'!Z102=0), ".", 'Predicted PPIs'!J101*('Summary, hourly ad costs'!J102/'Summary, hourly ad costs'!Z102)/('Summary, hourly ad costs'!J101/'Summary, hourly ad costs'!Z101)), 'Summary, PPI''s'!Z102))</f>
        <v>.</v>
      </c>
      <c r="K102" s="10" t="str">
        <f>IF(K101=".", ".", IF('Summary, PPI''s'!AA102=".",IF(OR('Summary, hourly ad costs'!AA102=-9999,'Summary, hourly ad costs'!AA102=0), ".", 'Predicted PPIs'!K101*('Summary, hourly ad costs'!K102/'Summary, hourly ad costs'!AA102)/('Summary, hourly ad costs'!K101/'Summary, hourly ad costs'!AA101)), 'Summary, PPI''s'!AA102))</f>
        <v>.</v>
      </c>
      <c r="L102" s="10" t="str">
        <f>IF(L101=".", ".", IF('Summary, PPI''s'!AB102=".",IF(OR('Summary, hourly ad costs'!AB102=-9999,'Summary, hourly ad costs'!AB102=0), ".", 'Predicted PPIs'!L101*('Summary, hourly ad costs'!L102/'Summary, hourly ad costs'!AB102)/('Summary, hourly ad costs'!L101/'Summary, hourly ad costs'!AB101)), 'Summary, PPI''s'!AB102))</f>
        <v>.</v>
      </c>
      <c r="M102" s="10" t="str">
        <f>IF(M101=".", ".", IF('Summary, PPI''s'!AC102=".",IF(OR('Summary, hourly ad costs'!AC102=-9999,'Summary, hourly ad costs'!AC102=0), ".", 'Predicted PPIs'!M101*('Summary, hourly ad costs'!M102/'Summary, hourly ad costs'!AC102)/('Summary, hourly ad costs'!M101/'Summary, hourly ad costs'!AC101)), 'Summary, PPI''s'!AC102))</f>
        <v>.</v>
      </c>
      <c r="N102" s="10" t="str">
        <f>IF(N101=".", ".", IF('Summary, PPI''s'!AD102=".",IF(OR('Summary, hourly ad costs'!AD102=-9999,'Summary, hourly ad costs'!AD102=0), ".", 'Predicted PPIs'!N101*('Summary, hourly ad costs'!N102/'Summary, hourly ad costs'!AD102)/('Summary, hourly ad costs'!N101/'Summary, hourly ad costs'!AD101)), 'Summary, PPI''s'!AD102))</f>
        <v>.</v>
      </c>
      <c r="O102" s="10" t="str">
        <f>IF(O101=".", ".", IF('Summary, PPI''s'!AE102=".",IF(OR('Summary, hourly ad costs'!AE102=-9999,'Summary, hourly ad costs'!AE102=0), ".", 'Predicted PPIs'!O101*('Summary, hourly ad costs'!O102/'Summary, hourly ad costs'!AE102)/('Summary, hourly ad costs'!O101/'Summary, hourly ad costs'!AE101)), 'Summary, PPI''s'!AE102))</f>
        <v>.</v>
      </c>
      <c r="P102" s="10" t="str">
        <f>IF(P101=".", ".", IF('Summary, PPI''s'!AF102=".",IF(OR('Summary, hourly ad costs'!AF102=-9999,'Summary, hourly ad costs'!AF102=0), ".", 'Predicted PPIs'!P101*('Summary, hourly ad costs'!P102/'Summary, hourly ad costs'!AF102)/('Summary, hourly ad costs'!P101/'Summary, hourly ad costs'!AF101)), 'Summary, PPI''s'!AF102))</f>
        <v>.</v>
      </c>
      <c r="R102" s="1">
        <f>IF(E$26=".", 0, 'Summary, PPI''s'!E102)+IF(F$26=".", 0, 'Summary, PPI''s'!F102)+IF(G$26=".", 0, 'Summary, PPI''s'!G102)+IF(H$26=".", 0, 'Summary, PPI''s'!H102)+IF(I$26=".", 0, 'Summary, PPI''s'!I102)+IF(J$26=".", 0, 'Summary, PPI''s'!J102)+IF(K$26=".", 0, 'Summary, PPI''s'!K102)+IF(L$26=".", 0, 'Summary, PPI''s'!L102)+IF(M$26=".", 0, 'Summary, PPI''s'!M102)+IF(B$26=".", 0, 'Summary, PPI''s'!B102)+IF(C$26=".", 0, 'Summary, PPI''s'!C102)+IF(D$26=".", 0, 'Summary, PPI''s'!D102)+IF(N$26=".", 0, 'Summary, PPI''s'!N102)+IF(O$26=".", 0, 'Summary, PPI''s'!O102)+IF(P$26=".", 0, 'Summary, PPI''s'!P102)</f>
        <v>1622720.3853309657</v>
      </c>
      <c r="S102" s="1">
        <f>IF(E$36=".", 0, 'Summary, PPI''s'!E102)+IF(F$36=".", 0, 'Summary, PPI''s'!F102)+IF(G$36=".", 0, 'Summary, PPI''s'!G102)+IF(H$36=".", 0, 'Summary, PPI''s'!H102)+IF(I$36=".", 0, 'Summary, PPI''s'!I102)+IF(J$36=".", 0, 'Summary, PPI''s'!J102)+IF(K$36=".", 0, 'Summary, PPI''s'!K102)+IF(L$36=".", 0, 'Summary, PPI''s'!L102)+IF(M$36=".", 0, 'Summary, PPI''s'!M102)+IF(B$36=".", 0, 'Summary, PPI''s'!B102)+IF(C$36=".", 0, 'Summary, PPI''s'!C102)+IF(D$36=".", 0, 'Summary, PPI''s'!D102)+IF(N$36=".", 0, 'Summary, PPI''s'!N102)+IF(O$36=".", 0, 'Summary, PPI''s'!O102)+IF(P$36=".", 0, 'Summary, PPI''s'!P102)</f>
        <v>1622720.3853309657</v>
      </c>
      <c r="T102" s="1">
        <f>IF(E$46=".", 0, 'Summary, PPI''s'!E102)+IF(F$46=".", 0, 'Summary, PPI''s'!F102)+IF(G$46=".", 0, 'Summary, PPI''s'!G102)+IF(H$46=".", 0, 'Summary, PPI''s'!H102)+IF(I$46=".", 0, 'Summary, PPI''s'!I102)+IF(J$46=".", 0, 'Summary, PPI''s'!J102)+IF(K$46=".", 0, 'Summary, PPI''s'!K102)+IF(L$46=".", 0, 'Summary, PPI''s'!L102)+IF(M$46=".", 0, 'Summary, PPI''s'!M102)+IF(B$46=".", 0, 'Summary, PPI''s'!B102)+IF(C$46=".", 0, 'Summary, PPI''s'!C102)+IF(D$46=".", 0, 'Summary, PPI''s'!D102)+IF(N$46=".", 0, 'Summary, PPI''s'!N102)+IF(O$46=".", 0, 'Summary, PPI''s'!O102)+IF(P$46=".", 0, 'Summary, PPI''s'!P102)</f>
        <v>1399210.0403336219</v>
      </c>
      <c r="U102" s="1">
        <f>IF(E$60=".", 0, 'Summary, PPI''s'!E102)+IF(F$60=".", 0, 'Summary, PPI''s'!F102)+IF(G$60=".", 0, 'Summary, PPI''s'!G102)+IF(H$60=".", 0, 'Summary, PPI''s'!H102)+IF(I$60=".", 0, 'Summary, PPI''s'!I102)+IF(J$60=".", 0, 'Summary, PPI''s'!J102)+IF(K$60=".", 0, 'Summary, PPI''s'!K102)+IF(L$60=".", 0, 'Summary, PPI''s'!L102)+IF(M$60=".", 0, 'Summary, PPI''s'!M102)+IF(B$60=".", 0, 'Summary, PPI''s'!B102)+IF(C$60=".", 0, 'Summary, PPI''s'!C102)+IF(D$60=".", 0, 'Summary, PPI''s'!D102)+IF(N$60=".", 0, 'Summary, PPI''s'!N102)+IF(O$60=".", 0, 'Summary, PPI''s'!O102)+IF(P$60=".", 0, 'Summary, PPI''s'!P102)</f>
        <v>1308972.5146536746</v>
      </c>
      <c r="V102" s="1">
        <f>IF(E$73=".", 0, 'Summary, PPI''s'!E102)+IF(F$73=".", 0, 'Summary, PPI''s'!F102)+IF(G$73=".", 0, 'Summary, PPI''s'!G102)+IF(H$73=".", 0, 'Summary, PPI''s'!H102)+IF(I$73=".", 0, 'Summary, PPI''s'!I102)+IF(J$73=".", 0, 'Summary, PPI''s'!J102)+IF(K$73=".", 0, 'Summary, PPI''s'!K102)+IF(L$73=".", 0, 'Summary, PPI''s'!L102)+IF(M$73=".", 0, 'Summary, PPI''s'!M102)+IF(B$73=".", 0, 'Summary, PPI''s'!B102)+IF(C$73=".", 0, 'Summary, PPI''s'!C102)+IF(D$73=".", 0, 'Summary, PPI''s'!D102)+IF(N$73=".", 0, 'Summary, PPI''s'!N102)+IF(O$73=".", 0, 'Summary, PPI''s'!O102)+IF(P$73=".", 0, 'Summary, PPI''s'!P102)</f>
        <v>1045664.5376218732</v>
      </c>
      <c r="W102" s="1">
        <f>IF(E$94=".",0,'Summary, PPI''s'!E102)+IF(F$94=".",0,'Summary, PPI''s'!F102)+IF(G$94=".",0,'Summary, PPI''s'!G102)+IF(H$94=".",0,'Summary, PPI''s'!H102)+IF(I$94=".",0,'Summary, PPI''s'!I102)+IF(J$94=".",0,'Summary, PPI''s'!J102)+IF(K$94=".",0,'Summary, PPI''s'!K102)+IF(L$94=".",0,'Summary, PPI''s'!L102)+IF(M$94=".",0,'Summary, PPI''s'!M102)+IF(B$94=".",0,'Summary, PPI''s'!B102)+IF(C$94=".",0,'Summary, PPI''s'!C102)+IF(D$94=".",0,'Summary, PPI''s'!D102)+IF(N$94=".",0,'Summary, PPI''s'!N102)+IF(O$94=".",0,'Summary, PPI''s'!O102)+IF(P$94=".",0,'Summary, PPI''s'!P102)</f>
        <v>1045664.5376218732</v>
      </c>
      <c r="X102" s="1">
        <f>IF(E$123=".", 0, 'Summary, PPI''s'!E102)+IF(F$123=".", 0, 'Summary, PPI''s'!F102)+IF(G$123=".", 0, 'Summary, PPI''s'!G102)+IF(H$123=".", 0, 'Summary, PPI''s'!H102)+IF(I$123=".", 0, 'Summary, PPI''s'!I102)+IF(J$123=".", 0, 'Summary, PPI''s'!J102)+IF(K$123=".", 0, 'Summary, PPI''s'!K102)+IF(L$123=".", 0, 'Summary, PPI''s'!L102)+IF(M$123=".", 0, 'Summary, PPI''s'!M102)+IF(B$123=".", 0, 'Summary, PPI''s'!B102)+IF(C$123=".", 0, 'Summary, PPI''s'!C102)+IF(D$123=".", 0, 'Summary, PPI''s'!D102)+IF(N$123=".", 0, 'Summary, PPI''s'!N102)+IF(O$123=".", 0, 'Summary, PPI''s'!O102)+IF(P$123=".", 0, 'Summary, PPI''s'!P102)</f>
        <v>1045664.5376218732</v>
      </c>
      <c r="Z102" s="4" t="e">
        <f>Z101*IF(E$26=".", 1, (E102/E101)^(('Summary, PPI''s'!$E102+'Summary, PPI''s'!$E101)/('Predicted PPIs'!R102+'Predicted PPIs'!R101)))*IF(F$26=".", 1, (F102/F101)^(('Summary, PPI''s'!$F102+'Summary, PPI''s'!$F101)/('Predicted PPIs'!R102+'Predicted PPIs'!R101)))*IF(G$26=".", 1, (G102/G101)^(('Summary, PPI''s'!$G102+'Summary, PPI''s'!$G101)/('Predicted PPIs'!R102+'Predicted PPIs'!R101)))*IF(H$26=".", 1, (H102/H101)^(('Summary, PPI''s'!$H102+'Summary, PPI''s'!$H101)/('Predicted PPIs'!R102+'Predicted PPIs'!R101)))*IF(I$26=".", 1, (I102/I101)^(('Summary, PPI''s'!$I102+'Summary, PPI''s'!$I101)/('Predicted PPIs'!R102+'Predicted PPIs'!R101)))*IF(J$26=".", 1, (J102/J101)^(('Summary, PPI''s'!$J102+'Summary, PPI''s'!$J101)/('Predicted PPIs'!R102+'Predicted PPIs'!R101)))*IF(K$26=".", 1, (K102/K101)^(('Summary, PPI''s'!$K102+'Summary, PPI''s'!$K101)/('Predicted PPIs'!R102+'Predicted PPIs'!R101)))*IF(L$26=".", 1, (L102/L101)^(('Summary, PPI''s'!$L102+'Summary, PPI''s'!$L101)/('Predicted PPIs'!R102+'Predicted PPIs'!R101)))*IF(M$26=".", 1, (M102/M101)^(('Summary, PPI''s'!$M102+'Summary, PPI''s'!$M101)/('Predicted PPIs'!R102+'Predicted PPIs'!R101)))*IF(B$26=".", 1, (B102/B101)^(('Summary, PPI''s'!$B102+'Summary, PPI''s'!$B101)/('Predicted PPIs'!R102+'Predicted PPIs'!R101)))*IF(C$26=".", 1, (C102/C101)^(('Summary, PPI''s'!$C102+'Summary, PPI''s'!$C101)/('Predicted PPIs'!R102+'Predicted PPIs'!R101)))*IF(D$26=".", 1, (D102/D101)^(('Summary, PPI''s'!$D102+'Summary, PPI''s'!$D101)/('Predicted PPIs'!R102+'Predicted PPIs'!R101)))*IF(N$26=".", 1, (N102/N101)^(('Summary, PPI''s'!$N102+'Summary, PPI''s'!$N101)/('Predicted PPIs'!R102+'Predicted PPIs'!R101)))*IF(O$26=".", 1, (O102/O101)^(('Summary, PPI''s'!$O102+'Summary, PPI''s'!$O101)/('Predicted PPIs'!R102+'Predicted PPIs'!R101)))*IF(P$26=".", 1, (P102/P101)^(('Summary, PPI''s'!$P102+'Summary, PPI''s'!$P101)/('Predicted PPIs'!R102+'Predicted PPIs'!R101)))</f>
        <v>#VALUE!</v>
      </c>
      <c r="AA102" s="4" t="e">
        <f>AA101*IF(E$36=".", 1, (E102/E101)^(('Summary, PPI''s'!$E102+'Summary, PPI''s'!$E101)/('Predicted PPIs'!S102+'Predicted PPIs'!S101)))*IF(F$36=".", 1, (F102/F101)^(('Summary, PPI''s'!$F102+'Summary, PPI''s'!$F101)/('Predicted PPIs'!S102+'Predicted PPIs'!S101)))*IF(G$36=".", 1, (G102/G101)^(('Summary, PPI''s'!$G102+'Summary, PPI''s'!$G101)/('Predicted PPIs'!S102+'Predicted PPIs'!S101)))*IF(H$36=".", 1, (H102/H101)^(('Summary, PPI''s'!$H102+'Summary, PPI''s'!$H101)/('Predicted PPIs'!S102+'Predicted PPIs'!S101)))*IF(I$36=".", 1, (I102/I101)^(('Summary, PPI''s'!$I102+'Summary, PPI''s'!$I101)/('Predicted PPIs'!S102+'Predicted PPIs'!S101)))*IF(J$36=".", 1, (J102/J101)^(('Summary, PPI''s'!$J102+'Summary, PPI''s'!$J101)/('Predicted PPIs'!S102+'Predicted PPIs'!S101)))*IF(K$36=".", 1, (K102/K101)^(('Summary, PPI''s'!$K102+'Summary, PPI''s'!$K101)/('Predicted PPIs'!S102+'Predicted PPIs'!S101)))*IF(L$36=".", 1, (L102/L101)^(('Summary, PPI''s'!$L102+'Summary, PPI''s'!$L101)/('Predicted PPIs'!S102+'Predicted PPIs'!S101)))*IF(M$36=".", 1, (M102/M101)^(('Summary, PPI''s'!$M102+'Summary, PPI''s'!$M101)/('Predicted PPIs'!S102+'Predicted PPIs'!S101)))*IF(B$36=".", 1, (B102/B101)^(('Summary, PPI''s'!$B102+'Summary, PPI''s'!$B101)/('Predicted PPIs'!S102+'Predicted PPIs'!S101)))*IF(C$36=".", 1, (C102/C101)^(('Summary, PPI''s'!$C102+'Summary, PPI''s'!$C101)/('Predicted PPIs'!S102+'Predicted PPIs'!S101)))*IF(D$36=".", 1, (D102/D101)^(('Summary, PPI''s'!$D102+'Summary, PPI''s'!$D101)/('Predicted PPIs'!S102+'Predicted PPIs'!S101)))*IF(N$36=".", 1, (N102/N101)^(('Summary, PPI''s'!$N102+'Summary, PPI''s'!$N101)/('Predicted PPIs'!S102+'Predicted PPIs'!S101)))*IF(O$36=".", 1, (O102/O101)^(('Summary, PPI''s'!$O102+'Summary, PPI''s'!$O101)/('Predicted PPIs'!S102+'Predicted PPIs'!S101)))*IF(P$36=".", 1, (P102/P101)^(('Summary, PPI''s'!$P102+'Summary, PPI''s'!$P101)/('Predicted PPIs'!S102+'Predicted PPIs'!S101)))</f>
        <v>#VALUE!</v>
      </c>
      <c r="AB102" s="4" t="e">
        <f>AB101*IF(E$46=".", 1, (E102/E101)^(('Summary, PPI''s'!$E102+'Summary, PPI''s'!$E101)/('Predicted PPIs'!T102+'Predicted PPIs'!T101)))*IF(F$46=".", 1, (F102/F101)^(('Summary, PPI''s'!$F102+'Summary, PPI''s'!$F101)/('Predicted PPIs'!T102+'Predicted PPIs'!T101)))*IF(G$46=".", 1, (G102/G101)^(('Summary, PPI''s'!$G102+'Summary, PPI''s'!$G101)/('Predicted PPIs'!T102+'Predicted PPIs'!T101)))*IF(H$46=".", 1, (H102/H101)^(('Summary, PPI''s'!$H102+'Summary, PPI''s'!$H101)/('Predicted PPIs'!T102+'Predicted PPIs'!T101)))*IF(I$46=".", 1, (I102/I101)^(('Summary, PPI''s'!$I102+'Summary, PPI''s'!$I101)/('Predicted PPIs'!T102+'Predicted PPIs'!T101)))*IF(J$46=".", 1, (J102/J101)^(('Summary, PPI''s'!$J102+'Summary, PPI''s'!$J101)/('Predicted PPIs'!T102+'Predicted PPIs'!T101)))*IF(K$46=".", 1, (K102/K101)^(('Summary, PPI''s'!$K102+'Summary, PPI''s'!$K101)/('Predicted PPIs'!T102+'Predicted PPIs'!T101)))*IF(L$46=".", 1, (L102/L101)^(('Summary, PPI''s'!$L102+'Summary, PPI''s'!$L101)/('Predicted PPIs'!T102+'Predicted PPIs'!T101)))*IF(M$46=".", 1, (M102/M101)^(('Summary, PPI''s'!$M102+'Summary, PPI''s'!$M101)/('Predicted PPIs'!T102+'Predicted PPIs'!T101)))*IF(B$46=".", 1, (B102/B101)^(('Summary, PPI''s'!$B102+'Summary, PPI''s'!$B101)/('Predicted PPIs'!T102+'Predicted PPIs'!T101)))*IF(C$46=".", 1, (C102/C101)^(('Summary, PPI''s'!$C102+'Summary, PPI''s'!$C101)/('Predicted PPIs'!T102+'Predicted PPIs'!T101)))*IF(D$46=".", 1, (D102/D101)^(('Summary, PPI''s'!$D102+'Summary, PPI''s'!$D101)/('Predicted PPIs'!T102+'Predicted PPIs'!T101)))*IF(N$46=".", 1, (N102/N101)^(('Summary, PPI''s'!$N102+'Summary, PPI''s'!$N101)/('Predicted PPIs'!T102+'Predicted PPIs'!T101)))*IF(O$46=".", 1, (O102/O101)^(('Summary, PPI''s'!$O102+'Summary, PPI''s'!$O101)/('Predicted PPIs'!T102+'Predicted PPIs'!T101)))*IF(P$46=".", 1, (P102/P101)^(('Summary, PPI''s'!$P102+'Summary, PPI''s'!$P101)/('Predicted PPIs'!T102+'Predicted PPIs'!T101)))</f>
        <v>#VALUE!</v>
      </c>
      <c r="AC102" s="4" t="e">
        <f>AC101*IF(E$60=".",1,(E102/E101)^(('Summary, PPI''s'!$E102+'Summary, PPI''s'!$E101)/('Predicted PPIs'!U102+'Predicted PPIs'!U101)))*IF(F$60=".",1,(F102/F101)^(('Summary, PPI''s'!$F102+'Summary, PPI''s'!$F101)/('Predicted PPIs'!U102+'Predicted PPIs'!U101)))*IF(G$60=".",1,(G102/G101)^(('Summary, PPI''s'!$G102+'Summary, PPI''s'!$G101)/('Predicted PPIs'!U102+'Predicted PPIs'!U101)))*IF(H$60=".",1,(H102/H101)^(('Summary, PPI''s'!$H102+'Summary, PPI''s'!$H101)/('Predicted PPIs'!U102+'Predicted PPIs'!U101)))*IF(I$60=".",1,(I102/I101)^(('Summary, PPI''s'!$I102+'Summary, PPI''s'!$I101)/('Predicted PPIs'!U102+'Predicted PPIs'!U101)))*IF(J$60=".",1,(J102/J101)^(('Summary, PPI''s'!$J102+'Summary, PPI''s'!$J101)/('Predicted PPIs'!U102+'Predicted PPIs'!U101)))*IF(K$60=".",1,(K102/K101)^(('Summary, PPI''s'!$K102+'Summary, PPI''s'!$K101)/('Predicted PPIs'!U102+'Predicted PPIs'!U101)))*IF(L$60=".",1,(L102/L101)^(('Summary, PPI''s'!$L102+'Summary, PPI''s'!$L101)/('Predicted PPIs'!U102+'Predicted PPIs'!U101)))*IF(M$60=".",1,(M102/M101)^(('Summary, PPI''s'!$M102+'Summary, PPI''s'!$M101)/('Predicted PPIs'!U102+'Predicted PPIs'!U101)))*IF(B$60=".",1,(B102/B101)^(('Summary, PPI''s'!$B102+'Summary, PPI''s'!$B101)/('Predicted PPIs'!U102+'Predicted PPIs'!U101)))*IF(C$60=".",1,(C102/C101)^(('Summary, PPI''s'!$C102+'Summary, PPI''s'!$C101)/('Predicted PPIs'!U102+'Predicted PPIs'!U101)))*IF(D$60=".",1,(D102/D101)^(('Summary, PPI''s'!$D102+'Summary, PPI''s'!$D101)/('Predicted PPIs'!U102+'Predicted PPIs'!U101)))*IF(N$60=".",1,(N102/N101)^(('Summary, PPI''s'!$N102+'Summary, PPI''s'!$N101)/('Predicted PPIs'!U102+'Predicted PPIs'!U101)))*IF(O$60=".",1,(O102/O101)^(('Summary, PPI''s'!$O102+'Summary, PPI''s'!$O101)/('Predicted PPIs'!U102+'Predicted PPIs'!U101)))*IF(P$60=".",1,(P102/P101)^(('Summary, PPI''s'!$P102+'Summary, PPI''s'!$P101)/('Predicted PPIs'!U102+'Predicted PPIs'!U101)))</f>
        <v>#VALUE!</v>
      </c>
      <c r="AD102" s="4" t="e">
        <f>AD101*IF(E$73=".", 1, (E102/E101)^(('Summary, PPI''s'!$E102+'Summary, PPI''s'!$E101)/('Predicted PPIs'!V102+'Predicted PPIs'!V101)))*IF(F$73=".", 1, (F102/F101)^(('Summary, PPI''s'!$F102+'Summary, PPI''s'!$F101)/('Predicted PPIs'!V102+'Predicted PPIs'!V101)))*IF(G$73=".", 1, (G102/G101)^(('Summary, PPI''s'!$G102+'Summary, PPI''s'!$G101)/('Predicted PPIs'!V102+'Predicted PPIs'!V101)))*IF(H$73=".", 1, (H102/H101)^(('Summary, PPI''s'!$H102+'Summary, PPI''s'!$H101)/('Predicted PPIs'!V102+'Predicted PPIs'!V101)))*IF(I$73=".", 1, (I102/I101)^(('Summary, PPI''s'!$I102+'Summary, PPI''s'!$I101)/('Predicted PPIs'!V102+'Predicted PPIs'!V101)))*IF(J$73=".", 1, (J102/J101)^(('Summary, PPI''s'!$J102+'Summary, PPI''s'!$J101)/('Predicted PPIs'!V102+'Predicted PPIs'!V101)))*IF(K$73=".", 1, (K102/K101)^(('Summary, PPI''s'!$K102+'Summary, PPI''s'!$K101)/('Predicted PPIs'!V102+'Predicted PPIs'!V101)))*IF(L$73=".", 1, (L102/L101)^(('Summary, PPI''s'!$L102+'Summary, PPI''s'!$L101)/('Predicted PPIs'!V102+'Predicted PPIs'!V101)))*IF(M$73=".", 1, (M102/M101)^(('Summary, PPI''s'!$M102+'Summary, PPI''s'!$M101)/('Predicted PPIs'!V102+'Predicted PPIs'!V101)))*IF(B$73=".", 1, (B102/B101)^(('Summary, PPI''s'!$B102+'Summary, PPI''s'!$B101)/('Predicted PPIs'!V102+'Predicted PPIs'!V101)))*IF(C$73=".", 1, (C102/C101)^(('Summary, PPI''s'!$C102+'Summary, PPI''s'!$C101)/('Predicted PPIs'!V102+'Predicted PPIs'!V101)))*IF(D$73=".", 1, (D102/D101)^(('Summary, PPI''s'!$D102+'Summary, PPI''s'!$D101)/('Predicted PPIs'!V102+'Predicted PPIs'!V101)))*IF(N$73=".", 1, (N102/N101)^(('Summary, PPI''s'!$N102+'Summary, PPI''s'!$N101)/('Predicted PPIs'!V102+'Predicted PPIs'!V101)))*IF(O$73=".", 1, (O102/O101)^(('Summary, PPI''s'!$O102+'Summary, PPI''s'!$O101)/('Predicted PPIs'!V102+'Predicted PPIs'!V101)))*IF(P$73=".", 1, (P102/P101)^(('Summary, PPI''s'!$P102+'Summary, PPI''s'!$P101)/('Predicted PPIs'!V102+'Predicted PPIs'!V101)))</f>
        <v>#VALUE!</v>
      </c>
      <c r="AE102" s="4" t="e">
        <f>AE101*IF(E$94=".", 1, (E102/E101)^(('Summary, PPI''s'!$E102+'Summary, PPI''s'!$E101)/('Predicted PPIs'!W102+'Predicted PPIs'!W101)))*IF(F$94=".", 1, (F102/F101)^(('Summary, PPI''s'!$F102+'Summary, PPI''s'!$F101)/('Predicted PPIs'!W102+'Predicted PPIs'!W101)))*IF(G$94=".", 1, (G102/G101)^(('Summary, PPI''s'!$G102+'Summary, PPI''s'!$G101)/('Predicted PPIs'!W102+'Predicted PPIs'!W101)))*IF(H$94=".", 1, (H102/H101)^(('Summary, PPI''s'!$H102+'Summary, PPI''s'!$H101)/('Predicted PPIs'!W102+'Predicted PPIs'!W101)))*IF(I$94=".", 1, (I102/I101)^(('Summary, PPI''s'!$I102+'Summary, PPI''s'!$I101)/('Predicted PPIs'!W102+'Predicted PPIs'!W101)))*IF(J$94=".", 1, (J102/J101)^(('Summary, PPI''s'!$J102+'Summary, PPI''s'!$J101)/('Predicted PPIs'!W102+'Predicted PPIs'!W101)))*IF(K$94=".", 1, (K102/K101)^(('Summary, PPI''s'!$K102+'Summary, PPI''s'!$K101)/('Predicted PPIs'!W102+'Predicted PPIs'!W101)))*IF(L$94=".", 1, (L102/L101)^(('Summary, PPI''s'!$L102+'Summary, PPI''s'!$L101)/('Predicted PPIs'!W102+'Predicted PPIs'!W101)))*IF(M$94=".", 1, (M102/M101)^(('Summary, PPI''s'!$M102+'Summary, PPI''s'!$M101)/('Predicted PPIs'!W102+'Predicted PPIs'!W101)))*IF(B$94=".", 1, (B102/B101)^(('Summary, PPI''s'!$B102+'Summary, PPI''s'!$B101)/('Predicted PPIs'!W102+'Predicted PPIs'!W101)))*IF(C$94=".", 1, (C102/C101)^(('Summary, PPI''s'!$C102+'Summary, PPI''s'!$C101)/('Predicted PPIs'!W102+'Predicted PPIs'!W101)))*IF(D$94=".", 1, (D102/D101)^(('Summary, PPI''s'!$D102+'Summary, PPI''s'!$D101)/('Predicted PPIs'!W102+'Predicted PPIs'!W101)))*IF(N$94=".", 1, (N102/N101)^(('Summary, PPI''s'!$N102+'Summary, PPI''s'!$N101)/('Predicted PPIs'!W102+'Predicted PPIs'!W101)))*IF(O$94=".", 1, (O102/O101)^(('Summary, PPI''s'!$O102+'Summary, PPI''s'!$O101)/('Predicted PPIs'!W102+'Predicted PPIs'!W101)))*IF(P$94=".", 1, (P102/P101)^(('Summary, PPI''s'!$P102+'Summary, PPI''s'!$P101)/('Predicted PPIs'!W102+'Predicted PPIs'!W101)))</f>
        <v>#VALUE!</v>
      </c>
      <c r="AF102" s="4">
        <f>AF101*IF(E$123=".", 1, (E102/E101)^(('Summary, PPI''s'!$E102+'Summary, PPI''s'!$E101)/('Predicted PPIs'!X102+'Predicted PPIs'!X101)))*IF(F$123=".", 1, (F102/F101)^(('Summary, PPI''s'!$F102+'Summary, PPI''s'!$F101)/('Predicted PPIs'!X102+'Predicted PPIs'!X101)))*IF(G$123=".", 1, (G102/G101)^(('Summary, PPI''s'!$G102+'Summary, PPI''s'!$G101)/('Predicted PPIs'!X102+'Predicted PPIs'!X101)))*IF(H$123=".", 1, (H102/H101)^(('Summary, PPI''s'!$H102+'Summary, PPI''s'!$H101)/('Predicted PPIs'!X102+'Predicted PPIs'!X101)))*IF(I$123=".", 1, (I102/I101)^(('Summary, PPI''s'!$I102+'Summary, PPI''s'!$I101)/('Predicted PPIs'!X102+'Predicted PPIs'!X101)))*IF(J$123=".", 1, (J102/J101)^(('Summary, PPI''s'!$J102+'Summary, PPI''s'!$J101)/('Predicted PPIs'!X102+'Predicted PPIs'!X101)))*IF(K$123=".", 1, (K102/K101)^(('Summary, PPI''s'!$K102+'Summary, PPI''s'!$K101)/('Predicted PPIs'!X102+'Predicted PPIs'!X101)))*IF(L$123=".", 1, (L102/L101)^(('Summary, PPI''s'!$L102+'Summary, PPI''s'!$L101)/('Predicted PPIs'!X102+'Predicted PPIs'!X101)))*IF(M$123=".", 1, (M102/M101)^(('Summary, PPI''s'!$M102+'Summary, PPI''s'!$M101)/('Predicted PPIs'!X102+'Predicted PPIs'!X101)))*IF(B$123=".", 1, (B102/B101)^(('Summary, PPI''s'!$B102+'Summary, PPI''s'!$B101)/('Predicted PPIs'!X102+'Predicted PPIs'!X101)))*IF(C$123=".", 1, (C102/C101)^(('Summary, PPI''s'!$C102+'Summary, PPI''s'!$C101)/('Predicted PPIs'!X102+'Predicted PPIs'!X101)))*IF(D$123=".", 1, (D102/D101)^(('Summary, PPI''s'!$D102+'Summary, PPI''s'!$D101)/('Predicted PPIs'!X102+'Predicted PPIs'!X101)))*IF(N$123=".", 1, (N102/N101)^(('Summary, PPI''s'!$N102+'Summary, PPI''s'!$N101)/('Predicted PPIs'!X102+'Predicted PPIs'!X101)))*IF(O$123=".", 1, (O102/O101)^(('Summary, PPI''s'!$O102+'Summary, PPI''s'!$O101)/('Predicted PPIs'!X102+'Predicted PPIs'!X101)))*IF(P$123=".", 1, (P102/P101)^(('Summary, PPI''s'!$P102+'Summary, PPI''s'!$P101)/('Predicted PPIs'!X102+'Predicted PPIs'!X101)))</f>
        <v>4.0049458590202027</v>
      </c>
      <c r="AH102" s="13">
        <f t="shared" si="212"/>
        <v>5.7192906498146057</v>
      </c>
      <c r="AJ102" s="4">
        <f t="shared" si="207"/>
        <v>57.648046950232803</v>
      </c>
      <c r="AK102" s="4">
        <f t="shared" si="191"/>
        <v>-1.2758540623481753</v>
      </c>
      <c r="AL102" s="4">
        <f t="shared" si="192"/>
        <v>-4.3705263501804392</v>
      </c>
      <c r="AM102" s="4">
        <f t="shared" si="193"/>
        <v>-0.68000861583414141</v>
      </c>
      <c r="AN102" s="4">
        <f t="shared" si="176"/>
        <v>76.875931664949121</v>
      </c>
      <c r="AO102" s="4">
        <v>10.1</v>
      </c>
      <c r="AP102" s="4">
        <f t="shared" si="177"/>
        <v>-0.93438502673796786</v>
      </c>
      <c r="AQ102" s="4">
        <f t="shared" si="178"/>
        <v>-1.7664197860962561</v>
      </c>
      <c r="AR102" s="4">
        <f t="shared" si="210"/>
        <v>-1.1670245725901094E-4</v>
      </c>
      <c r="AS102" s="4">
        <f t="shared" si="208"/>
        <v>-0.23989333886698488</v>
      </c>
      <c r="AT102" s="4">
        <f t="shared" si="194"/>
        <v>9.0624772946859924</v>
      </c>
      <c r="AU102" s="4">
        <f t="shared" si="195"/>
        <v>14.922476328502418</v>
      </c>
      <c r="AV102" s="4">
        <f t="shared" si="196"/>
        <v>11.605937198067634</v>
      </c>
      <c r="AW102" s="4">
        <f t="shared" si="197"/>
        <v>6.4897710144927547</v>
      </c>
      <c r="AX102" s="4">
        <f t="shared" si="198"/>
        <v>8.6322780443058438</v>
      </c>
      <c r="AY102" s="4">
        <f t="shared" si="199"/>
        <v>10.150442512077296</v>
      </c>
      <c r="AZ102" s="4">
        <f t="shared" si="200"/>
        <v>3.4695951690821261</v>
      </c>
      <c r="BA102" s="4">
        <f t="shared" si="201"/>
        <v>9.3988106280193229</v>
      </c>
      <c r="BB102" s="4">
        <f t="shared" si="202"/>
        <v>53.75887997552914</v>
      </c>
      <c r="BC102" s="4">
        <f t="shared" si="203"/>
        <v>8.8099835748792277</v>
      </c>
      <c r="BD102" s="5">
        <f>'[2]Ordinary Experience'!$AD$324</f>
        <v>201.8</v>
      </c>
      <c r="BE102" s="5">
        <f>'[2]Ordinary Experience'!$AC$324</f>
        <v>1.8066615409621529</v>
      </c>
      <c r="BG102" s="4">
        <f t="shared" si="172"/>
        <v>6.4399431228871293</v>
      </c>
      <c r="BI102" s="4">
        <f>BI$13*'[2]Ordinary Experience'!$D$324/'[2]Ordinary Experience'!$D$413</f>
        <v>107681132.40382969</v>
      </c>
      <c r="BJ102" s="4">
        <f>'[2]Ordinary Experience'!$E$324</f>
        <v>31.551436796202729</v>
      </c>
      <c r="BL102" s="4">
        <f t="shared" si="211"/>
        <v>22.045188144400552</v>
      </c>
      <c r="BM102" s="4">
        <f t="shared" si="153"/>
        <v>0.12965702472384999</v>
      </c>
      <c r="BO102" s="4" t="str">
        <f>IF(OR('Summary, hourly ad costs'!R102=-9999,'Summary, PPI''s'!R102="."),".",(('Summary, hourly ad costs'!B102/'Summary, hourly ad costs'!R102)*100/('Summary, hourly ad costs'!B$11/'Summary, hourly ad costs'!R$11))/('Summary, PPI''s'!R102))</f>
        <v>.</v>
      </c>
      <c r="BP102" s="4" t="str">
        <f>IF(OR('Summary, hourly ad costs'!S102=-9999,'Summary, PPI''s'!S102="."),".",(('Summary, hourly ad costs'!C102/'Summary, hourly ad costs'!S102)*100/('Summary, hourly ad costs'!C$11/'Summary, hourly ad costs'!S$11))/('Summary, PPI''s'!S102))</f>
        <v>.</v>
      </c>
      <c r="BQ102" s="4" t="str">
        <f>IF(OR('Summary, hourly ad costs'!T102=-9999,'Summary, PPI''s'!T102="."),".",(('Summary, hourly ad costs'!D102/'Summary, hourly ad costs'!T102)*100/('Summary, hourly ad costs'!D$11/'Summary, hourly ad costs'!T$11))/('Summary, PPI''s'!T102))</f>
        <v>.</v>
      </c>
      <c r="BR102" s="4" t="str">
        <f>IF(OR('Summary, hourly ad costs'!U102=-9999,'Summary, PPI''s'!U102="."),".",(('Summary, hourly ad costs'!E102/'Summary, hourly ad costs'!U102)*100/('Summary, hourly ad costs'!E$11/'Summary, hourly ad costs'!U$11))/('Summary, PPI''s'!U102))</f>
        <v>.</v>
      </c>
      <c r="BS102" s="4" t="str">
        <f>IF(OR('Summary, hourly ad costs'!V102=-9999,'Summary, PPI''s'!V102="."),".",(('Summary, hourly ad costs'!F102/'Summary, hourly ad costs'!V102)*100/('Summary, hourly ad costs'!F$11/'Summary, hourly ad costs'!V$11))/('Summary, PPI''s'!V102))</f>
        <v>.</v>
      </c>
      <c r="BT102" s="4" t="str">
        <f>IF(OR('Summary, hourly ad costs'!W102=-9999,'Summary, PPI''s'!W102="."),".",(('Summary, hourly ad costs'!G102/'Summary, hourly ad costs'!W102)*100/('Summary, hourly ad costs'!G$11/'Summary, hourly ad costs'!W$11))/('Summary, PPI''s'!W102))</f>
        <v>.</v>
      </c>
      <c r="BU102" s="4" t="str">
        <f>IF(OR('Summary, hourly ad costs'!X102=-9999,'Summary, PPI''s'!X102="."),".",(('Summary, hourly ad costs'!H102/'Summary, hourly ad costs'!X102)*100/('Summary, hourly ad costs'!H$11/'Summary, hourly ad costs'!X$11))/('Summary, PPI''s'!X102))</f>
        <v>.</v>
      </c>
      <c r="BV102" s="4" t="str">
        <f>IF(OR('Summary, hourly ad costs'!Y102=-9999,'Summary, PPI''s'!Y102="."),".",(('Summary, hourly ad costs'!I102/'Summary, hourly ad costs'!Y102)*100/('Summary, hourly ad costs'!I$11/'Summary, hourly ad costs'!Y$11))/('Summary, PPI''s'!Y102))</f>
        <v>.</v>
      </c>
      <c r="BW102" s="4" t="str">
        <f>IF(OR('Summary, hourly ad costs'!Z102=-9999,'Summary, PPI''s'!Z102="."),".",(('Summary, hourly ad costs'!J102/'Summary, hourly ad costs'!Z102)*100/('Summary, hourly ad costs'!J$11/'Summary, hourly ad costs'!Z$11))/('Summary, PPI''s'!Z102))</f>
        <v>.</v>
      </c>
      <c r="BX102" s="4" t="str">
        <f>IF(OR('Summary, hourly ad costs'!AA102=-9999,'Summary, PPI''s'!AA102="."),".",(('Summary, hourly ad costs'!K102/'Summary, hourly ad costs'!AA102)*100/('Summary, hourly ad costs'!K$11/'Summary, hourly ad costs'!AA$11))/('Summary, PPI''s'!AA102))</f>
        <v>.</v>
      </c>
      <c r="BY102" s="4" t="str">
        <f>IF(OR('Summary, hourly ad costs'!AB102=-9999,'Summary, PPI''s'!AB102="."),".",(('Summary, hourly ad costs'!L102/'Summary, hourly ad costs'!AB102)*100/('Summary, hourly ad costs'!L$11/'Summary, hourly ad costs'!AB$11))/('Summary, PPI''s'!AB102))</f>
        <v>.</v>
      </c>
      <c r="BZ102" s="4" t="str">
        <f>IF(OR('Summary, hourly ad costs'!AC102=-9999,'Summary, PPI''s'!AC102="."),".",(('Summary, hourly ad costs'!M102/'Summary, hourly ad costs'!AC102)*100/('Summary, hourly ad costs'!M$11/'Summary, hourly ad costs'!AC$11))/('Summary, PPI''s'!AC102))</f>
        <v>.</v>
      </c>
      <c r="CA102" s="4" t="str">
        <f>IF(OR('Summary, hourly ad costs'!AD102=-9999,'Summary, PPI''s'!AD102="."),".",(('Summary, hourly ad costs'!N102/'Summary, hourly ad costs'!AD102)*100/('Summary, hourly ad costs'!N$11/'Summary, hourly ad costs'!AD$11))/('Summary, PPI''s'!AD102))</f>
        <v>.</v>
      </c>
      <c r="CB102" s="4" t="str">
        <f>IF(OR('Summary, hourly ad costs'!AE102=-9999,'Summary, PPI''s'!AE102="."),".",(('Summary, hourly ad costs'!O102/'Summary, hourly ad costs'!AE102)*100/('Summary, hourly ad costs'!O$11/'Summary, hourly ad costs'!AE$11))/('Summary, PPI''s'!AE102))</f>
        <v>.</v>
      </c>
      <c r="CC102" s="4" t="str">
        <f>IF(OR('Summary, hourly ad costs'!AF102=-9999,'Summary, PPI''s'!AF102="."),".",(('Summary, hourly ad costs'!P102/'Summary, hourly ad costs'!AF102)*100/('Summary, hourly ad costs'!P$11/'Summary, hourly ad costs'!AF$11))/('Summary, PPI''s'!AF102))</f>
        <v>.</v>
      </c>
      <c r="CE102" s="4">
        <f t="shared" si="183"/>
        <v>9.0705523881308953E-2</v>
      </c>
      <c r="CF102" s="4" t="str">
        <f t="shared" si="184"/>
        <v>.</v>
      </c>
      <c r="CG102" s="4" t="str">
        <f t="shared" si="185"/>
        <v>.</v>
      </c>
      <c r="CH102" s="4">
        <f t="shared" si="145"/>
        <v>0.1463251512529371</v>
      </c>
      <c r="CI102" s="4">
        <f t="shared" si="145"/>
        <v>0.16788939119988469</v>
      </c>
      <c r="CJ102" s="4" t="str">
        <f t="shared" si="209"/>
        <v>.</v>
      </c>
      <c r="CK102" s="4">
        <f t="shared" si="149"/>
        <v>-2.8025040056175793E-3</v>
      </c>
      <c r="CL102" s="4">
        <f t="shared" si="130"/>
        <v>0.11708040755128953</v>
      </c>
      <c r="CM102" s="4">
        <f t="shared" si="130"/>
        <v>6.3368692561187601E-2</v>
      </c>
      <c r="CN102" s="4">
        <f t="shared" si="204"/>
        <v>0.10370962003237444</v>
      </c>
      <c r="CO102" s="4">
        <f t="shared" si="180"/>
        <v>0.84601559797943837</v>
      </c>
      <c r="CP102" s="4">
        <f t="shared" si="180"/>
        <v>-0.15243920061581434</v>
      </c>
      <c r="CQ102" s="4" t="str">
        <f t="shared" si="173"/>
        <v>.</v>
      </c>
      <c r="CR102" s="4" t="str">
        <f t="shared" si="174"/>
        <v>.</v>
      </c>
      <c r="CS102" s="4" t="str">
        <f t="shared" si="175"/>
        <v>.</v>
      </c>
      <c r="CU102" s="5">
        <f>IF(CU101=".", ".", IF('Summary, PPI''s'!R102=".",IF(OR('Summary, hourly ad costs'!R102=-9999,'Summary, hourly ad costs'!R102=0), ".", 'Predicted PPIs'!CU101*('Summary, hourly ad costs'!B102/'Summary, hourly ad costs'!R102)/('Summary, hourly ad costs'!B101/'Summary, hourly ad costs'!R101)/(1-CE101)), 'Summary, PPI''s'!R102))</f>
        <v>25.941263121962049</v>
      </c>
      <c r="CV102" s="5" t="str">
        <f>IF(CV101=".", ".", IF('Summary, PPI''s'!S102=".",IF(OR('Summary, hourly ad costs'!S102=-9999,'Summary, hourly ad costs'!S102=0), ".", 'Predicted PPIs'!CV101*('Summary, hourly ad costs'!C102/'Summary, hourly ad costs'!S102)/('Summary, hourly ad costs'!C101/'Summary, hourly ad costs'!S101)/(1-CF101)), 'Summary, PPI''s'!S102))</f>
        <v>.</v>
      </c>
      <c r="CW102" s="5" t="str">
        <f>IF(CW101=".", ".", IF('Summary, PPI''s'!T102=".",IF(OR('Summary, hourly ad costs'!T102=-9999,'Summary, hourly ad costs'!T102=0), ".", 'Predicted PPIs'!CW101*('Summary, hourly ad costs'!D102/'Summary, hourly ad costs'!T102)/('Summary, hourly ad costs'!D101/'Summary, hourly ad costs'!T101)/(1-CG101)), 'Summary, PPI''s'!T102))</f>
        <v>.</v>
      </c>
      <c r="CX102" s="5">
        <f>IF(CX101=".", ".", IF('Summary, PPI''s'!U102=".",IF(OR('Summary, hourly ad costs'!U102=-9999,'Summary, hourly ad costs'!U102=0), ".", 'Predicted PPIs'!CX101*('Summary, hourly ad costs'!E102/'Summary, hourly ad costs'!U102)/('Summary, hourly ad costs'!E101/'Summary, hourly ad costs'!U101)/(1-CH101)), 'Summary, PPI''s'!U102))</f>
        <v>2.833799903502114</v>
      </c>
      <c r="CY102" s="5">
        <f>IF(CY101=".", ".", IF('Summary, PPI''s'!V102=".",IF(OR('Summary, hourly ad costs'!V102=-9999,'Summary, hourly ad costs'!V102=0), ".", 'Predicted PPIs'!CY101*('Summary, hourly ad costs'!F102/'Summary, hourly ad costs'!V102)/('Summary, hourly ad costs'!F101/'Summary, hourly ad costs'!V101)/(1-CI101)), 'Summary, PPI''s'!V102))</f>
        <v>4.5551752674981376</v>
      </c>
      <c r="CZ102" s="5" t="str">
        <f>IF(CZ101=".", ".", IF('Summary, PPI''s'!W102=".",IF(OR('Summary, hourly ad costs'!W102=-9999,'Summary, hourly ad costs'!W102=0), ".", 'Predicted PPIs'!CZ101*('Summary, hourly ad costs'!G102/'Summary, hourly ad costs'!W102)/('Summary, hourly ad costs'!G101/'Summary, hourly ad costs'!W101)/(1-CJ101)), 'Summary, PPI''s'!W102))</f>
        <v>.</v>
      </c>
      <c r="DA102" s="5">
        <f>IF(DA101=".", ".", IF('Summary, PPI''s'!X102=".",IF(OR('Summary, hourly ad costs'!X102=-9999,'Summary, hourly ad costs'!X102=0), ".", 'Predicted PPIs'!DA101*('Summary, hourly ad costs'!H102/'Summary, hourly ad costs'!X102)/('Summary, hourly ad costs'!H101/'Summary, hourly ad costs'!X101)/(1-CK101)), 'Summary, PPI''s'!X102))</f>
        <v>2.1897942351340203</v>
      </c>
      <c r="DB102" s="5" t="str">
        <f>IF(DB101=".", ".", IF('Summary, PPI''s'!Y102=".",IF(OR('Summary, hourly ad costs'!Y102=-9999,'Summary, hourly ad costs'!Y102=0), ".", 'Predicted PPIs'!DB101*('Summary, hourly ad costs'!I102/'Summary, hourly ad costs'!Y102)/('Summary, hourly ad costs'!I101/'Summary, hourly ad costs'!Y101)/(1-CL101)), 'Summary, PPI''s'!Y102))</f>
        <v>.</v>
      </c>
      <c r="DC102" s="5" t="str">
        <f>IF(DC101=".", ".", IF('Summary, PPI''s'!Z102=".",IF(OR('Summary, hourly ad costs'!Z102=-9999,'Summary, hourly ad costs'!Z102=0), ".", 'Predicted PPIs'!DC101*('Summary, hourly ad costs'!J102/'Summary, hourly ad costs'!Z102)/('Summary, hourly ad costs'!J101/'Summary, hourly ad costs'!Z101)/(1-CM101)), 'Summary, PPI''s'!Z102))</f>
        <v>.</v>
      </c>
      <c r="DD102" s="5" t="str">
        <f>IF(DD101=".", ".", IF('Summary, PPI''s'!AA102=".",IF(OR('Summary, hourly ad costs'!AA102=-9999,'Summary, hourly ad costs'!AA102=0), ".", 'Predicted PPIs'!DD101*('Summary, hourly ad costs'!K102/'Summary, hourly ad costs'!AA102)/('Summary, hourly ad costs'!K101/'Summary, hourly ad costs'!AA101)/(1-CN101)), 'Summary, PPI''s'!AA102))</f>
        <v>.</v>
      </c>
      <c r="DE102" s="5" t="str">
        <f>IF(DE101=".", ".", IF('Summary, PPI''s'!AB102=".",IF(OR('Summary, hourly ad costs'!AB102=-9999,'Summary, hourly ad costs'!AB102=0), ".", 'Predicted PPIs'!DE101*('Summary, hourly ad costs'!L102/'Summary, hourly ad costs'!AB102)/('Summary, hourly ad costs'!L101/'Summary, hourly ad costs'!AB101)/(1-CO101)), 'Summary, PPI''s'!AB102))</f>
        <v>.</v>
      </c>
      <c r="DF102" s="5" t="str">
        <f>IF(DF101=".", ".", IF('Summary, PPI''s'!AC102=".",IF(OR('Summary, hourly ad costs'!AC102=-9999,'Summary, hourly ad costs'!AC102=0), ".", 'Predicted PPIs'!DF101*('Summary, hourly ad costs'!M102/'Summary, hourly ad costs'!AC102)/('Summary, hourly ad costs'!M101/'Summary, hourly ad costs'!AC101)/(1-CP101)), 'Summary, PPI''s'!AC102))</f>
        <v>.</v>
      </c>
      <c r="DG102" s="5" t="str">
        <f>IF(DG101=".", ".", IF('Summary, PPI''s'!AD102=".",IF(OR('Summary, hourly ad costs'!AD102=-9999,'Summary, hourly ad costs'!AD102=0), ".", 'Predicted PPIs'!DG101*('Summary, hourly ad costs'!N102/'Summary, hourly ad costs'!AD102)/('Summary, hourly ad costs'!N101/'Summary, hourly ad costs'!AD101)/(1-CQ101)), 'Summary, PPI''s'!AD102))</f>
        <v>.</v>
      </c>
      <c r="DH102" s="5" t="str">
        <f>IF(DH101=".", ".", IF('Summary, PPI''s'!AE102=".",IF(OR('Summary, hourly ad costs'!AE102=-9999,'Summary, hourly ad costs'!AE102=0), ".", 'Predicted PPIs'!DH101*('Summary, hourly ad costs'!O102/'Summary, hourly ad costs'!AE102)/('Summary, hourly ad costs'!O101/'Summary, hourly ad costs'!AE101)/(1-CR101)), 'Summary, PPI''s'!AE102))</f>
        <v>.</v>
      </c>
      <c r="DI102" s="5" t="str">
        <f>IF(DI101=".", ".", IF('Summary, PPI''s'!AF102=".",IF(OR('Summary, hourly ad costs'!AF102=-9999,'Summary, hourly ad costs'!AF102=0), ".", 'Predicted PPIs'!DI101*('Summary, hourly ad costs'!P102/'Summary, hourly ad costs'!AF102)/('Summary, hourly ad costs'!P101/'Summary, hourly ad costs'!AF101)/(1-CS101)), 'Summary, PPI''s'!AF102))</f>
        <v>.</v>
      </c>
      <c r="DK102" s="4">
        <f t="shared" si="205"/>
        <v>2.3102042105263152</v>
      </c>
      <c r="DM102" s="5">
        <f t="shared" si="186"/>
        <v>-0.48381848025044383</v>
      </c>
      <c r="DN102" s="4">
        <f t="shared" si="187"/>
        <v>-4.4767881755249136E-2</v>
      </c>
      <c r="DO102" s="4">
        <f t="shared" si="181"/>
        <v>-2.195029231724183E-2</v>
      </c>
      <c r="DP102" s="5">
        <f t="shared" si="188"/>
        <v>8.6393737648953639E-2</v>
      </c>
      <c r="DQ102" s="5">
        <f t="shared" si="189"/>
        <v>-0.35896985579208318</v>
      </c>
      <c r="DR102" s="4">
        <f t="shared" si="146"/>
        <v>6.6574173249799029E-3</v>
      </c>
      <c r="DS102" s="5">
        <f t="shared" si="190"/>
        <v>-0.11925124866980608</v>
      </c>
      <c r="DT102" s="4">
        <f t="shared" si="206"/>
        <v>-8.3027720089634591E-2</v>
      </c>
      <c r="DU102" s="4">
        <f t="shared" si="171"/>
        <v>2.0962439796837033E-2</v>
      </c>
      <c r="DV102" s="4">
        <f t="shared" si="131"/>
        <v>-3.9854472505119233E-3</v>
      </c>
      <c r="DW102" s="4">
        <f t="shared" si="182"/>
        <v>-0.39415783613601579</v>
      </c>
      <c r="DX102" s="4">
        <f t="shared" si="182"/>
        <v>0.55539153109938411</v>
      </c>
      <c r="DY102" s="4">
        <f t="shared" si="228"/>
        <v>-3.5026822691477354E-3</v>
      </c>
      <c r="DZ102" s="4">
        <f t="shared" si="132"/>
        <v>4.3815866720576351E-3</v>
      </c>
      <c r="EA102" s="4">
        <f t="shared" si="229"/>
        <v>-1.5751543692287678E-3</v>
      </c>
      <c r="EC102" s="1">
        <f t="shared" si="213"/>
        <v>25.941263121962049</v>
      </c>
      <c r="ED102" s="1">
        <f t="shared" si="214"/>
        <v>2.8421121815275154</v>
      </c>
      <c r="EE102" s="1">
        <f t="shared" si="215"/>
        <v>1.5962090746764159</v>
      </c>
      <c r="EF102" s="1">
        <f t="shared" si="216"/>
        <v>2.833799903502114</v>
      </c>
      <c r="EG102" s="1">
        <f t="shared" si="217"/>
        <v>4.5551752674981376</v>
      </c>
      <c r="EH102" s="1">
        <f t="shared" si="218"/>
        <v>2.1104413462943628</v>
      </c>
      <c r="EI102" s="1">
        <f t="shared" si="219"/>
        <v>2.1897942351340203</v>
      </c>
      <c r="EJ102" s="1">
        <f t="shared" si="220"/>
        <v>2.9797868285150386</v>
      </c>
      <c r="EK102" s="1">
        <f t="shared" si="221"/>
        <v>5.6203633271441316</v>
      </c>
      <c r="EL102" s="1">
        <f t="shared" si="222"/>
        <v>1.9012099906604361</v>
      </c>
      <c r="EM102" s="1">
        <f t="shared" si="223"/>
        <v>0.11449642741951649</v>
      </c>
      <c r="EN102" s="1">
        <f t="shared" si="224"/>
        <v>1.856779827436617</v>
      </c>
      <c r="EO102" s="1">
        <f t="shared" si="225"/>
        <v>1.1627458335492644</v>
      </c>
      <c r="EP102" s="1">
        <f t="shared" si="226"/>
        <v>2.0159960423696122</v>
      </c>
      <c r="EQ102" s="1">
        <f t="shared" si="227"/>
        <v>1.5943586505099616</v>
      </c>
      <c r="ES102" s="1">
        <f>IF(EF$26=".", 0, 'Summary, PPI''s'!E102)+IF(EG$26=".", 0, 'Summary, PPI''s'!F102)+IF(EH$26=".", 0, 'Summary, PPI''s'!G102)+IF(EI$26=".", 0, 'Summary, PPI''s'!H102)+IF(EJ$26=".", 0, 'Summary, PPI''s'!I102)+IF(EK$26=".", 0, 'Summary, PPI''s'!J102)+IF(EL$26=".", 0, 'Summary, PPI''s'!K102)+IF(EM$26=".", 0, 'Summary, PPI''s'!L102)+IF(EN$26=".", 0, 'Summary, PPI''s'!M102)+IF(EC$26=".", 0, 'Summary, PPI''s'!B102)+IF(ED$26=".", 0, 'Summary, PPI''s'!C102)+IF(EE$26=".", 0, 'Summary, PPI''s'!D102)+IF(EO$26=".", 0, 'Summary, PPI''s'!N102)+IF(EP$26=".", 0, 'Summary, PPI''s'!O102)+IF(EQ$26=".", 0, 'Summary, PPI''s'!P102)</f>
        <v>1622720.3853309657</v>
      </c>
      <c r="ET102" s="1">
        <f>'Summary, hourly ad costs'!E102+'Summary, hourly ad costs'!F102+'Summary, hourly ad costs'!H102+'Summary, hourly ad costs'!I102+'Summary, hourly ad costs'!J102+'Summary, hourly ad costs'!K102+'Summary, hourly ad costs'!L102+'Summary, hourly ad costs'!M102+'Summary, hourly ad costs'!B102</f>
        <v>1045664.5376218732</v>
      </c>
      <c r="EV102" s="13">
        <f>EV101*IF(EF$26=".", 1, (EF102/EF101)^(('Summary, PPI''s'!$E102+'Summary, PPI''s'!$E101)/('Predicted PPIs'!ES102+'Predicted PPIs'!ES101)))*IF(EG$26=".", 1, (EG102/EG101)^(('Summary, PPI''s'!$F102+'Summary, PPI''s'!$F101)/('Predicted PPIs'!ES102+'Predicted PPIs'!ES101)))*IF(EH$26=".", 1, (EH102/EH101)^(('Summary, PPI''s'!$G102+'Summary, PPI''s'!$G101)/('Predicted PPIs'!ES102+'Predicted PPIs'!ES101)))*IF(EI$26=".", 1, (EI102/EI101)^(('Summary, PPI''s'!$H102+'Summary, PPI''s'!$H101)/('Predicted PPIs'!ES102+'Predicted PPIs'!ES101)))*IF(EJ$26=".", 1, (EJ102/EJ101)^(('Summary, PPI''s'!$I102+'Summary, PPI''s'!$I101)/('Predicted PPIs'!ES102+'Predicted PPIs'!ES101)))*IF(EK$26=".", 1, (EK102/EK101)^(('Summary, PPI''s'!$J102+'Summary, PPI''s'!$J101)/('Predicted PPIs'!ES102+'Predicted PPIs'!ES101)))*IF(EL$26=".", 1, (EL102/EL101)^(('Summary, PPI''s'!$K102+'Summary, PPI''s'!$K101)/('Predicted PPIs'!ES102+'Predicted PPIs'!ES101)))*IF(EM$26=".", 1, (EM102/EM101)^(('Summary, PPI''s'!$L102+'Summary, PPI''s'!$L101)/('Predicted PPIs'!ES102+'Predicted PPIs'!ES101)))*IF(EN$26=".", 1, (EN102/EN101)^(('Summary, PPI''s'!$M102+'Summary, PPI''s'!$M101)/('Predicted PPIs'!ES102+'Predicted PPIs'!ES101)))*IF(EC$26=".", 1, (EC102/EC101)^(('Summary, PPI''s'!$B102+'Summary, PPI''s'!$B101)/('Predicted PPIs'!ES102+'Predicted PPIs'!ES101)))*IF(ED$26=".", 1, (ED102/ED101)^(('Summary, PPI''s'!$C102+'Summary, PPI''s'!$C101)/('Predicted PPIs'!ES102+'Predicted PPIs'!ES101)))*IF(EE$26=".", 1, (EE102/EE101)^(('Summary, PPI''s'!$D102+'Summary, PPI''s'!$D101)/('Predicted PPIs'!ES102+'Predicted PPIs'!ES101)))*IF(EO$26=".", 1, (EO102/EO101)^(('Summary, PPI''s'!$N102+'Summary, PPI''s'!$N101)/('Predicted PPIs'!ES102+'Predicted PPIs'!ES101)))*IF(EP$26=".", 1, (EP102/EP101)^(('Summary, PPI''s'!$O102+'Summary, PPI''s'!$O101)/('Predicted PPIs'!ES102+'Predicted PPIs'!ES101)))*IF(EQ$26=".", 1, (EQ102/EQ101)^(('Summary, PPI''s'!$P102+'Summary, PPI''s'!$P101)/('Predicted PPIs'!ES102+'Predicted PPIs'!ES101)))</f>
        <v>3.7311603512909657</v>
      </c>
      <c r="EW102" s="13">
        <f>EW101*IF(EF$26=".", 1, (EF102/EF101)^(('Summary, PPI''s'!$E102+'Summary, PPI''s'!$E101)/('Predicted PPIs'!ET102+'Predicted PPIs'!ET101)))*IF(EG$26=".", 1, (EG102/EG101)^(('Summary, PPI''s'!$F102+'Summary, PPI''s'!$F101)/('Predicted PPIs'!ET102+'Predicted PPIs'!ET101)))*IF(EH$26=".", 1, (EH102/EH101)^(('Summary, PPI''s'!$G102+'Summary, PPI''s'!$G101)/('Predicted PPIs'!ET102+'Predicted PPIs'!ET101)))*IF(EK$26=".", 1, (EK102/EK101)^(('Summary, PPI''s'!$J102+'Summary, PPI''s'!$J101)/('Predicted PPIs'!ET102+'Predicted PPIs'!ET101)))*IF(EL$26=".", 1, (EL102/EL101)^(('Summary, PPI''s'!$K102+'Summary, PPI''s'!$K101)/('Predicted PPIs'!ET102+'Predicted PPIs'!ET101)))*IF(EM$26=".", 1, (EM102/EM101)^(('Summary, PPI''s'!$L102+'Summary, PPI''s'!$L101)/('Predicted PPIs'!ET102+'Predicted PPIs'!ET101)))*IF(EN$26=".", 1, (EN102/EN101)^(('Summary, PPI''s'!$M102+'Summary, PPI''s'!$M101)/('Predicted PPIs'!ET102+'Predicted PPIs'!ET101)))*IF(EC$26=".", 1, (EC102/EC101)^(('Summary, PPI''s'!$B102+'Summary, PPI''s'!$B101)/('Predicted PPIs'!ET102+'Predicted PPIs'!ET101)))</f>
        <v>7.4875941830332913</v>
      </c>
      <c r="EY102" s="2"/>
    </row>
    <row r="103" spans="1:155" x14ac:dyDescent="0.3">
      <c r="A103" s="4">
        <v>1920</v>
      </c>
      <c r="B103" s="10">
        <f>IF(B102=".", ".", IF('Summary, PPI''s'!R103=".",IF(OR('Summary, hourly ad costs'!R103=-9999,'Summary, hourly ad costs'!R103=0), ".", 'Predicted PPIs'!B102*('Summary, hourly ad costs'!B103/'Summary, hourly ad costs'!R103)/('Summary, hourly ad costs'!B102/'Summary, hourly ad costs'!R102)), 'Summary, PPI''s'!R103))</f>
        <v>89.923940890482285</v>
      </c>
      <c r="C103" s="10" t="str">
        <f>IF(C102=".", ".", IF('Summary, PPI''s'!S103=".",IF(OR('Summary, hourly ad costs'!S103=-9999,'Summary, hourly ad costs'!S103=0), ".", 'Predicted PPIs'!C102*('Summary, hourly ad costs'!C103/'Summary, hourly ad costs'!S103)/('Summary, hourly ad costs'!C102/'Summary, hourly ad costs'!S102)), 'Summary, PPI''s'!S103))</f>
        <v>.</v>
      </c>
      <c r="D103" s="10" t="str">
        <f>IF(D102=".", ".", IF('Summary, PPI''s'!T103=".",IF(OR('Summary, hourly ad costs'!T103=-9999,'Summary, hourly ad costs'!T103=0), ".", 'Predicted PPIs'!D102*('Summary, hourly ad costs'!D103/'Summary, hourly ad costs'!T103)/('Summary, hourly ad costs'!D102/'Summary, hourly ad costs'!T102)), 'Summary, PPI''s'!T103))</f>
        <v>.</v>
      </c>
      <c r="E103" s="10">
        <f>IF(E102=".", ".", IF('Summary, PPI''s'!U103=".",IF(OR('Summary, hourly ad costs'!U103=-9999,'Summary, hourly ad costs'!U103=0), ".", 'Predicted PPIs'!E102*('Summary, hourly ad costs'!E103/'Summary, hourly ad costs'!U103)/('Summary, hourly ad costs'!E102/'Summary, hourly ad costs'!U102)), 'Summary, PPI''s'!U103))</f>
        <v>2.0696225735390694</v>
      </c>
      <c r="F103" s="10">
        <f>IF(F102=".", ".", IF('Summary, PPI''s'!V103=".",IF(OR('Summary, hourly ad costs'!V103=-9999,'Summary, hourly ad costs'!V103=0), ".", 'Predicted PPIs'!F102*('Summary, hourly ad costs'!F103/'Summary, hourly ad costs'!V103)/('Summary, hourly ad costs'!F102/'Summary, hourly ad costs'!V102)), 'Summary, PPI''s'!V103))</f>
        <v>4.9164606430193443</v>
      </c>
      <c r="G103" s="10" t="str">
        <f>IF(G102=".", ".", IF('Summary, PPI''s'!W103=".",IF(OR('Summary, hourly ad costs'!W103=-9999,'Summary, hourly ad costs'!W103=0), ".", 'Predicted PPIs'!G102*('Summary, hourly ad costs'!G103/'Summary, hourly ad costs'!W103)/('Summary, hourly ad costs'!G102/'Summary, hourly ad costs'!W102)), 'Summary, PPI''s'!W103))</f>
        <v>.</v>
      </c>
      <c r="H103" s="10">
        <f>IF(H102=".", ".", IF('Summary, PPI''s'!X103=".",IF(OR('Summary, hourly ad costs'!X103=-9999,'Summary, hourly ad costs'!X103=0), ".", 'Predicted PPIs'!H102*('Summary, hourly ad costs'!H103/'Summary, hourly ad costs'!X103)/('Summary, hourly ad costs'!H102/'Summary, hourly ad costs'!X102)), 'Summary, PPI''s'!X103))</f>
        <v>2.3823297587637797</v>
      </c>
      <c r="I103" s="10" t="str">
        <f>IF(I102=".", ".", IF('Summary, PPI''s'!Y103=".",IF(OR('Summary, hourly ad costs'!Y103=-9999,'Summary, hourly ad costs'!Y103=0), ".", 'Predicted PPIs'!I102*('Summary, hourly ad costs'!I103/'Summary, hourly ad costs'!Y103)/('Summary, hourly ad costs'!I102/'Summary, hourly ad costs'!Y102)), 'Summary, PPI''s'!Y103))</f>
        <v>.</v>
      </c>
      <c r="J103" s="10" t="str">
        <f>IF(J102=".", ".", IF('Summary, PPI''s'!Z103=".",IF(OR('Summary, hourly ad costs'!Z103=-9999,'Summary, hourly ad costs'!Z103=0), ".", 'Predicted PPIs'!J102*('Summary, hourly ad costs'!J103/'Summary, hourly ad costs'!Z103)/('Summary, hourly ad costs'!J102/'Summary, hourly ad costs'!Z102)), 'Summary, PPI''s'!Z103))</f>
        <v>.</v>
      </c>
      <c r="K103" s="10" t="str">
        <f>IF(K102=".", ".", IF('Summary, PPI''s'!AA103=".",IF(OR('Summary, hourly ad costs'!AA103=-9999,'Summary, hourly ad costs'!AA103=0), ".", 'Predicted PPIs'!K102*('Summary, hourly ad costs'!K103/'Summary, hourly ad costs'!AA103)/('Summary, hourly ad costs'!K102/'Summary, hourly ad costs'!AA102)), 'Summary, PPI''s'!AA103))</f>
        <v>.</v>
      </c>
      <c r="L103" s="10" t="str">
        <f>IF(L102=".", ".", IF('Summary, PPI''s'!AB103=".",IF(OR('Summary, hourly ad costs'!AB103=-9999,'Summary, hourly ad costs'!AB103=0), ".", 'Predicted PPIs'!L102*('Summary, hourly ad costs'!L103/'Summary, hourly ad costs'!AB103)/('Summary, hourly ad costs'!L102/'Summary, hourly ad costs'!AB102)), 'Summary, PPI''s'!AB103))</f>
        <v>.</v>
      </c>
      <c r="M103" s="10" t="str">
        <f>IF(M102=".", ".", IF('Summary, PPI''s'!AC103=".",IF(OR('Summary, hourly ad costs'!AC103=-9999,'Summary, hourly ad costs'!AC103=0), ".", 'Predicted PPIs'!M102*('Summary, hourly ad costs'!M103/'Summary, hourly ad costs'!AC103)/('Summary, hourly ad costs'!M102/'Summary, hourly ad costs'!AC102)), 'Summary, PPI''s'!AC103))</f>
        <v>.</v>
      </c>
      <c r="N103" s="10" t="str">
        <f>IF(N102=".", ".", IF('Summary, PPI''s'!AD103=".",IF(OR('Summary, hourly ad costs'!AD103=-9999,'Summary, hourly ad costs'!AD103=0), ".", 'Predicted PPIs'!N102*('Summary, hourly ad costs'!N103/'Summary, hourly ad costs'!AD103)/('Summary, hourly ad costs'!N102/'Summary, hourly ad costs'!AD102)), 'Summary, PPI''s'!AD103))</f>
        <v>.</v>
      </c>
      <c r="O103" s="10" t="str">
        <f>IF(O102=".", ".", IF('Summary, PPI''s'!AE103=".",IF(OR('Summary, hourly ad costs'!AE103=-9999,'Summary, hourly ad costs'!AE103=0), ".", 'Predicted PPIs'!O102*('Summary, hourly ad costs'!O103/'Summary, hourly ad costs'!AE103)/('Summary, hourly ad costs'!O102/'Summary, hourly ad costs'!AE102)), 'Summary, PPI''s'!AE103))</f>
        <v>.</v>
      </c>
      <c r="P103" s="10" t="str">
        <f>IF(P102=".", ".", IF('Summary, PPI''s'!AF103=".",IF(OR('Summary, hourly ad costs'!AF103=-9999,'Summary, hourly ad costs'!AF103=0), ".", 'Predicted PPIs'!P102*('Summary, hourly ad costs'!P103/'Summary, hourly ad costs'!AF103)/('Summary, hourly ad costs'!P102/'Summary, hourly ad costs'!AF102)), 'Summary, PPI''s'!AF103))</f>
        <v>.</v>
      </c>
      <c r="R103" s="1">
        <f>IF(E$26=".", 0, 'Summary, PPI''s'!E103)+IF(F$26=".", 0, 'Summary, PPI''s'!F103)+IF(G$26=".", 0, 'Summary, PPI''s'!G103)+IF(H$26=".", 0, 'Summary, PPI''s'!H103)+IF(I$26=".", 0, 'Summary, PPI''s'!I103)+IF(J$26=".", 0, 'Summary, PPI''s'!J103)+IF(K$26=".", 0, 'Summary, PPI''s'!K103)+IF(L$26=".", 0, 'Summary, PPI''s'!L103)+IF(M$26=".", 0, 'Summary, PPI''s'!M103)+IF(B$26=".", 0, 'Summary, PPI''s'!B103)+IF(C$26=".", 0, 'Summary, PPI''s'!C103)+IF(D$26=".", 0, 'Summary, PPI''s'!D103)+IF(N$26=".", 0, 'Summary, PPI''s'!N103)+IF(O$26=".", 0, 'Summary, PPI''s'!O103)+IF(P$26=".", 0, 'Summary, PPI''s'!P103)</f>
        <v>1946570.3968031257</v>
      </c>
      <c r="S103" s="1">
        <f>IF(E$36=".", 0, 'Summary, PPI''s'!E103)+IF(F$36=".", 0, 'Summary, PPI''s'!F103)+IF(G$36=".", 0, 'Summary, PPI''s'!G103)+IF(H$36=".", 0, 'Summary, PPI''s'!H103)+IF(I$36=".", 0, 'Summary, PPI''s'!I103)+IF(J$36=".", 0, 'Summary, PPI''s'!J103)+IF(K$36=".", 0, 'Summary, PPI''s'!K103)+IF(L$36=".", 0, 'Summary, PPI''s'!L103)+IF(M$36=".", 0, 'Summary, PPI''s'!M103)+IF(B$36=".", 0, 'Summary, PPI''s'!B103)+IF(C$36=".", 0, 'Summary, PPI''s'!C103)+IF(D$36=".", 0, 'Summary, PPI''s'!D103)+IF(N$36=".", 0, 'Summary, PPI''s'!N103)+IF(O$36=".", 0, 'Summary, PPI''s'!O103)+IF(P$36=".", 0, 'Summary, PPI''s'!P103)</f>
        <v>1946570.3968031257</v>
      </c>
      <c r="T103" s="1">
        <f>IF(E$46=".", 0, 'Summary, PPI''s'!E103)+IF(F$46=".", 0, 'Summary, PPI''s'!F103)+IF(G$46=".", 0, 'Summary, PPI''s'!G103)+IF(H$46=".", 0, 'Summary, PPI''s'!H103)+IF(I$46=".", 0, 'Summary, PPI''s'!I103)+IF(J$46=".", 0, 'Summary, PPI''s'!J103)+IF(K$46=".", 0, 'Summary, PPI''s'!K103)+IF(L$46=".", 0, 'Summary, PPI''s'!L103)+IF(M$46=".", 0, 'Summary, PPI''s'!M103)+IF(B$46=".", 0, 'Summary, PPI''s'!B103)+IF(C$46=".", 0, 'Summary, PPI''s'!C103)+IF(D$46=".", 0, 'Summary, PPI''s'!D103)+IF(N$46=".", 0, 'Summary, PPI''s'!N103)+IF(O$46=".", 0, 'Summary, PPI''s'!O103)+IF(P$46=".", 0, 'Summary, PPI''s'!P103)</f>
        <v>1730699.7528601608</v>
      </c>
      <c r="U103" s="1">
        <f>IF(E$60=".", 0, 'Summary, PPI''s'!E103)+IF(F$60=".", 0, 'Summary, PPI''s'!F103)+IF(G$60=".", 0, 'Summary, PPI''s'!G103)+IF(H$60=".", 0, 'Summary, PPI''s'!H103)+IF(I$60=".", 0, 'Summary, PPI''s'!I103)+IF(J$60=".", 0, 'Summary, PPI''s'!J103)+IF(K$60=".", 0, 'Summary, PPI''s'!K103)+IF(L$60=".", 0, 'Summary, PPI''s'!L103)+IF(M$60=".", 0, 'Summary, PPI''s'!M103)+IF(B$60=".", 0, 'Summary, PPI''s'!B103)+IF(C$60=".", 0, 'Summary, PPI''s'!C103)+IF(D$60=".", 0, 'Summary, PPI''s'!D103)+IF(N$60=".", 0, 'Summary, PPI''s'!N103)+IF(O$60=".", 0, 'Summary, PPI''s'!O103)+IF(P$60=".", 0, 'Summary, PPI''s'!P103)</f>
        <v>1642411.5074627122</v>
      </c>
      <c r="V103" s="1">
        <f>IF(E$73=".", 0, 'Summary, PPI''s'!E103)+IF(F$73=".", 0, 'Summary, PPI''s'!F103)+IF(G$73=".", 0, 'Summary, PPI''s'!G103)+IF(H$73=".", 0, 'Summary, PPI''s'!H103)+IF(I$73=".", 0, 'Summary, PPI''s'!I103)+IF(J$73=".", 0, 'Summary, PPI''s'!J103)+IF(K$73=".", 0, 'Summary, PPI''s'!K103)+IF(L$73=".", 0, 'Summary, PPI''s'!L103)+IF(M$73=".", 0, 'Summary, PPI''s'!M103)+IF(B$73=".", 0, 'Summary, PPI''s'!B103)+IF(C$73=".", 0, 'Summary, PPI''s'!C103)+IF(D$73=".", 0, 'Summary, PPI''s'!D103)+IF(N$73=".", 0, 'Summary, PPI''s'!N103)+IF(O$73=".", 0, 'Summary, PPI''s'!O103)+IF(P$73=".", 0, 'Summary, PPI''s'!P103)</f>
        <v>1203138.2276852464</v>
      </c>
      <c r="W103" s="1">
        <f>IF(E$94=".",0,'Summary, PPI''s'!E103)+IF(F$94=".",0,'Summary, PPI''s'!F103)+IF(G$94=".",0,'Summary, PPI''s'!G103)+IF(H$94=".",0,'Summary, PPI''s'!H103)+IF(I$94=".",0,'Summary, PPI''s'!I103)+IF(J$94=".",0,'Summary, PPI''s'!J103)+IF(K$94=".",0,'Summary, PPI''s'!K103)+IF(L$94=".",0,'Summary, PPI''s'!L103)+IF(M$94=".",0,'Summary, PPI''s'!M103)+IF(B$94=".",0,'Summary, PPI''s'!B103)+IF(C$94=".",0,'Summary, PPI''s'!C103)+IF(D$94=".",0,'Summary, PPI''s'!D103)+IF(N$94=".",0,'Summary, PPI''s'!N103)+IF(O$94=".",0,'Summary, PPI''s'!O103)+IF(P$94=".",0,'Summary, PPI''s'!P103)</f>
        <v>1203138.2276852464</v>
      </c>
      <c r="X103" s="1">
        <f>IF(E$123=".", 0, 'Summary, PPI''s'!E103)+IF(F$123=".", 0, 'Summary, PPI''s'!F103)+IF(G$123=".", 0, 'Summary, PPI''s'!G103)+IF(H$123=".", 0, 'Summary, PPI''s'!H103)+IF(I$123=".", 0, 'Summary, PPI''s'!I103)+IF(J$123=".", 0, 'Summary, PPI''s'!J103)+IF(K$123=".", 0, 'Summary, PPI''s'!K103)+IF(L$123=".", 0, 'Summary, PPI''s'!L103)+IF(M$123=".", 0, 'Summary, PPI''s'!M103)+IF(B$123=".", 0, 'Summary, PPI''s'!B103)+IF(C$123=".", 0, 'Summary, PPI''s'!C103)+IF(D$123=".", 0, 'Summary, PPI''s'!D103)+IF(N$123=".", 0, 'Summary, PPI''s'!N103)+IF(O$123=".", 0, 'Summary, PPI''s'!O103)+IF(P$123=".", 0, 'Summary, PPI''s'!P103)</f>
        <v>1203138.2276852464</v>
      </c>
      <c r="Z103" s="4" t="e">
        <f>Z102*IF(E$26=".", 1, (E103/E102)^(('Summary, PPI''s'!$E103+'Summary, PPI''s'!$E102)/('Predicted PPIs'!R103+'Predicted PPIs'!R102)))*IF(F$26=".", 1, (F103/F102)^(('Summary, PPI''s'!$F103+'Summary, PPI''s'!$F102)/('Predicted PPIs'!R103+'Predicted PPIs'!R102)))*IF(G$26=".", 1, (G103/G102)^(('Summary, PPI''s'!$G103+'Summary, PPI''s'!$G102)/('Predicted PPIs'!R103+'Predicted PPIs'!R102)))*IF(H$26=".", 1, (H103/H102)^(('Summary, PPI''s'!$H103+'Summary, PPI''s'!$H102)/('Predicted PPIs'!R103+'Predicted PPIs'!R102)))*IF(I$26=".", 1, (I103/I102)^(('Summary, PPI''s'!$I103+'Summary, PPI''s'!$I102)/('Predicted PPIs'!R103+'Predicted PPIs'!R102)))*IF(J$26=".", 1, (J103/J102)^(('Summary, PPI''s'!$J103+'Summary, PPI''s'!$J102)/('Predicted PPIs'!R103+'Predicted PPIs'!R102)))*IF(K$26=".", 1, (K103/K102)^(('Summary, PPI''s'!$K103+'Summary, PPI''s'!$K102)/('Predicted PPIs'!R103+'Predicted PPIs'!R102)))*IF(L$26=".", 1, (L103/L102)^(('Summary, PPI''s'!$L103+'Summary, PPI''s'!$L102)/('Predicted PPIs'!R103+'Predicted PPIs'!R102)))*IF(M$26=".", 1, (M103/M102)^(('Summary, PPI''s'!$M103+'Summary, PPI''s'!$M102)/('Predicted PPIs'!R103+'Predicted PPIs'!R102)))*IF(B$26=".", 1, (B103/B102)^(('Summary, PPI''s'!$B103+'Summary, PPI''s'!$B102)/('Predicted PPIs'!R103+'Predicted PPIs'!R102)))*IF(C$26=".", 1, (C103/C102)^(('Summary, PPI''s'!$C103+'Summary, PPI''s'!$C102)/('Predicted PPIs'!R103+'Predicted PPIs'!R102)))*IF(D$26=".", 1, (D103/D102)^(('Summary, PPI''s'!$D103+'Summary, PPI''s'!$D102)/('Predicted PPIs'!R103+'Predicted PPIs'!R102)))*IF(N$26=".", 1, (N103/N102)^(('Summary, PPI''s'!$N103+'Summary, PPI''s'!$N102)/('Predicted PPIs'!R103+'Predicted PPIs'!R102)))*IF(O$26=".", 1, (O103/O102)^(('Summary, PPI''s'!$O103+'Summary, PPI''s'!$O102)/('Predicted PPIs'!R103+'Predicted PPIs'!R102)))*IF(P$26=".", 1, (P103/P102)^(('Summary, PPI''s'!$P103+'Summary, PPI''s'!$P102)/('Predicted PPIs'!R103+'Predicted PPIs'!R102)))</f>
        <v>#VALUE!</v>
      </c>
      <c r="AA103" s="4" t="e">
        <f>AA102*IF(E$36=".", 1, (E103/E102)^(('Summary, PPI''s'!$E103+'Summary, PPI''s'!$E102)/('Predicted PPIs'!S103+'Predicted PPIs'!S102)))*IF(F$36=".", 1, (F103/F102)^(('Summary, PPI''s'!$F103+'Summary, PPI''s'!$F102)/('Predicted PPIs'!S103+'Predicted PPIs'!S102)))*IF(G$36=".", 1, (G103/G102)^(('Summary, PPI''s'!$G103+'Summary, PPI''s'!$G102)/('Predicted PPIs'!S103+'Predicted PPIs'!S102)))*IF(H$36=".", 1, (H103/H102)^(('Summary, PPI''s'!$H103+'Summary, PPI''s'!$H102)/('Predicted PPIs'!S103+'Predicted PPIs'!S102)))*IF(I$36=".", 1, (I103/I102)^(('Summary, PPI''s'!$I103+'Summary, PPI''s'!$I102)/('Predicted PPIs'!S103+'Predicted PPIs'!S102)))*IF(J$36=".", 1, (J103/J102)^(('Summary, PPI''s'!$J103+'Summary, PPI''s'!$J102)/('Predicted PPIs'!S103+'Predicted PPIs'!S102)))*IF(K$36=".", 1, (K103/K102)^(('Summary, PPI''s'!$K103+'Summary, PPI''s'!$K102)/('Predicted PPIs'!S103+'Predicted PPIs'!S102)))*IF(L$36=".", 1, (L103/L102)^(('Summary, PPI''s'!$L103+'Summary, PPI''s'!$L102)/('Predicted PPIs'!S103+'Predicted PPIs'!S102)))*IF(M$36=".", 1, (M103/M102)^(('Summary, PPI''s'!$M103+'Summary, PPI''s'!$M102)/('Predicted PPIs'!S103+'Predicted PPIs'!S102)))*IF(B$36=".", 1, (B103/B102)^(('Summary, PPI''s'!$B103+'Summary, PPI''s'!$B102)/('Predicted PPIs'!S103+'Predicted PPIs'!S102)))*IF(C$36=".", 1, (C103/C102)^(('Summary, PPI''s'!$C103+'Summary, PPI''s'!$C102)/('Predicted PPIs'!S103+'Predicted PPIs'!S102)))*IF(D$36=".", 1, (D103/D102)^(('Summary, PPI''s'!$D103+'Summary, PPI''s'!$D102)/('Predicted PPIs'!S103+'Predicted PPIs'!S102)))*IF(N$36=".", 1, (N103/N102)^(('Summary, PPI''s'!$N103+'Summary, PPI''s'!$N102)/('Predicted PPIs'!S103+'Predicted PPIs'!S102)))*IF(O$36=".", 1, (O103/O102)^(('Summary, PPI''s'!$O103+'Summary, PPI''s'!$O102)/('Predicted PPIs'!S103+'Predicted PPIs'!S102)))*IF(P$36=".", 1, (P103/P102)^(('Summary, PPI''s'!$P103+'Summary, PPI''s'!$P102)/('Predicted PPIs'!S103+'Predicted PPIs'!S102)))</f>
        <v>#VALUE!</v>
      </c>
      <c r="AB103" s="4" t="e">
        <f>AB102*IF(E$46=".", 1, (E103/E102)^(('Summary, PPI''s'!$E103+'Summary, PPI''s'!$E102)/('Predicted PPIs'!T103+'Predicted PPIs'!T102)))*IF(F$46=".", 1, (F103/F102)^(('Summary, PPI''s'!$F103+'Summary, PPI''s'!$F102)/('Predicted PPIs'!T103+'Predicted PPIs'!T102)))*IF(G$46=".", 1, (G103/G102)^(('Summary, PPI''s'!$G103+'Summary, PPI''s'!$G102)/('Predicted PPIs'!T103+'Predicted PPIs'!T102)))*IF(H$46=".", 1, (H103/H102)^(('Summary, PPI''s'!$H103+'Summary, PPI''s'!$H102)/('Predicted PPIs'!T103+'Predicted PPIs'!T102)))*IF(I$46=".", 1, (I103/I102)^(('Summary, PPI''s'!$I103+'Summary, PPI''s'!$I102)/('Predicted PPIs'!T103+'Predicted PPIs'!T102)))*IF(J$46=".", 1, (J103/J102)^(('Summary, PPI''s'!$J103+'Summary, PPI''s'!$J102)/('Predicted PPIs'!T103+'Predicted PPIs'!T102)))*IF(K$46=".", 1, (K103/K102)^(('Summary, PPI''s'!$K103+'Summary, PPI''s'!$K102)/('Predicted PPIs'!T103+'Predicted PPIs'!T102)))*IF(L$46=".", 1, (L103/L102)^(('Summary, PPI''s'!$L103+'Summary, PPI''s'!$L102)/('Predicted PPIs'!T103+'Predicted PPIs'!T102)))*IF(M$46=".", 1, (M103/M102)^(('Summary, PPI''s'!$M103+'Summary, PPI''s'!$M102)/('Predicted PPIs'!T103+'Predicted PPIs'!T102)))*IF(B$46=".", 1, (B103/B102)^(('Summary, PPI''s'!$B103+'Summary, PPI''s'!$B102)/('Predicted PPIs'!T103+'Predicted PPIs'!T102)))*IF(C$46=".", 1, (C103/C102)^(('Summary, PPI''s'!$C103+'Summary, PPI''s'!$C102)/('Predicted PPIs'!T103+'Predicted PPIs'!T102)))*IF(D$46=".", 1, (D103/D102)^(('Summary, PPI''s'!$D103+'Summary, PPI''s'!$D102)/('Predicted PPIs'!T103+'Predicted PPIs'!T102)))*IF(N$46=".", 1, (N103/N102)^(('Summary, PPI''s'!$N103+'Summary, PPI''s'!$N102)/('Predicted PPIs'!T103+'Predicted PPIs'!T102)))*IF(O$46=".", 1, (O103/O102)^(('Summary, PPI''s'!$O103+'Summary, PPI''s'!$O102)/('Predicted PPIs'!T103+'Predicted PPIs'!T102)))*IF(P$46=".", 1, (P103/P102)^(('Summary, PPI''s'!$P103+'Summary, PPI''s'!$P102)/('Predicted PPIs'!T103+'Predicted PPIs'!T102)))</f>
        <v>#VALUE!</v>
      </c>
      <c r="AC103" s="4" t="e">
        <f>AC102*IF(E$60=".",1,(E103/E102)^(('Summary, PPI''s'!$E103+'Summary, PPI''s'!$E102)/('Predicted PPIs'!U103+'Predicted PPIs'!U102)))*IF(F$60=".",1,(F103/F102)^(('Summary, PPI''s'!$F103+'Summary, PPI''s'!$F102)/('Predicted PPIs'!U103+'Predicted PPIs'!U102)))*IF(G$60=".",1,(G103/G102)^(('Summary, PPI''s'!$G103+'Summary, PPI''s'!$G102)/('Predicted PPIs'!U103+'Predicted PPIs'!U102)))*IF(H$60=".",1,(H103/H102)^(('Summary, PPI''s'!$H103+'Summary, PPI''s'!$H102)/('Predicted PPIs'!U103+'Predicted PPIs'!U102)))*IF(I$60=".",1,(I103/I102)^(('Summary, PPI''s'!$I103+'Summary, PPI''s'!$I102)/('Predicted PPIs'!U103+'Predicted PPIs'!U102)))*IF(J$60=".",1,(J103/J102)^(('Summary, PPI''s'!$J103+'Summary, PPI''s'!$J102)/('Predicted PPIs'!U103+'Predicted PPIs'!U102)))*IF(K$60=".",1,(K103/K102)^(('Summary, PPI''s'!$K103+'Summary, PPI''s'!$K102)/('Predicted PPIs'!U103+'Predicted PPIs'!U102)))*IF(L$60=".",1,(L103/L102)^(('Summary, PPI''s'!$L103+'Summary, PPI''s'!$L102)/('Predicted PPIs'!U103+'Predicted PPIs'!U102)))*IF(M$60=".",1,(M103/M102)^(('Summary, PPI''s'!$M103+'Summary, PPI''s'!$M102)/('Predicted PPIs'!U103+'Predicted PPIs'!U102)))*IF(B$60=".",1,(B103/B102)^(('Summary, PPI''s'!$B103+'Summary, PPI''s'!$B102)/('Predicted PPIs'!U103+'Predicted PPIs'!U102)))*IF(C$60=".",1,(C103/C102)^(('Summary, PPI''s'!$C103+'Summary, PPI''s'!$C102)/('Predicted PPIs'!U103+'Predicted PPIs'!U102)))*IF(D$60=".",1,(D103/D102)^(('Summary, PPI''s'!$D103+'Summary, PPI''s'!$D102)/('Predicted PPIs'!U103+'Predicted PPIs'!U102)))*IF(N$60=".",1,(N103/N102)^(('Summary, PPI''s'!$N103+'Summary, PPI''s'!$N102)/('Predicted PPIs'!U103+'Predicted PPIs'!U102)))*IF(O$60=".",1,(O103/O102)^(('Summary, PPI''s'!$O103+'Summary, PPI''s'!$O102)/('Predicted PPIs'!U103+'Predicted PPIs'!U102)))*IF(P$60=".",1,(P103/P102)^(('Summary, PPI''s'!$P103+'Summary, PPI''s'!$P102)/('Predicted PPIs'!U103+'Predicted PPIs'!U102)))</f>
        <v>#VALUE!</v>
      </c>
      <c r="AD103" s="4" t="e">
        <f>AD102*IF(E$73=".", 1, (E103/E102)^(('Summary, PPI''s'!$E103+'Summary, PPI''s'!$E102)/('Predicted PPIs'!V103+'Predicted PPIs'!V102)))*IF(F$73=".", 1, (F103/F102)^(('Summary, PPI''s'!$F103+'Summary, PPI''s'!$F102)/('Predicted PPIs'!V103+'Predicted PPIs'!V102)))*IF(G$73=".", 1, (G103/G102)^(('Summary, PPI''s'!$G103+'Summary, PPI''s'!$G102)/('Predicted PPIs'!V103+'Predicted PPIs'!V102)))*IF(H$73=".", 1, (H103/H102)^(('Summary, PPI''s'!$H103+'Summary, PPI''s'!$H102)/('Predicted PPIs'!V103+'Predicted PPIs'!V102)))*IF(I$73=".", 1, (I103/I102)^(('Summary, PPI''s'!$I103+'Summary, PPI''s'!$I102)/('Predicted PPIs'!V103+'Predicted PPIs'!V102)))*IF(J$73=".", 1, (J103/J102)^(('Summary, PPI''s'!$J103+'Summary, PPI''s'!$J102)/('Predicted PPIs'!V103+'Predicted PPIs'!V102)))*IF(K$73=".", 1, (K103/K102)^(('Summary, PPI''s'!$K103+'Summary, PPI''s'!$K102)/('Predicted PPIs'!V103+'Predicted PPIs'!V102)))*IF(L$73=".", 1, (L103/L102)^(('Summary, PPI''s'!$L103+'Summary, PPI''s'!$L102)/('Predicted PPIs'!V103+'Predicted PPIs'!V102)))*IF(M$73=".", 1, (M103/M102)^(('Summary, PPI''s'!$M103+'Summary, PPI''s'!$M102)/('Predicted PPIs'!V103+'Predicted PPIs'!V102)))*IF(B$73=".", 1, (B103/B102)^(('Summary, PPI''s'!$B103+'Summary, PPI''s'!$B102)/('Predicted PPIs'!V103+'Predicted PPIs'!V102)))*IF(C$73=".", 1, (C103/C102)^(('Summary, PPI''s'!$C103+'Summary, PPI''s'!$C102)/('Predicted PPIs'!V103+'Predicted PPIs'!V102)))*IF(D$73=".", 1, (D103/D102)^(('Summary, PPI''s'!$D103+'Summary, PPI''s'!$D102)/('Predicted PPIs'!V103+'Predicted PPIs'!V102)))*IF(N$73=".", 1, (N103/N102)^(('Summary, PPI''s'!$N103+'Summary, PPI''s'!$N102)/('Predicted PPIs'!V103+'Predicted PPIs'!V102)))*IF(O$73=".", 1, (O103/O102)^(('Summary, PPI''s'!$O103+'Summary, PPI''s'!$O102)/('Predicted PPIs'!V103+'Predicted PPIs'!V102)))*IF(P$73=".", 1, (P103/P102)^(('Summary, PPI''s'!$P103+'Summary, PPI''s'!$P102)/('Predicted PPIs'!V103+'Predicted PPIs'!V102)))</f>
        <v>#VALUE!</v>
      </c>
      <c r="AE103" s="4" t="e">
        <f>AE102*IF(E$94=".", 1, (E103/E102)^(('Summary, PPI''s'!$E103+'Summary, PPI''s'!$E102)/('Predicted PPIs'!W103+'Predicted PPIs'!W102)))*IF(F$94=".", 1, (F103/F102)^(('Summary, PPI''s'!$F103+'Summary, PPI''s'!$F102)/('Predicted PPIs'!W103+'Predicted PPIs'!W102)))*IF(G$94=".", 1, (G103/G102)^(('Summary, PPI''s'!$G103+'Summary, PPI''s'!$G102)/('Predicted PPIs'!W103+'Predicted PPIs'!W102)))*IF(H$94=".", 1, (H103/H102)^(('Summary, PPI''s'!$H103+'Summary, PPI''s'!$H102)/('Predicted PPIs'!W103+'Predicted PPIs'!W102)))*IF(I$94=".", 1, (I103/I102)^(('Summary, PPI''s'!$I103+'Summary, PPI''s'!$I102)/('Predicted PPIs'!W103+'Predicted PPIs'!W102)))*IF(J$94=".", 1, (J103/J102)^(('Summary, PPI''s'!$J103+'Summary, PPI''s'!$J102)/('Predicted PPIs'!W103+'Predicted PPIs'!W102)))*IF(K$94=".", 1, (K103/K102)^(('Summary, PPI''s'!$K103+'Summary, PPI''s'!$K102)/('Predicted PPIs'!W103+'Predicted PPIs'!W102)))*IF(L$94=".", 1, (L103/L102)^(('Summary, PPI''s'!$L103+'Summary, PPI''s'!$L102)/('Predicted PPIs'!W103+'Predicted PPIs'!W102)))*IF(M$94=".", 1, (M103/M102)^(('Summary, PPI''s'!$M103+'Summary, PPI''s'!$M102)/('Predicted PPIs'!W103+'Predicted PPIs'!W102)))*IF(B$94=".", 1, (B103/B102)^(('Summary, PPI''s'!$B103+'Summary, PPI''s'!$B102)/('Predicted PPIs'!W103+'Predicted PPIs'!W102)))*IF(C$94=".", 1, (C103/C102)^(('Summary, PPI''s'!$C103+'Summary, PPI''s'!$C102)/('Predicted PPIs'!W103+'Predicted PPIs'!W102)))*IF(D$94=".", 1, (D103/D102)^(('Summary, PPI''s'!$D103+'Summary, PPI''s'!$D102)/('Predicted PPIs'!W103+'Predicted PPIs'!W102)))*IF(N$94=".", 1, (N103/N102)^(('Summary, PPI''s'!$N103+'Summary, PPI''s'!$N102)/('Predicted PPIs'!W103+'Predicted PPIs'!W102)))*IF(O$94=".", 1, (O103/O102)^(('Summary, PPI''s'!$O103+'Summary, PPI''s'!$O102)/('Predicted PPIs'!W103+'Predicted PPIs'!W102)))*IF(P$94=".", 1, (P103/P102)^(('Summary, PPI''s'!$P103+'Summary, PPI''s'!$P102)/('Predicted PPIs'!W103+'Predicted PPIs'!W102)))</f>
        <v>#VALUE!</v>
      </c>
      <c r="AF103" s="4">
        <f>AF102*IF(E$123=".", 1, (E103/E102)^(('Summary, PPI''s'!$E103+'Summary, PPI''s'!$E102)/('Predicted PPIs'!X103+'Predicted PPIs'!X102)))*IF(F$123=".", 1, (F103/F102)^(('Summary, PPI''s'!$F103+'Summary, PPI''s'!$F102)/('Predicted PPIs'!X103+'Predicted PPIs'!X102)))*IF(G$123=".", 1, (G103/G102)^(('Summary, PPI''s'!$G103+'Summary, PPI''s'!$G102)/('Predicted PPIs'!X103+'Predicted PPIs'!X102)))*IF(H$123=".", 1, (H103/H102)^(('Summary, PPI''s'!$H103+'Summary, PPI''s'!$H102)/('Predicted PPIs'!X103+'Predicted PPIs'!X102)))*IF(I$123=".", 1, (I103/I102)^(('Summary, PPI''s'!$I103+'Summary, PPI''s'!$I102)/('Predicted PPIs'!X103+'Predicted PPIs'!X102)))*IF(J$123=".", 1, (J103/J102)^(('Summary, PPI''s'!$J103+'Summary, PPI''s'!$J102)/('Predicted PPIs'!X103+'Predicted PPIs'!X102)))*IF(K$123=".", 1, (K103/K102)^(('Summary, PPI''s'!$K103+'Summary, PPI''s'!$K102)/('Predicted PPIs'!X103+'Predicted PPIs'!X102)))*IF(L$123=".", 1, (L103/L102)^(('Summary, PPI''s'!$L103+'Summary, PPI''s'!$L102)/('Predicted PPIs'!X103+'Predicted PPIs'!X102)))*IF(M$123=".", 1, (M103/M102)^(('Summary, PPI''s'!$M103+'Summary, PPI''s'!$M102)/('Predicted PPIs'!X103+'Predicted PPIs'!X102)))*IF(B$123=".", 1, (B103/B102)^(('Summary, PPI''s'!$B103+'Summary, PPI''s'!$B102)/('Predicted PPIs'!X103+'Predicted PPIs'!X102)))*IF(C$123=".", 1, (C103/C102)^(('Summary, PPI''s'!$C103+'Summary, PPI''s'!$C102)/('Predicted PPIs'!X103+'Predicted PPIs'!X102)))*IF(D$123=".", 1, (D103/D102)^(('Summary, PPI''s'!$D103+'Summary, PPI''s'!$D102)/('Predicted PPIs'!X103+'Predicted PPIs'!X102)))*IF(N$123=".", 1, (N103/N102)^(('Summary, PPI''s'!$N103+'Summary, PPI''s'!$N102)/('Predicted PPIs'!X103+'Predicted PPIs'!X102)))*IF(O$123=".", 1, (O103/O102)^(('Summary, PPI''s'!$O103+'Summary, PPI''s'!$O102)/('Predicted PPIs'!X103+'Predicted PPIs'!X102)))*IF(P$123=".", 1, (P103/P102)^(('Summary, PPI''s'!$P103+'Summary, PPI''s'!$P102)/('Predicted PPIs'!X103+'Predicted PPIs'!X102)))</f>
        <v>4.8932335104444578</v>
      </c>
      <c r="AH103" s="13">
        <f t="shared" si="212"/>
        <v>6.9878159777398663</v>
      </c>
      <c r="AJ103" s="4">
        <f t="shared" si="207"/>
        <v>61.90717536625683</v>
      </c>
      <c r="AK103" s="4">
        <f t="shared" si="191"/>
        <v>-1.3701161679896374</v>
      </c>
      <c r="AL103" s="4">
        <f t="shared" si="192"/>
        <v>-4.6934277138138887</v>
      </c>
      <c r="AM103" s="4">
        <f t="shared" si="193"/>
        <v>-0.73024872234357208</v>
      </c>
      <c r="AN103" s="4">
        <f t="shared" si="176"/>
        <v>82.555646458152253</v>
      </c>
      <c r="AO103" s="4">
        <v>12.4</v>
      </c>
      <c r="AP103" s="4">
        <f t="shared" si="177"/>
        <v>-1.1471657754010696</v>
      </c>
      <c r="AQ103" s="4">
        <f t="shared" si="178"/>
        <v>-2.1686737967914431</v>
      </c>
      <c r="AR103" s="4">
        <f t="shared" si="210"/>
        <v>-1.2263648050946912E-4</v>
      </c>
      <c r="AS103" s="4">
        <f t="shared" si="208"/>
        <v>-0.25209130525005191</v>
      </c>
      <c r="AT103" s="4">
        <f t="shared" si="194"/>
        <v>11.285433816425124</v>
      </c>
      <c r="AU103" s="4">
        <f t="shared" si="195"/>
        <v>18.58284589371981</v>
      </c>
      <c r="AV103" s="4">
        <f t="shared" si="196"/>
        <v>14.452785024154592</v>
      </c>
      <c r="AW103" s="4">
        <f t="shared" si="197"/>
        <v>8.0816623188405821</v>
      </c>
      <c r="AX103" s="4">
        <f t="shared" si="198"/>
        <v>10.749709972914067</v>
      </c>
      <c r="AY103" s="4">
        <f t="shared" si="199"/>
        <v>12.640268599033819</v>
      </c>
      <c r="AZ103" s="4">
        <f t="shared" si="200"/>
        <v>4.3206603864734303</v>
      </c>
      <c r="BA103" s="4">
        <f t="shared" si="201"/>
        <v>11.704267149758453</v>
      </c>
      <c r="BB103" s="4">
        <f t="shared" si="202"/>
        <v>66.945522982410665</v>
      </c>
      <c r="BC103" s="4">
        <f t="shared" si="203"/>
        <v>10.971005314009663</v>
      </c>
      <c r="BD103" s="5">
        <f>'[2]Ordinary Experience'!$AD$323</f>
        <v>251.3</v>
      </c>
      <c r="BE103" s="5">
        <f>'[2]Ordinary Experience'!$AC$323</f>
        <v>1.9759900472462992</v>
      </c>
      <c r="BG103" s="4">
        <f t="shared" si="172"/>
        <v>5.5973680148743661</v>
      </c>
      <c r="BI103" s="4">
        <f>BI$13*'[2]Ordinary Experience'!$D$323/'[2]Ordinary Experience'!$D$413</f>
        <v>106112858.31809194</v>
      </c>
      <c r="BJ103" s="4">
        <f>'[2]Ordinary Experience'!$E$323</f>
        <v>31.8</v>
      </c>
      <c r="BL103" s="4">
        <f t="shared" si="211"/>
        <v>19.514939191202394</v>
      </c>
      <c r="BM103" s="4">
        <f t="shared" si="153"/>
        <v>-5.6514661651808629E-3</v>
      </c>
      <c r="BO103" s="4" t="str">
        <f>IF(OR('Summary, hourly ad costs'!R103=-9999,'Summary, PPI''s'!R103="."),".",(('Summary, hourly ad costs'!B103/'Summary, hourly ad costs'!R103)*100/('Summary, hourly ad costs'!B$11/'Summary, hourly ad costs'!R$11))/('Summary, PPI''s'!R103))</f>
        <v>.</v>
      </c>
      <c r="BP103" s="4" t="str">
        <f>IF(OR('Summary, hourly ad costs'!S103=-9999,'Summary, PPI''s'!S103="."),".",(('Summary, hourly ad costs'!C103/'Summary, hourly ad costs'!S103)*100/('Summary, hourly ad costs'!C$11/'Summary, hourly ad costs'!S$11))/('Summary, PPI''s'!S103))</f>
        <v>.</v>
      </c>
      <c r="BQ103" s="4" t="str">
        <f>IF(OR('Summary, hourly ad costs'!T103=-9999,'Summary, PPI''s'!T103="."),".",(('Summary, hourly ad costs'!D103/'Summary, hourly ad costs'!T103)*100/('Summary, hourly ad costs'!D$11/'Summary, hourly ad costs'!T$11))/('Summary, PPI''s'!T103))</f>
        <v>.</v>
      </c>
      <c r="BR103" s="4" t="str">
        <f>IF(OR('Summary, hourly ad costs'!U103=-9999,'Summary, PPI''s'!U103="."),".",(('Summary, hourly ad costs'!E103/'Summary, hourly ad costs'!U103)*100/('Summary, hourly ad costs'!E$11/'Summary, hourly ad costs'!U$11))/('Summary, PPI''s'!U103))</f>
        <v>.</v>
      </c>
      <c r="BS103" s="4" t="str">
        <f>IF(OR('Summary, hourly ad costs'!V103=-9999,'Summary, PPI''s'!V103="."),".",(('Summary, hourly ad costs'!F103/'Summary, hourly ad costs'!V103)*100/('Summary, hourly ad costs'!F$11/'Summary, hourly ad costs'!V$11))/('Summary, PPI''s'!V103))</f>
        <v>.</v>
      </c>
      <c r="BT103" s="4" t="str">
        <f>IF(OR('Summary, hourly ad costs'!W103=-9999,'Summary, PPI''s'!W103="."),".",(('Summary, hourly ad costs'!G103/'Summary, hourly ad costs'!W103)*100/('Summary, hourly ad costs'!G$11/'Summary, hourly ad costs'!W$11))/('Summary, PPI''s'!W103))</f>
        <v>.</v>
      </c>
      <c r="BU103" s="4" t="str">
        <f>IF(OR('Summary, hourly ad costs'!X103=-9999,'Summary, PPI''s'!X103="."),".",(('Summary, hourly ad costs'!H103/'Summary, hourly ad costs'!X103)*100/('Summary, hourly ad costs'!H$11/'Summary, hourly ad costs'!X$11))/('Summary, PPI''s'!X103))</f>
        <v>.</v>
      </c>
      <c r="BV103" s="4" t="str">
        <f>IF(OR('Summary, hourly ad costs'!Y103=-9999,'Summary, PPI''s'!Y103="."),".",(('Summary, hourly ad costs'!I103/'Summary, hourly ad costs'!Y103)*100/('Summary, hourly ad costs'!I$11/'Summary, hourly ad costs'!Y$11))/('Summary, PPI''s'!Y103))</f>
        <v>.</v>
      </c>
      <c r="BW103" s="4" t="str">
        <f>IF(OR('Summary, hourly ad costs'!Z103=-9999,'Summary, PPI''s'!Z103="."),".",(('Summary, hourly ad costs'!J103/'Summary, hourly ad costs'!Z103)*100/('Summary, hourly ad costs'!J$11/'Summary, hourly ad costs'!Z$11))/('Summary, PPI''s'!Z103))</f>
        <v>.</v>
      </c>
      <c r="BX103" s="4" t="str">
        <f>IF(OR('Summary, hourly ad costs'!AA103=-9999,'Summary, PPI''s'!AA103="."),".",(('Summary, hourly ad costs'!K103/'Summary, hourly ad costs'!AA103)*100/('Summary, hourly ad costs'!K$11/'Summary, hourly ad costs'!AA$11))/('Summary, PPI''s'!AA103))</f>
        <v>.</v>
      </c>
      <c r="BY103" s="4" t="str">
        <f>IF(OR('Summary, hourly ad costs'!AB103=-9999,'Summary, PPI''s'!AB103="."),".",(('Summary, hourly ad costs'!L103/'Summary, hourly ad costs'!AB103)*100/('Summary, hourly ad costs'!L$11/'Summary, hourly ad costs'!AB$11))/('Summary, PPI''s'!AB103))</f>
        <v>.</v>
      </c>
      <c r="BZ103" s="4" t="str">
        <f>IF(OR('Summary, hourly ad costs'!AC103=-9999,'Summary, PPI''s'!AC103="."),".",(('Summary, hourly ad costs'!M103/'Summary, hourly ad costs'!AC103)*100/('Summary, hourly ad costs'!M$11/'Summary, hourly ad costs'!AC$11))/('Summary, PPI''s'!AC103))</f>
        <v>.</v>
      </c>
      <c r="CA103" s="4" t="str">
        <f>IF(OR('Summary, hourly ad costs'!AD103=-9999,'Summary, PPI''s'!AD103="."),".",(('Summary, hourly ad costs'!N103/'Summary, hourly ad costs'!AD103)*100/('Summary, hourly ad costs'!N$11/'Summary, hourly ad costs'!AD$11))/('Summary, PPI''s'!AD103))</f>
        <v>.</v>
      </c>
      <c r="CB103" s="4" t="str">
        <f>IF(OR('Summary, hourly ad costs'!AE103=-9999,'Summary, PPI''s'!AE103="."),".",(('Summary, hourly ad costs'!O103/'Summary, hourly ad costs'!AE103)*100/('Summary, hourly ad costs'!O$11/'Summary, hourly ad costs'!AE$11))/('Summary, PPI''s'!AE103))</f>
        <v>.</v>
      </c>
      <c r="CC103" s="4" t="str">
        <f>IF(OR('Summary, hourly ad costs'!AF103=-9999,'Summary, PPI''s'!AF103="."),".",(('Summary, hourly ad costs'!P103/'Summary, hourly ad costs'!AF103)*100/('Summary, hourly ad costs'!P$11/'Summary, hourly ad costs'!AF$11))/('Summary, PPI''s'!AF103))</f>
        <v>.</v>
      </c>
      <c r="CE103" s="4">
        <f t="shared" si="183"/>
        <v>-3.7252607826125411E-2</v>
      </c>
      <c r="CF103" s="4" t="str">
        <f t="shared" si="184"/>
        <v>.</v>
      </c>
      <c r="CG103" s="4" t="str">
        <f t="shared" si="185"/>
        <v>.</v>
      </c>
      <c r="CH103" s="4">
        <f t="shared" si="145"/>
        <v>-2.8522699407263426E-2</v>
      </c>
      <c r="CI103" s="4">
        <f t="shared" si="145"/>
        <v>-3.068987863886994E-2</v>
      </c>
      <c r="CJ103" s="4" t="str">
        <f t="shared" si="209"/>
        <v>.</v>
      </c>
      <c r="CK103" s="4">
        <f t="shared" si="149"/>
        <v>4.8579788173576345E-3</v>
      </c>
      <c r="CL103" s="4">
        <f t="shared" si="130"/>
        <v>-2.1732876470011573E-2</v>
      </c>
      <c r="CM103" s="4">
        <f t="shared" si="130"/>
        <v>7.6322599803961598E-3</v>
      </c>
      <c r="CN103" s="4">
        <f t="shared" si="204"/>
        <v>-3.6317470401966929E-2</v>
      </c>
      <c r="CO103" s="4">
        <f t="shared" si="180"/>
        <v>-4.2982821992791492E-2</v>
      </c>
      <c r="CP103" s="4">
        <f t="shared" si="180"/>
        <v>0.20585550887217044</v>
      </c>
      <c r="CQ103" s="4" t="str">
        <f t="shared" si="173"/>
        <v>.</v>
      </c>
      <c r="CR103" s="4" t="str">
        <f t="shared" si="174"/>
        <v>.</v>
      </c>
      <c r="CS103" s="4" t="str">
        <f t="shared" si="175"/>
        <v>.</v>
      </c>
      <c r="CU103" s="5">
        <f>IF(CU102=".", ".", IF('Summary, PPI''s'!R103=".",IF(OR('Summary, hourly ad costs'!R103=-9999,'Summary, hourly ad costs'!R103=0), ".", 'Predicted PPIs'!CU102*('Summary, hourly ad costs'!B103/'Summary, hourly ad costs'!R103)/('Summary, hourly ad costs'!B102/'Summary, hourly ad costs'!R102)/(1-CE102)), 'Summary, PPI''s'!R103))</f>
        <v>54.966314689395055</v>
      </c>
      <c r="CV103" s="5" t="str">
        <f>IF(CV102=".", ".", IF('Summary, PPI''s'!S103=".",IF(OR('Summary, hourly ad costs'!S103=-9999,'Summary, hourly ad costs'!S103=0), ".", 'Predicted PPIs'!CV102*('Summary, hourly ad costs'!C103/'Summary, hourly ad costs'!S103)/('Summary, hourly ad costs'!C102/'Summary, hourly ad costs'!S102)/(1-CF102)), 'Summary, PPI''s'!S103))</f>
        <v>.</v>
      </c>
      <c r="CW103" s="5" t="str">
        <f>IF(CW102=".", ".", IF('Summary, PPI''s'!T103=".",IF(OR('Summary, hourly ad costs'!T103=-9999,'Summary, hourly ad costs'!T103=0), ".", 'Predicted PPIs'!CW102*('Summary, hourly ad costs'!D103/'Summary, hourly ad costs'!T103)/('Summary, hourly ad costs'!D102/'Summary, hourly ad costs'!T102)/(1-CG102)), 'Summary, PPI''s'!T103))</f>
        <v>.</v>
      </c>
      <c r="CX103" s="5">
        <f>IF(CX102=".", ".", IF('Summary, PPI''s'!U103=".",IF(OR('Summary, hourly ad costs'!U103=-9999,'Summary, hourly ad costs'!U103=0), ".", 'Predicted PPIs'!CX102*('Summary, hourly ad costs'!E103/'Summary, hourly ad costs'!U103)/('Summary, hourly ad costs'!E102/'Summary, hourly ad costs'!U102)/(1-CH102)), 'Summary, PPI''s'!U103))</f>
        <v>2.8529218864813797</v>
      </c>
      <c r="CY103" s="5">
        <f>IF(CY102=".", ".", IF('Summary, PPI''s'!V103=".",IF(OR('Summary, hourly ad costs'!V103=-9999,'Summary, hourly ad costs'!V103=0), ".", 'Predicted PPIs'!CY102*('Summary, hourly ad costs'!F103/'Summary, hourly ad costs'!V103)/('Summary, hourly ad costs'!F102/'Summary, hourly ad costs'!V102)/(1-CI102)), 'Summary, PPI''s'!V103))</f>
        <v>7.7720322200169853</v>
      </c>
      <c r="CZ103" s="5" t="str">
        <f>IF(CZ102=".", ".", IF('Summary, PPI''s'!W103=".",IF(OR('Summary, hourly ad costs'!W103=-9999,'Summary, hourly ad costs'!W103=0), ".", 'Predicted PPIs'!CZ102*('Summary, hourly ad costs'!G103/'Summary, hourly ad costs'!W103)/('Summary, hourly ad costs'!G102/'Summary, hourly ad costs'!W102)/(1-CJ102)), 'Summary, PPI''s'!W103))</f>
        <v>.</v>
      </c>
      <c r="DA103" s="5">
        <f>IF(DA102=".", ".", IF('Summary, PPI''s'!X103=".",IF(OR('Summary, hourly ad costs'!X103=-9999,'Summary, hourly ad costs'!X103=0), ".", 'Predicted PPIs'!DA102*('Summary, hourly ad costs'!H103/'Summary, hourly ad costs'!X103)/('Summary, hourly ad costs'!H102/'Summary, hourly ad costs'!X102)/(1-CK102)), 'Summary, PPI''s'!X103))</f>
        <v>2.7193131639614023</v>
      </c>
      <c r="DB103" s="5" t="str">
        <f>IF(DB102=".", ".", IF('Summary, PPI''s'!Y103=".",IF(OR('Summary, hourly ad costs'!Y103=-9999,'Summary, hourly ad costs'!Y103=0), ".", 'Predicted PPIs'!DB102*('Summary, hourly ad costs'!I103/'Summary, hourly ad costs'!Y103)/('Summary, hourly ad costs'!I102/'Summary, hourly ad costs'!Y102)/(1-CL102)), 'Summary, PPI''s'!Y103))</f>
        <v>.</v>
      </c>
      <c r="DC103" s="5" t="str">
        <f>IF(DC102=".", ".", IF('Summary, PPI''s'!Z103=".",IF(OR('Summary, hourly ad costs'!Z103=-9999,'Summary, hourly ad costs'!Z103=0), ".", 'Predicted PPIs'!DC102*('Summary, hourly ad costs'!J103/'Summary, hourly ad costs'!Z103)/('Summary, hourly ad costs'!J102/'Summary, hourly ad costs'!Z102)/(1-CM102)), 'Summary, PPI''s'!Z103))</f>
        <v>.</v>
      </c>
      <c r="DD103" s="5" t="str">
        <f>IF(DD102=".", ".", IF('Summary, PPI''s'!AA103=".",IF(OR('Summary, hourly ad costs'!AA103=-9999,'Summary, hourly ad costs'!AA103=0), ".", 'Predicted PPIs'!DD102*('Summary, hourly ad costs'!K103/'Summary, hourly ad costs'!AA103)/('Summary, hourly ad costs'!K102/'Summary, hourly ad costs'!AA102)/(1-CN102)), 'Summary, PPI''s'!AA103))</f>
        <v>.</v>
      </c>
      <c r="DE103" s="5" t="str">
        <f>IF(DE102=".", ".", IF('Summary, PPI''s'!AB103=".",IF(OR('Summary, hourly ad costs'!AB103=-9999,'Summary, hourly ad costs'!AB103=0), ".", 'Predicted PPIs'!DE102*('Summary, hourly ad costs'!L103/'Summary, hourly ad costs'!AB103)/('Summary, hourly ad costs'!L102/'Summary, hourly ad costs'!AB102)/(1-CO102)), 'Summary, PPI''s'!AB103))</f>
        <v>.</v>
      </c>
      <c r="DF103" s="5" t="str">
        <f>IF(DF102=".", ".", IF('Summary, PPI''s'!AC103=".",IF(OR('Summary, hourly ad costs'!AC103=-9999,'Summary, hourly ad costs'!AC103=0), ".", 'Predicted PPIs'!DF102*('Summary, hourly ad costs'!M103/'Summary, hourly ad costs'!AC103)/('Summary, hourly ad costs'!M102/'Summary, hourly ad costs'!AC102)/(1-CP102)), 'Summary, PPI''s'!AC103))</f>
        <v>.</v>
      </c>
      <c r="DG103" s="5" t="str">
        <f>IF(DG102=".", ".", IF('Summary, PPI''s'!AD103=".",IF(OR('Summary, hourly ad costs'!AD103=-9999,'Summary, hourly ad costs'!AD103=0), ".", 'Predicted PPIs'!DG102*('Summary, hourly ad costs'!N103/'Summary, hourly ad costs'!AD103)/('Summary, hourly ad costs'!N102/'Summary, hourly ad costs'!AD102)/(1-CQ102)), 'Summary, PPI''s'!AD103))</f>
        <v>.</v>
      </c>
      <c r="DH103" s="5" t="str">
        <f>IF(DH102=".", ".", IF('Summary, PPI''s'!AE103=".",IF(OR('Summary, hourly ad costs'!AE103=-9999,'Summary, hourly ad costs'!AE103=0), ".", 'Predicted PPIs'!DH102*('Summary, hourly ad costs'!O103/'Summary, hourly ad costs'!AE103)/('Summary, hourly ad costs'!O102/'Summary, hourly ad costs'!AE102)/(1-CR102)), 'Summary, PPI''s'!AE103))</f>
        <v>.</v>
      </c>
      <c r="DI103" s="5" t="str">
        <f>IF(DI102=".", ".", IF('Summary, PPI''s'!AF103=".",IF(OR('Summary, hourly ad costs'!AF103=-9999,'Summary, hourly ad costs'!AF103=0), ".", 'Predicted PPIs'!DI102*('Summary, hourly ad costs'!P103/'Summary, hourly ad costs'!AF103)/('Summary, hourly ad costs'!P102/'Summary, hourly ad costs'!AF102)/(1-CS102)), 'Summary, PPI''s'!AF103))</f>
        <v>.</v>
      </c>
      <c r="DK103" s="4">
        <f t="shared" si="205"/>
        <v>2.526727017543859</v>
      </c>
      <c r="DM103" s="5">
        <f t="shared" si="186"/>
        <v>-6.875521523439565E-2</v>
      </c>
      <c r="DN103" s="4">
        <f t="shared" si="187"/>
        <v>-1.8550116683641794E-2</v>
      </c>
      <c r="DO103" s="4">
        <f t="shared" si="181"/>
        <v>-2.2883312571110304E-2</v>
      </c>
      <c r="DP103" s="5">
        <f t="shared" si="188"/>
        <v>1.8390368249823874E-2</v>
      </c>
      <c r="DQ103" s="5">
        <f t="shared" si="189"/>
        <v>0.1679790844574538</v>
      </c>
      <c r="DR103" s="4">
        <f t="shared" si="146"/>
        <v>-1.2070608513283934E-2</v>
      </c>
      <c r="DS103" s="5">
        <f t="shared" si="190"/>
        <v>4.4943624051940745E-5</v>
      </c>
      <c r="DT103" s="4">
        <f t="shared" si="206"/>
        <v>1.4723312102154742E-2</v>
      </c>
      <c r="DU103" s="4">
        <f t="shared" si="171"/>
        <v>-3.3476554060237057E-2</v>
      </c>
      <c r="DV103" s="4">
        <f t="shared" si="131"/>
        <v>1.0628749658545549E-3</v>
      </c>
      <c r="DW103" s="4">
        <f t="shared" si="182"/>
        <v>-1.6218401010808237E-3</v>
      </c>
      <c r="DX103" s="4">
        <f t="shared" si="182"/>
        <v>-0.17287171176419605</v>
      </c>
      <c r="DY103" s="4">
        <f t="shared" si="228"/>
        <v>-2.0903270675043561E-2</v>
      </c>
      <c r="DZ103" s="4">
        <f t="shared" si="132"/>
        <v>-1.4593453699568782E-2</v>
      </c>
      <c r="EA103" s="4">
        <f t="shared" si="229"/>
        <v>-1.2446739511898366E-2</v>
      </c>
      <c r="EC103" s="1">
        <f t="shared" si="213"/>
        <v>54.966314689395055</v>
      </c>
      <c r="ED103" s="1">
        <f t="shared" si="214"/>
        <v>2.9752903665459587</v>
      </c>
      <c r="EE103" s="1">
        <f t="shared" si="215"/>
        <v>1.7083150083769205</v>
      </c>
      <c r="EF103" s="1">
        <f t="shared" si="216"/>
        <v>2.8529218864813797</v>
      </c>
      <c r="EG103" s="1">
        <f t="shared" si="217"/>
        <v>7.7720322200169853</v>
      </c>
      <c r="EH103" s="1">
        <f t="shared" si="218"/>
        <v>2.3237113889341141</v>
      </c>
      <c r="EI103" s="1">
        <f t="shared" si="219"/>
        <v>2.7193131639614023</v>
      </c>
      <c r="EJ103" s="1">
        <f t="shared" si="220"/>
        <v>3.0092174855434544</v>
      </c>
      <c r="EK103" s="1">
        <f t="shared" si="221"/>
        <v>6.2787471043250997</v>
      </c>
      <c r="EL103" s="1">
        <f t="shared" si="222"/>
        <v>2.0711455646888099</v>
      </c>
      <c r="EM103" s="1">
        <f t="shared" si="223"/>
        <v>8.9823080413094128E-2</v>
      </c>
      <c r="EN103" s="1">
        <f t="shared" si="224"/>
        <v>4.5676269992238216</v>
      </c>
      <c r="EO103" s="1">
        <f t="shared" si="225"/>
        <v>1.2672847460995036</v>
      </c>
      <c r="EP103" s="1">
        <f t="shared" si="226"/>
        <v>2.2146479988543617</v>
      </c>
      <c r="EQ103" s="1">
        <f t="shared" si="227"/>
        <v>1.7410467504803702</v>
      </c>
      <c r="ES103" s="1">
        <f>IF(EF$26=".", 0, 'Summary, PPI''s'!E103)+IF(EG$26=".", 0, 'Summary, PPI''s'!F103)+IF(EH$26=".", 0, 'Summary, PPI''s'!G103)+IF(EI$26=".", 0, 'Summary, PPI''s'!H103)+IF(EJ$26=".", 0, 'Summary, PPI''s'!I103)+IF(EK$26=".", 0, 'Summary, PPI''s'!J103)+IF(EL$26=".", 0, 'Summary, PPI''s'!K103)+IF(EM$26=".", 0, 'Summary, PPI''s'!L103)+IF(EN$26=".", 0, 'Summary, PPI''s'!M103)+IF(EC$26=".", 0, 'Summary, PPI''s'!B103)+IF(ED$26=".", 0, 'Summary, PPI''s'!C103)+IF(EE$26=".", 0, 'Summary, PPI''s'!D103)+IF(EO$26=".", 0, 'Summary, PPI''s'!N103)+IF(EP$26=".", 0, 'Summary, PPI''s'!O103)+IF(EQ$26=".", 0, 'Summary, PPI''s'!P103)</f>
        <v>1946570.3968031257</v>
      </c>
      <c r="ET103" s="1">
        <f>'Summary, hourly ad costs'!E103+'Summary, hourly ad costs'!F103+'Summary, hourly ad costs'!H103+'Summary, hourly ad costs'!I103+'Summary, hourly ad costs'!J103+'Summary, hourly ad costs'!K103+'Summary, hourly ad costs'!L103+'Summary, hourly ad costs'!M103+'Summary, hourly ad costs'!B103</f>
        <v>1203138.2276852464</v>
      </c>
      <c r="EV103" s="13">
        <f>EV102*IF(EF$26=".", 1, (EF103/EF102)^(('Summary, PPI''s'!$E103+'Summary, PPI''s'!$E102)/('Predicted PPIs'!ES103+'Predicted PPIs'!ES102)))*IF(EG$26=".", 1, (EG103/EG102)^(('Summary, PPI''s'!$F103+'Summary, PPI''s'!$F102)/('Predicted PPIs'!ES103+'Predicted PPIs'!ES102)))*IF(EH$26=".", 1, (EH103/EH102)^(('Summary, PPI''s'!$G103+'Summary, PPI''s'!$G102)/('Predicted PPIs'!ES103+'Predicted PPIs'!ES102)))*IF(EI$26=".", 1, (EI103/EI102)^(('Summary, PPI''s'!$H103+'Summary, PPI''s'!$H102)/('Predicted PPIs'!ES103+'Predicted PPIs'!ES102)))*IF(EJ$26=".", 1, (EJ103/EJ102)^(('Summary, PPI''s'!$I103+'Summary, PPI''s'!$I102)/('Predicted PPIs'!ES103+'Predicted PPIs'!ES102)))*IF(EK$26=".", 1, (EK103/EK102)^(('Summary, PPI''s'!$J103+'Summary, PPI''s'!$J102)/('Predicted PPIs'!ES103+'Predicted PPIs'!ES102)))*IF(EL$26=".", 1, (EL103/EL102)^(('Summary, PPI''s'!$K103+'Summary, PPI''s'!$K102)/('Predicted PPIs'!ES103+'Predicted PPIs'!ES102)))*IF(EM$26=".", 1, (EM103/EM102)^(('Summary, PPI''s'!$L103+'Summary, PPI''s'!$L102)/('Predicted PPIs'!ES103+'Predicted PPIs'!ES102)))*IF(EN$26=".", 1, (EN103/EN102)^(('Summary, PPI''s'!$M103+'Summary, PPI''s'!$M102)/('Predicted PPIs'!ES103+'Predicted PPIs'!ES102)))*IF(EC$26=".", 1, (EC103/EC102)^(('Summary, PPI''s'!$B103+'Summary, PPI''s'!$B102)/('Predicted PPIs'!ES103+'Predicted PPIs'!ES102)))*IF(ED$26=".", 1, (ED103/ED102)^(('Summary, PPI''s'!$C103+'Summary, PPI''s'!$C102)/('Predicted PPIs'!ES103+'Predicted PPIs'!ES102)))*IF(EE$26=".", 1, (EE103/EE102)^(('Summary, PPI''s'!$D103+'Summary, PPI''s'!$D102)/('Predicted PPIs'!ES103+'Predicted PPIs'!ES102)))*IF(EO$26=".", 1, (EO103/EO102)^(('Summary, PPI''s'!$N103+'Summary, PPI''s'!$N102)/('Predicted PPIs'!ES103+'Predicted PPIs'!ES102)))*IF(EP$26=".", 1, (EP103/EP102)^(('Summary, PPI''s'!$O103+'Summary, PPI''s'!$O102)/('Predicted PPIs'!ES103+'Predicted PPIs'!ES102)))*IF(EQ$26=".", 1, (EQ103/EQ102)^(('Summary, PPI''s'!$P103+'Summary, PPI''s'!$P102)/('Predicted PPIs'!ES103+'Predicted PPIs'!ES102)))</f>
        <v>4.7420731967022354</v>
      </c>
      <c r="EW103" s="13">
        <f>EW102*IF(EF$26=".", 1, (EF103/EF102)^(('Summary, PPI''s'!$E103+'Summary, PPI''s'!$E102)/('Predicted PPIs'!ET103+'Predicted PPIs'!ET102)))*IF(EG$26=".", 1, (EG103/EG102)^(('Summary, PPI''s'!$F103+'Summary, PPI''s'!$F102)/('Predicted PPIs'!ET103+'Predicted PPIs'!ET102)))*IF(EH$26=".", 1, (EH103/EH102)^(('Summary, PPI''s'!$G103+'Summary, PPI''s'!$G102)/('Predicted PPIs'!ET103+'Predicted PPIs'!ET102)))*IF(EK$26=".", 1, (EK103/EK102)^(('Summary, PPI''s'!$J103+'Summary, PPI''s'!$J102)/('Predicted PPIs'!ET103+'Predicted PPIs'!ET102)))*IF(EL$26=".", 1, (EL103/EL102)^(('Summary, PPI''s'!$K103+'Summary, PPI''s'!$K102)/('Predicted PPIs'!ET103+'Predicted PPIs'!ET102)))*IF(EM$26=".", 1, (EM103/EM102)^(('Summary, PPI''s'!$L103+'Summary, PPI''s'!$L102)/('Predicted PPIs'!ET103+'Predicted PPIs'!ET102)))*IF(EN$26=".", 1, (EN103/EN102)^(('Summary, PPI''s'!$M103+'Summary, PPI''s'!$M102)/('Predicted PPIs'!ET103+'Predicted PPIs'!ET102)))*IF(EC$26=".", 1, (EC103/EC102)^(('Summary, PPI''s'!$B103+'Summary, PPI''s'!$B102)/('Predicted PPIs'!ET103+'Predicted PPIs'!ET102)))</f>
        <v>10.549830571422699</v>
      </c>
      <c r="EY103" s="2"/>
    </row>
    <row r="104" spans="1:155" x14ac:dyDescent="0.3">
      <c r="A104" s="4">
        <v>1919</v>
      </c>
      <c r="B104" s="10">
        <f>IF(B103=".", ".", IF('Summary, PPI''s'!R104=".",IF(OR('Summary, hourly ad costs'!R104=-9999,'Summary, hourly ad costs'!R104=0), ".", 'Predicted PPIs'!B103*('Summary, hourly ad costs'!B104/'Summary, hourly ad costs'!R104)/('Summary, hourly ad costs'!B103/'Summary, hourly ad costs'!R103)), 'Summary, PPI''s'!R104))</f>
        <v>85.233358462335687</v>
      </c>
      <c r="C104" s="10" t="str">
        <f>IF(C103=".", ".", IF('Summary, PPI''s'!S104=".",IF(OR('Summary, hourly ad costs'!S104=-9999,'Summary, hourly ad costs'!S104=0), ".", 'Predicted PPIs'!C103*('Summary, hourly ad costs'!C104/'Summary, hourly ad costs'!S104)/('Summary, hourly ad costs'!C103/'Summary, hourly ad costs'!S103)), 'Summary, PPI''s'!S104))</f>
        <v>.</v>
      </c>
      <c r="D104" s="10" t="str">
        <f>IF(D103=".", ".", IF('Summary, PPI''s'!T104=".",IF(OR('Summary, hourly ad costs'!T104=-9999,'Summary, hourly ad costs'!T104=0), ".", 'Predicted PPIs'!D103*('Summary, hourly ad costs'!D104/'Summary, hourly ad costs'!T104)/('Summary, hourly ad costs'!D103/'Summary, hourly ad costs'!T103)), 'Summary, PPI''s'!T104))</f>
        <v>.</v>
      </c>
      <c r="E104" s="10">
        <f>IF(E103=".", ".", IF('Summary, PPI''s'!U104=".",IF(OR('Summary, hourly ad costs'!U104=-9999,'Summary, hourly ad costs'!U104=0), ".", 'Predicted PPIs'!E103*('Summary, hourly ad costs'!E104/'Summary, hourly ad costs'!U104)/('Summary, hourly ad costs'!E103/'Summary, hourly ad costs'!U103)), 'Summary, PPI''s'!U104))</f>
        <v>1.7787066898705761</v>
      </c>
      <c r="F104" s="10">
        <f>IF(F103=".", ".", IF('Summary, PPI''s'!V104=".",IF(OR('Summary, hourly ad costs'!V104=-9999,'Summary, hourly ad costs'!V104=0), ".", 'Predicted PPIs'!F103*('Summary, hourly ad costs'!F104/'Summary, hourly ad costs'!V104)/('Summary, hourly ad costs'!F103/'Summary, hourly ad costs'!V103)), 'Summary, PPI''s'!V104))</f>
        <v>3.6919779669022339</v>
      </c>
      <c r="G104" s="10" t="str">
        <f>IF(G103=".", ".", IF('Summary, PPI''s'!W104=".",IF(OR('Summary, hourly ad costs'!W104=-9999,'Summary, hourly ad costs'!W104=0), ".", 'Predicted PPIs'!G103*('Summary, hourly ad costs'!G104/'Summary, hourly ad costs'!W104)/('Summary, hourly ad costs'!G103/'Summary, hourly ad costs'!W103)), 'Summary, PPI''s'!W104))</f>
        <v>.</v>
      </c>
      <c r="H104" s="10">
        <f>IF(H103=".", ".", IF('Summary, PPI''s'!X104=".",IF(OR('Summary, hourly ad costs'!X104=-9999,'Summary, hourly ad costs'!X104=0), ".", 'Predicted PPIs'!H103*('Summary, hourly ad costs'!H104/'Summary, hourly ad costs'!X104)/('Summary, hourly ad costs'!H103/'Summary, hourly ad costs'!X103)), 'Summary, PPI''s'!X104))</f>
        <v>2.0173488765019201</v>
      </c>
      <c r="I104" s="10" t="str">
        <f>IF(I103=".", ".", IF('Summary, PPI''s'!Y104=".",IF(OR('Summary, hourly ad costs'!Y104=-9999,'Summary, hourly ad costs'!Y104=0), ".", 'Predicted PPIs'!I103*('Summary, hourly ad costs'!I104/'Summary, hourly ad costs'!Y104)/('Summary, hourly ad costs'!I103/'Summary, hourly ad costs'!Y103)), 'Summary, PPI''s'!Y104))</f>
        <v>.</v>
      </c>
      <c r="J104" s="10" t="str">
        <f>IF(J103=".", ".", IF('Summary, PPI''s'!Z104=".",IF(OR('Summary, hourly ad costs'!Z104=-9999,'Summary, hourly ad costs'!Z104=0), ".", 'Predicted PPIs'!J103*('Summary, hourly ad costs'!J104/'Summary, hourly ad costs'!Z104)/('Summary, hourly ad costs'!J103/'Summary, hourly ad costs'!Z103)), 'Summary, PPI''s'!Z104))</f>
        <v>.</v>
      </c>
      <c r="K104" s="10" t="str">
        <f>IF(K103=".", ".", IF('Summary, PPI''s'!AA104=".",IF(OR('Summary, hourly ad costs'!AA104=-9999,'Summary, hourly ad costs'!AA104=0), ".", 'Predicted PPIs'!K103*('Summary, hourly ad costs'!K104/'Summary, hourly ad costs'!AA104)/('Summary, hourly ad costs'!K103/'Summary, hourly ad costs'!AA103)), 'Summary, PPI''s'!AA104))</f>
        <v>.</v>
      </c>
      <c r="L104" s="10" t="str">
        <f>IF(L103=".", ".", IF('Summary, PPI''s'!AB104=".",IF(OR('Summary, hourly ad costs'!AB104=-9999,'Summary, hourly ad costs'!AB104=0), ".", 'Predicted PPIs'!L103*('Summary, hourly ad costs'!L104/'Summary, hourly ad costs'!AB104)/('Summary, hourly ad costs'!L103/'Summary, hourly ad costs'!AB103)), 'Summary, PPI''s'!AB104))</f>
        <v>.</v>
      </c>
      <c r="M104" s="10" t="str">
        <f>IF(M103=".", ".", IF('Summary, PPI''s'!AC104=".",IF(OR('Summary, hourly ad costs'!AC104=-9999,'Summary, hourly ad costs'!AC104=0), ".", 'Predicted PPIs'!M103*('Summary, hourly ad costs'!M104/'Summary, hourly ad costs'!AC104)/('Summary, hourly ad costs'!M103/'Summary, hourly ad costs'!AC103)), 'Summary, PPI''s'!AC104))</f>
        <v>.</v>
      </c>
      <c r="N104" s="10" t="str">
        <f>IF(N103=".", ".", IF('Summary, PPI''s'!AD104=".",IF(OR('Summary, hourly ad costs'!AD104=-9999,'Summary, hourly ad costs'!AD104=0), ".", 'Predicted PPIs'!N103*('Summary, hourly ad costs'!N104/'Summary, hourly ad costs'!AD104)/('Summary, hourly ad costs'!N103/'Summary, hourly ad costs'!AD103)), 'Summary, PPI''s'!AD104))</f>
        <v>.</v>
      </c>
      <c r="O104" s="10" t="str">
        <f>IF(O103=".", ".", IF('Summary, PPI''s'!AE104=".",IF(OR('Summary, hourly ad costs'!AE104=-9999,'Summary, hourly ad costs'!AE104=0), ".", 'Predicted PPIs'!O103*('Summary, hourly ad costs'!O104/'Summary, hourly ad costs'!AE104)/('Summary, hourly ad costs'!O103/'Summary, hourly ad costs'!AE103)), 'Summary, PPI''s'!AE104))</f>
        <v>.</v>
      </c>
      <c r="P104" s="10" t="str">
        <f>IF(P103=".", ".", IF('Summary, PPI''s'!AF104=".",IF(OR('Summary, hourly ad costs'!AF104=-9999,'Summary, hourly ad costs'!AF104=0), ".", 'Predicted PPIs'!P103*('Summary, hourly ad costs'!P104/'Summary, hourly ad costs'!AF104)/('Summary, hourly ad costs'!P103/'Summary, hourly ad costs'!AF103)), 'Summary, PPI''s'!AF104))</f>
        <v>.</v>
      </c>
      <c r="R104" s="1">
        <f>IF(E$26=".", 0, 'Summary, PPI''s'!E104)+IF(F$26=".", 0, 'Summary, PPI''s'!F104)+IF(G$26=".", 0, 'Summary, PPI''s'!G104)+IF(H$26=".", 0, 'Summary, PPI''s'!H104)+IF(I$26=".", 0, 'Summary, PPI''s'!I104)+IF(J$26=".", 0, 'Summary, PPI''s'!J104)+IF(K$26=".", 0, 'Summary, PPI''s'!K104)+IF(L$26=".", 0, 'Summary, PPI''s'!L104)+IF(M$26=".", 0, 'Summary, PPI''s'!M104)+IF(B$26=".", 0, 'Summary, PPI''s'!B104)+IF(C$26=".", 0, 'Summary, PPI''s'!C104)+IF(D$26=".", 0, 'Summary, PPI''s'!D104)+IF(N$26=".", 0, 'Summary, PPI''s'!N104)+IF(O$26=".", 0, 'Summary, PPI''s'!O104)+IF(P$26=".", 0, 'Summary, PPI''s'!P104)</f>
        <v>1506985.6443473506</v>
      </c>
      <c r="S104" s="1">
        <f>IF(E$36=".", 0, 'Summary, PPI''s'!E104)+IF(F$36=".", 0, 'Summary, PPI''s'!F104)+IF(G$36=".", 0, 'Summary, PPI''s'!G104)+IF(H$36=".", 0, 'Summary, PPI''s'!H104)+IF(I$36=".", 0, 'Summary, PPI''s'!I104)+IF(J$36=".", 0, 'Summary, PPI''s'!J104)+IF(K$36=".", 0, 'Summary, PPI''s'!K104)+IF(L$36=".", 0, 'Summary, PPI''s'!L104)+IF(M$36=".", 0, 'Summary, PPI''s'!M104)+IF(B$36=".", 0, 'Summary, PPI''s'!B104)+IF(C$36=".", 0, 'Summary, PPI''s'!C104)+IF(D$36=".", 0, 'Summary, PPI''s'!D104)+IF(N$36=".", 0, 'Summary, PPI''s'!N104)+IF(O$36=".", 0, 'Summary, PPI''s'!O104)+IF(P$36=".", 0, 'Summary, PPI''s'!P104)</f>
        <v>1506985.6443473506</v>
      </c>
      <c r="T104" s="1">
        <f>IF(E$46=".", 0, 'Summary, PPI''s'!E104)+IF(F$46=".", 0, 'Summary, PPI''s'!F104)+IF(G$46=".", 0, 'Summary, PPI''s'!G104)+IF(H$46=".", 0, 'Summary, PPI''s'!H104)+IF(I$46=".", 0, 'Summary, PPI''s'!I104)+IF(J$46=".", 0, 'Summary, PPI''s'!J104)+IF(K$46=".", 0, 'Summary, PPI''s'!K104)+IF(L$46=".", 0, 'Summary, PPI''s'!L104)+IF(M$46=".", 0, 'Summary, PPI''s'!M104)+IF(B$46=".", 0, 'Summary, PPI''s'!B104)+IF(C$46=".", 0, 'Summary, PPI''s'!C104)+IF(D$46=".", 0, 'Summary, PPI''s'!D104)+IF(N$46=".", 0, 'Summary, PPI''s'!N104)+IF(O$46=".", 0, 'Summary, PPI''s'!O104)+IF(P$46=".", 0, 'Summary, PPI''s'!P104)</f>
        <v>1332671.4256009024</v>
      </c>
      <c r="U104" s="1">
        <f>IF(E$60=".", 0, 'Summary, PPI''s'!E104)+IF(F$60=".", 0, 'Summary, PPI''s'!F104)+IF(G$60=".", 0, 'Summary, PPI''s'!G104)+IF(H$60=".", 0, 'Summary, PPI''s'!H104)+IF(I$60=".", 0, 'Summary, PPI''s'!I104)+IF(J$60=".", 0, 'Summary, PPI''s'!J104)+IF(K$60=".", 0, 'Summary, PPI''s'!K104)+IF(L$60=".", 0, 'Summary, PPI''s'!L104)+IF(M$60=".", 0, 'Summary, PPI''s'!M104)+IF(B$60=".", 0, 'Summary, PPI''s'!B104)+IF(C$60=".", 0, 'Summary, PPI''s'!C104)+IF(D$60=".", 0, 'Summary, PPI''s'!D104)+IF(N$60=".", 0, 'Summary, PPI''s'!N104)+IF(O$60=".", 0, 'Summary, PPI''s'!O104)+IF(P$60=".", 0, 'Summary, PPI''s'!P104)</f>
        <v>1260444.2250131627</v>
      </c>
      <c r="V104" s="1">
        <f>IF(E$73=".", 0, 'Summary, PPI''s'!E104)+IF(F$73=".", 0, 'Summary, PPI''s'!F104)+IF(G$73=".", 0, 'Summary, PPI''s'!G104)+IF(H$73=".", 0, 'Summary, PPI''s'!H104)+IF(I$73=".", 0, 'Summary, PPI''s'!I104)+IF(J$73=".", 0, 'Summary, PPI''s'!J104)+IF(K$73=".", 0, 'Summary, PPI''s'!K104)+IF(L$73=".", 0, 'Summary, PPI''s'!L104)+IF(M$73=".", 0, 'Summary, PPI''s'!M104)+IF(B$73=".", 0, 'Summary, PPI''s'!B104)+IF(C$73=".", 0, 'Summary, PPI''s'!C104)+IF(D$73=".", 0, 'Summary, PPI''s'!D104)+IF(N$73=".", 0, 'Summary, PPI''s'!N104)+IF(O$73=".", 0, 'Summary, PPI''s'!O104)+IF(P$73=".", 0, 'Summary, PPI''s'!P104)</f>
        <v>938031.96387160732</v>
      </c>
      <c r="W104" s="1">
        <f>IF(E$94=".",0,'Summary, PPI''s'!E104)+IF(F$94=".",0,'Summary, PPI''s'!F104)+IF(G$94=".",0,'Summary, PPI''s'!G104)+IF(H$94=".",0,'Summary, PPI''s'!H104)+IF(I$94=".",0,'Summary, PPI''s'!I104)+IF(J$94=".",0,'Summary, PPI''s'!J104)+IF(K$94=".",0,'Summary, PPI''s'!K104)+IF(L$94=".",0,'Summary, PPI''s'!L104)+IF(M$94=".",0,'Summary, PPI''s'!M104)+IF(B$94=".",0,'Summary, PPI''s'!B104)+IF(C$94=".",0,'Summary, PPI''s'!C104)+IF(D$94=".",0,'Summary, PPI''s'!D104)+IF(N$94=".",0,'Summary, PPI''s'!N104)+IF(O$94=".",0,'Summary, PPI''s'!O104)+IF(P$94=".",0,'Summary, PPI''s'!P104)</f>
        <v>938031.96387160732</v>
      </c>
      <c r="X104" s="1">
        <f>IF(E$123=".", 0, 'Summary, PPI''s'!E104)+IF(F$123=".", 0, 'Summary, PPI''s'!F104)+IF(G$123=".", 0, 'Summary, PPI''s'!G104)+IF(H$123=".", 0, 'Summary, PPI''s'!H104)+IF(I$123=".", 0, 'Summary, PPI''s'!I104)+IF(J$123=".", 0, 'Summary, PPI''s'!J104)+IF(K$123=".", 0, 'Summary, PPI''s'!K104)+IF(L$123=".", 0, 'Summary, PPI''s'!L104)+IF(M$123=".", 0, 'Summary, PPI''s'!M104)+IF(B$123=".", 0, 'Summary, PPI''s'!B104)+IF(C$123=".", 0, 'Summary, PPI''s'!C104)+IF(D$123=".", 0, 'Summary, PPI''s'!D104)+IF(N$123=".", 0, 'Summary, PPI''s'!N104)+IF(O$123=".", 0, 'Summary, PPI''s'!O104)+IF(P$123=".", 0, 'Summary, PPI''s'!P104)</f>
        <v>938031.96387160732</v>
      </c>
      <c r="Z104" s="4" t="e">
        <f>Z103*IF(E$26=".", 1, (E104/E103)^(('Summary, PPI''s'!$E104+'Summary, PPI''s'!$E103)/('Predicted PPIs'!R104+'Predicted PPIs'!R103)))*IF(F$26=".", 1, (F104/F103)^(('Summary, PPI''s'!$F104+'Summary, PPI''s'!$F103)/('Predicted PPIs'!R104+'Predicted PPIs'!R103)))*IF(G$26=".", 1, (G104/G103)^(('Summary, PPI''s'!$G104+'Summary, PPI''s'!$G103)/('Predicted PPIs'!R104+'Predicted PPIs'!R103)))*IF(H$26=".", 1, (H104/H103)^(('Summary, PPI''s'!$H104+'Summary, PPI''s'!$H103)/('Predicted PPIs'!R104+'Predicted PPIs'!R103)))*IF(I$26=".", 1, (I104/I103)^(('Summary, PPI''s'!$I104+'Summary, PPI''s'!$I103)/('Predicted PPIs'!R104+'Predicted PPIs'!R103)))*IF(J$26=".", 1, (J104/J103)^(('Summary, PPI''s'!$J104+'Summary, PPI''s'!$J103)/('Predicted PPIs'!R104+'Predicted PPIs'!R103)))*IF(K$26=".", 1, (K104/K103)^(('Summary, PPI''s'!$K104+'Summary, PPI''s'!$K103)/('Predicted PPIs'!R104+'Predicted PPIs'!R103)))*IF(L$26=".", 1, (L104/L103)^(('Summary, PPI''s'!$L104+'Summary, PPI''s'!$L103)/('Predicted PPIs'!R104+'Predicted PPIs'!R103)))*IF(M$26=".", 1, (M104/M103)^(('Summary, PPI''s'!$M104+'Summary, PPI''s'!$M103)/('Predicted PPIs'!R104+'Predicted PPIs'!R103)))*IF(B$26=".", 1, (B104/B103)^(('Summary, PPI''s'!$B104+'Summary, PPI''s'!$B103)/('Predicted PPIs'!R104+'Predicted PPIs'!R103)))*IF(C$26=".", 1, (C104/C103)^(('Summary, PPI''s'!$C104+'Summary, PPI''s'!$C103)/('Predicted PPIs'!R104+'Predicted PPIs'!R103)))*IF(D$26=".", 1, (D104/D103)^(('Summary, PPI''s'!$D104+'Summary, PPI''s'!$D103)/('Predicted PPIs'!R104+'Predicted PPIs'!R103)))*IF(N$26=".", 1, (N104/N103)^(('Summary, PPI''s'!$N104+'Summary, PPI''s'!$N103)/('Predicted PPIs'!R104+'Predicted PPIs'!R103)))*IF(O$26=".", 1, (O104/O103)^(('Summary, PPI''s'!$O104+'Summary, PPI''s'!$O103)/('Predicted PPIs'!R104+'Predicted PPIs'!R103)))*IF(P$26=".", 1, (P104/P103)^(('Summary, PPI''s'!$P104+'Summary, PPI''s'!$P103)/('Predicted PPIs'!R104+'Predicted PPIs'!R103)))</f>
        <v>#VALUE!</v>
      </c>
      <c r="AA104" s="4" t="e">
        <f>AA103*IF(E$36=".", 1, (E104/E103)^(('Summary, PPI''s'!$E104+'Summary, PPI''s'!$E103)/('Predicted PPIs'!S104+'Predicted PPIs'!S103)))*IF(F$36=".", 1, (F104/F103)^(('Summary, PPI''s'!$F104+'Summary, PPI''s'!$F103)/('Predicted PPIs'!S104+'Predicted PPIs'!S103)))*IF(G$36=".", 1, (G104/G103)^(('Summary, PPI''s'!$G104+'Summary, PPI''s'!$G103)/('Predicted PPIs'!S104+'Predicted PPIs'!S103)))*IF(H$36=".", 1, (H104/H103)^(('Summary, PPI''s'!$H104+'Summary, PPI''s'!$H103)/('Predicted PPIs'!S104+'Predicted PPIs'!S103)))*IF(I$36=".", 1, (I104/I103)^(('Summary, PPI''s'!$I104+'Summary, PPI''s'!$I103)/('Predicted PPIs'!S104+'Predicted PPIs'!S103)))*IF(J$36=".", 1, (J104/J103)^(('Summary, PPI''s'!$J104+'Summary, PPI''s'!$J103)/('Predicted PPIs'!S104+'Predicted PPIs'!S103)))*IF(K$36=".", 1, (K104/K103)^(('Summary, PPI''s'!$K104+'Summary, PPI''s'!$K103)/('Predicted PPIs'!S104+'Predicted PPIs'!S103)))*IF(L$36=".", 1, (L104/L103)^(('Summary, PPI''s'!$L104+'Summary, PPI''s'!$L103)/('Predicted PPIs'!S104+'Predicted PPIs'!S103)))*IF(M$36=".", 1, (M104/M103)^(('Summary, PPI''s'!$M104+'Summary, PPI''s'!$M103)/('Predicted PPIs'!S104+'Predicted PPIs'!S103)))*IF(B$36=".", 1, (B104/B103)^(('Summary, PPI''s'!$B104+'Summary, PPI''s'!$B103)/('Predicted PPIs'!S104+'Predicted PPIs'!S103)))*IF(C$36=".", 1, (C104/C103)^(('Summary, PPI''s'!$C104+'Summary, PPI''s'!$C103)/('Predicted PPIs'!S104+'Predicted PPIs'!S103)))*IF(D$36=".", 1, (D104/D103)^(('Summary, PPI''s'!$D104+'Summary, PPI''s'!$D103)/('Predicted PPIs'!S104+'Predicted PPIs'!S103)))*IF(N$36=".", 1, (N104/N103)^(('Summary, PPI''s'!$N104+'Summary, PPI''s'!$N103)/('Predicted PPIs'!S104+'Predicted PPIs'!S103)))*IF(O$36=".", 1, (O104/O103)^(('Summary, PPI''s'!$O104+'Summary, PPI''s'!$O103)/('Predicted PPIs'!S104+'Predicted PPIs'!S103)))*IF(P$36=".", 1, (P104/P103)^(('Summary, PPI''s'!$P104+'Summary, PPI''s'!$P103)/('Predicted PPIs'!S104+'Predicted PPIs'!S103)))</f>
        <v>#VALUE!</v>
      </c>
      <c r="AB104" s="4" t="e">
        <f>AB103*IF(E$46=".", 1, (E104/E103)^(('Summary, PPI''s'!$E104+'Summary, PPI''s'!$E103)/('Predicted PPIs'!T104+'Predicted PPIs'!T103)))*IF(F$46=".", 1, (F104/F103)^(('Summary, PPI''s'!$F104+'Summary, PPI''s'!$F103)/('Predicted PPIs'!T104+'Predicted PPIs'!T103)))*IF(G$46=".", 1, (G104/G103)^(('Summary, PPI''s'!$G104+'Summary, PPI''s'!$G103)/('Predicted PPIs'!T104+'Predicted PPIs'!T103)))*IF(H$46=".", 1, (H104/H103)^(('Summary, PPI''s'!$H104+'Summary, PPI''s'!$H103)/('Predicted PPIs'!T104+'Predicted PPIs'!T103)))*IF(I$46=".", 1, (I104/I103)^(('Summary, PPI''s'!$I104+'Summary, PPI''s'!$I103)/('Predicted PPIs'!T104+'Predicted PPIs'!T103)))*IF(J$46=".", 1, (J104/J103)^(('Summary, PPI''s'!$J104+'Summary, PPI''s'!$J103)/('Predicted PPIs'!T104+'Predicted PPIs'!T103)))*IF(K$46=".", 1, (K104/K103)^(('Summary, PPI''s'!$K104+'Summary, PPI''s'!$K103)/('Predicted PPIs'!T104+'Predicted PPIs'!T103)))*IF(L$46=".", 1, (L104/L103)^(('Summary, PPI''s'!$L104+'Summary, PPI''s'!$L103)/('Predicted PPIs'!T104+'Predicted PPIs'!T103)))*IF(M$46=".", 1, (M104/M103)^(('Summary, PPI''s'!$M104+'Summary, PPI''s'!$M103)/('Predicted PPIs'!T104+'Predicted PPIs'!T103)))*IF(B$46=".", 1, (B104/B103)^(('Summary, PPI''s'!$B104+'Summary, PPI''s'!$B103)/('Predicted PPIs'!T104+'Predicted PPIs'!T103)))*IF(C$46=".", 1, (C104/C103)^(('Summary, PPI''s'!$C104+'Summary, PPI''s'!$C103)/('Predicted PPIs'!T104+'Predicted PPIs'!T103)))*IF(D$46=".", 1, (D104/D103)^(('Summary, PPI''s'!$D104+'Summary, PPI''s'!$D103)/('Predicted PPIs'!T104+'Predicted PPIs'!T103)))*IF(N$46=".", 1, (N104/N103)^(('Summary, PPI''s'!$N104+'Summary, PPI''s'!$N103)/('Predicted PPIs'!T104+'Predicted PPIs'!T103)))*IF(O$46=".", 1, (O104/O103)^(('Summary, PPI''s'!$O104+'Summary, PPI''s'!$O103)/('Predicted PPIs'!T104+'Predicted PPIs'!T103)))*IF(P$46=".", 1, (P104/P103)^(('Summary, PPI''s'!$P104+'Summary, PPI''s'!$P103)/('Predicted PPIs'!T104+'Predicted PPIs'!T103)))</f>
        <v>#VALUE!</v>
      </c>
      <c r="AC104" s="4" t="e">
        <f>AC103*IF(E$60=".",1,(E104/E103)^(('Summary, PPI''s'!$E104+'Summary, PPI''s'!$E103)/('Predicted PPIs'!U104+'Predicted PPIs'!U103)))*IF(F$60=".",1,(F104/F103)^(('Summary, PPI''s'!$F104+'Summary, PPI''s'!$F103)/('Predicted PPIs'!U104+'Predicted PPIs'!U103)))*IF(G$60=".",1,(G104/G103)^(('Summary, PPI''s'!$G104+'Summary, PPI''s'!$G103)/('Predicted PPIs'!U104+'Predicted PPIs'!U103)))*IF(H$60=".",1,(H104/H103)^(('Summary, PPI''s'!$H104+'Summary, PPI''s'!$H103)/('Predicted PPIs'!U104+'Predicted PPIs'!U103)))*IF(I$60=".",1,(I104/I103)^(('Summary, PPI''s'!$I104+'Summary, PPI''s'!$I103)/('Predicted PPIs'!U104+'Predicted PPIs'!U103)))*IF(J$60=".",1,(J104/J103)^(('Summary, PPI''s'!$J104+'Summary, PPI''s'!$J103)/('Predicted PPIs'!U104+'Predicted PPIs'!U103)))*IF(K$60=".",1,(K104/K103)^(('Summary, PPI''s'!$K104+'Summary, PPI''s'!$K103)/('Predicted PPIs'!U104+'Predicted PPIs'!U103)))*IF(L$60=".",1,(L104/L103)^(('Summary, PPI''s'!$L104+'Summary, PPI''s'!$L103)/('Predicted PPIs'!U104+'Predicted PPIs'!U103)))*IF(M$60=".",1,(M104/M103)^(('Summary, PPI''s'!$M104+'Summary, PPI''s'!$M103)/('Predicted PPIs'!U104+'Predicted PPIs'!U103)))*IF(B$60=".",1,(B104/B103)^(('Summary, PPI''s'!$B104+'Summary, PPI''s'!$B103)/('Predicted PPIs'!U104+'Predicted PPIs'!U103)))*IF(C$60=".",1,(C104/C103)^(('Summary, PPI''s'!$C104+'Summary, PPI''s'!$C103)/('Predicted PPIs'!U104+'Predicted PPIs'!U103)))*IF(D$60=".",1,(D104/D103)^(('Summary, PPI''s'!$D104+'Summary, PPI''s'!$D103)/('Predicted PPIs'!U104+'Predicted PPIs'!U103)))*IF(N$60=".",1,(N104/N103)^(('Summary, PPI''s'!$N104+'Summary, PPI''s'!$N103)/('Predicted PPIs'!U104+'Predicted PPIs'!U103)))*IF(O$60=".",1,(O104/O103)^(('Summary, PPI''s'!$O104+'Summary, PPI''s'!$O103)/('Predicted PPIs'!U104+'Predicted PPIs'!U103)))*IF(P$60=".",1,(P104/P103)^(('Summary, PPI''s'!$P104+'Summary, PPI''s'!$P103)/('Predicted PPIs'!U104+'Predicted PPIs'!U103)))</f>
        <v>#VALUE!</v>
      </c>
      <c r="AD104" s="4" t="e">
        <f>AD103*IF(E$73=".", 1, (E104/E103)^(('Summary, PPI''s'!$E104+'Summary, PPI''s'!$E103)/('Predicted PPIs'!V104+'Predicted PPIs'!V103)))*IF(F$73=".", 1, (F104/F103)^(('Summary, PPI''s'!$F104+'Summary, PPI''s'!$F103)/('Predicted PPIs'!V104+'Predicted PPIs'!V103)))*IF(G$73=".", 1, (G104/G103)^(('Summary, PPI''s'!$G104+'Summary, PPI''s'!$G103)/('Predicted PPIs'!V104+'Predicted PPIs'!V103)))*IF(H$73=".", 1, (H104/H103)^(('Summary, PPI''s'!$H104+'Summary, PPI''s'!$H103)/('Predicted PPIs'!V104+'Predicted PPIs'!V103)))*IF(I$73=".", 1, (I104/I103)^(('Summary, PPI''s'!$I104+'Summary, PPI''s'!$I103)/('Predicted PPIs'!V104+'Predicted PPIs'!V103)))*IF(J$73=".", 1, (J104/J103)^(('Summary, PPI''s'!$J104+'Summary, PPI''s'!$J103)/('Predicted PPIs'!V104+'Predicted PPIs'!V103)))*IF(K$73=".", 1, (K104/K103)^(('Summary, PPI''s'!$K104+'Summary, PPI''s'!$K103)/('Predicted PPIs'!V104+'Predicted PPIs'!V103)))*IF(L$73=".", 1, (L104/L103)^(('Summary, PPI''s'!$L104+'Summary, PPI''s'!$L103)/('Predicted PPIs'!V104+'Predicted PPIs'!V103)))*IF(M$73=".", 1, (M104/M103)^(('Summary, PPI''s'!$M104+'Summary, PPI''s'!$M103)/('Predicted PPIs'!V104+'Predicted PPIs'!V103)))*IF(B$73=".", 1, (B104/B103)^(('Summary, PPI''s'!$B104+'Summary, PPI''s'!$B103)/('Predicted PPIs'!V104+'Predicted PPIs'!V103)))*IF(C$73=".", 1, (C104/C103)^(('Summary, PPI''s'!$C104+'Summary, PPI''s'!$C103)/('Predicted PPIs'!V104+'Predicted PPIs'!V103)))*IF(D$73=".", 1, (D104/D103)^(('Summary, PPI''s'!$D104+'Summary, PPI''s'!$D103)/('Predicted PPIs'!V104+'Predicted PPIs'!V103)))*IF(N$73=".", 1, (N104/N103)^(('Summary, PPI''s'!$N104+'Summary, PPI''s'!$N103)/('Predicted PPIs'!V104+'Predicted PPIs'!V103)))*IF(O$73=".", 1, (O104/O103)^(('Summary, PPI''s'!$O104+'Summary, PPI''s'!$O103)/('Predicted PPIs'!V104+'Predicted PPIs'!V103)))*IF(P$73=".", 1, (P104/P103)^(('Summary, PPI''s'!$P104+'Summary, PPI''s'!$P103)/('Predicted PPIs'!V104+'Predicted PPIs'!V103)))</f>
        <v>#VALUE!</v>
      </c>
      <c r="AE104" s="4" t="e">
        <f>AE103*IF(E$94=".", 1, (E104/E103)^(('Summary, PPI''s'!$E104+'Summary, PPI''s'!$E103)/('Predicted PPIs'!W104+'Predicted PPIs'!W103)))*IF(F$94=".", 1, (F104/F103)^(('Summary, PPI''s'!$F104+'Summary, PPI''s'!$F103)/('Predicted PPIs'!W104+'Predicted PPIs'!W103)))*IF(G$94=".", 1, (G104/G103)^(('Summary, PPI''s'!$G104+'Summary, PPI''s'!$G103)/('Predicted PPIs'!W104+'Predicted PPIs'!W103)))*IF(H$94=".", 1, (H104/H103)^(('Summary, PPI''s'!$H104+'Summary, PPI''s'!$H103)/('Predicted PPIs'!W104+'Predicted PPIs'!W103)))*IF(I$94=".", 1, (I104/I103)^(('Summary, PPI''s'!$I104+'Summary, PPI''s'!$I103)/('Predicted PPIs'!W104+'Predicted PPIs'!W103)))*IF(J$94=".", 1, (J104/J103)^(('Summary, PPI''s'!$J104+'Summary, PPI''s'!$J103)/('Predicted PPIs'!W104+'Predicted PPIs'!W103)))*IF(K$94=".", 1, (K104/K103)^(('Summary, PPI''s'!$K104+'Summary, PPI''s'!$K103)/('Predicted PPIs'!W104+'Predicted PPIs'!W103)))*IF(L$94=".", 1, (L104/L103)^(('Summary, PPI''s'!$L104+'Summary, PPI''s'!$L103)/('Predicted PPIs'!W104+'Predicted PPIs'!W103)))*IF(M$94=".", 1, (M104/M103)^(('Summary, PPI''s'!$M104+'Summary, PPI''s'!$M103)/('Predicted PPIs'!W104+'Predicted PPIs'!W103)))*IF(B$94=".", 1, (B104/B103)^(('Summary, PPI''s'!$B104+'Summary, PPI''s'!$B103)/('Predicted PPIs'!W104+'Predicted PPIs'!W103)))*IF(C$94=".", 1, (C104/C103)^(('Summary, PPI''s'!$C104+'Summary, PPI''s'!$C103)/('Predicted PPIs'!W104+'Predicted PPIs'!W103)))*IF(D$94=".", 1, (D104/D103)^(('Summary, PPI''s'!$D104+'Summary, PPI''s'!$D103)/('Predicted PPIs'!W104+'Predicted PPIs'!W103)))*IF(N$94=".", 1, (N104/N103)^(('Summary, PPI''s'!$N104+'Summary, PPI''s'!$N103)/('Predicted PPIs'!W104+'Predicted PPIs'!W103)))*IF(O$94=".", 1, (O104/O103)^(('Summary, PPI''s'!$O104+'Summary, PPI''s'!$O103)/('Predicted PPIs'!W104+'Predicted PPIs'!W103)))*IF(P$94=".", 1, (P104/P103)^(('Summary, PPI''s'!$P104+'Summary, PPI''s'!$P103)/('Predicted PPIs'!W104+'Predicted PPIs'!W103)))</f>
        <v>#VALUE!</v>
      </c>
      <c r="AF104" s="4">
        <f>AF103*IF(E$123=".", 1, (E104/E103)^(('Summary, PPI''s'!$E104+'Summary, PPI''s'!$E103)/('Predicted PPIs'!X104+'Predicted PPIs'!X103)))*IF(F$123=".", 1, (F104/F103)^(('Summary, PPI''s'!$F104+'Summary, PPI''s'!$F103)/('Predicted PPIs'!X104+'Predicted PPIs'!X103)))*IF(G$123=".", 1, (G104/G103)^(('Summary, PPI''s'!$G104+'Summary, PPI''s'!$G103)/('Predicted PPIs'!X104+'Predicted PPIs'!X103)))*IF(H$123=".", 1, (H104/H103)^(('Summary, PPI''s'!$H104+'Summary, PPI''s'!$H103)/('Predicted PPIs'!X104+'Predicted PPIs'!X103)))*IF(I$123=".", 1, (I104/I103)^(('Summary, PPI''s'!$I104+'Summary, PPI''s'!$I103)/('Predicted PPIs'!X104+'Predicted PPIs'!X103)))*IF(J$123=".", 1, (J104/J103)^(('Summary, PPI''s'!$J104+'Summary, PPI''s'!$J103)/('Predicted PPIs'!X104+'Predicted PPIs'!X103)))*IF(K$123=".", 1, (K104/K103)^(('Summary, PPI''s'!$K104+'Summary, PPI''s'!$K103)/('Predicted PPIs'!X104+'Predicted PPIs'!X103)))*IF(L$123=".", 1, (L104/L103)^(('Summary, PPI''s'!$L104+'Summary, PPI''s'!$L103)/('Predicted PPIs'!X104+'Predicted PPIs'!X103)))*IF(M$123=".", 1, (M104/M103)^(('Summary, PPI''s'!$M104+'Summary, PPI''s'!$M103)/('Predicted PPIs'!X104+'Predicted PPIs'!X103)))*IF(B$123=".", 1, (B104/B103)^(('Summary, PPI''s'!$B104+'Summary, PPI''s'!$B103)/('Predicted PPIs'!X104+'Predicted PPIs'!X103)))*IF(C$123=".", 1, (C104/C103)^(('Summary, PPI''s'!$C104+'Summary, PPI''s'!$C103)/('Predicted PPIs'!X104+'Predicted PPIs'!X103)))*IF(D$123=".", 1, (D104/D103)^(('Summary, PPI''s'!$D104+'Summary, PPI''s'!$D103)/('Predicted PPIs'!X104+'Predicted PPIs'!X103)))*IF(N$123=".", 1, (N104/N103)^(('Summary, PPI''s'!$N104+'Summary, PPI''s'!$N103)/('Predicted PPIs'!X104+'Predicted PPIs'!X103)))*IF(O$123=".", 1, (O104/O103)^(('Summary, PPI''s'!$O104+'Summary, PPI''s'!$O103)/('Predicted PPIs'!X104+'Predicted PPIs'!X103)))*IF(P$123=".", 1, (P104/P103)^(('Summary, PPI''s'!$P104+'Summary, PPI''s'!$P103)/('Predicted PPIs'!X104+'Predicted PPIs'!X103)))</f>
        <v>4.2420394536654094</v>
      </c>
      <c r="AH104" s="13">
        <f t="shared" si="212"/>
        <v>6.0578737984310038</v>
      </c>
      <c r="AJ104" s="4">
        <f t="shared" si="207"/>
        <v>51.929172964157779</v>
      </c>
      <c r="AK104" s="4">
        <f t="shared" si="191"/>
        <v>-1.1492851845943444</v>
      </c>
      <c r="AL104" s="4">
        <f t="shared" si="192"/>
        <v>-3.9369559037942863</v>
      </c>
      <c r="AM104" s="4">
        <f t="shared" si="193"/>
        <v>-0.61254954672191275</v>
      </c>
      <c r="AN104" s="4">
        <f t="shared" si="176"/>
        <v>69.249588900319125</v>
      </c>
      <c r="AO104" s="4">
        <v>10.6</v>
      </c>
      <c r="AP104" s="4">
        <f t="shared" si="177"/>
        <v>-0.98064171122994659</v>
      </c>
      <c r="AQ104" s="4">
        <f t="shared" si="178"/>
        <v>-1.8538663101604269</v>
      </c>
      <c r="AR104" s="4">
        <f t="shared" si="210"/>
        <v>-1.287075934059775E-4</v>
      </c>
      <c r="AS104" s="4">
        <f t="shared" si="208"/>
        <v>-0.26457107283668813</v>
      </c>
      <c r="AT104" s="4">
        <f t="shared" si="194"/>
        <v>9.5564676328502447</v>
      </c>
      <c r="AU104" s="4">
        <f t="shared" si="195"/>
        <v>15.735891787439616</v>
      </c>
      <c r="AV104" s="4">
        <f t="shared" si="196"/>
        <v>12.238570048309182</v>
      </c>
      <c r="AW104" s="4">
        <f t="shared" si="197"/>
        <v>6.8435246376811616</v>
      </c>
      <c r="AX104" s="4">
        <f t="shared" si="198"/>
        <v>9.1028184728854491</v>
      </c>
      <c r="AY104" s="4">
        <f t="shared" si="199"/>
        <v>10.703737198067635</v>
      </c>
      <c r="AZ104" s="4">
        <f t="shared" si="200"/>
        <v>3.6587207729468605</v>
      </c>
      <c r="BA104" s="4">
        <f t="shared" si="201"/>
        <v>9.9111342995169078</v>
      </c>
      <c r="BB104" s="4">
        <f t="shared" si="202"/>
        <v>56.689245088169471</v>
      </c>
      <c r="BC104" s="4">
        <f t="shared" si="203"/>
        <v>9.2902106280193255</v>
      </c>
      <c r="BD104" s="5">
        <f>'[2]Ordinary Experience'!$AD$322</f>
        <v>212.8</v>
      </c>
      <c r="BE104" s="5">
        <f>'[2]Ordinary Experience'!$AC$322</f>
        <v>1.681505688491262</v>
      </c>
      <c r="BG104" s="4">
        <f t="shared" si="172"/>
        <v>5.5488380942660411</v>
      </c>
      <c r="BI104" s="4">
        <f>BI$13*'[2]Ordinary Experience'!$D$322/'[2]Ordinary Experience'!$D$413</f>
        <v>104644188.91289787</v>
      </c>
      <c r="BJ104" s="4">
        <f>'[2]Ordinary Experience'!$E$322</f>
        <v>31.829873397289791</v>
      </c>
      <c r="BL104" s="4">
        <f t="shared" si="211"/>
        <v>19.625854041279464</v>
      </c>
      <c r="BM104" s="4">
        <f t="shared" si="153"/>
        <v>-7.5150593984447345E-2</v>
      </c>
      <c r="BO104" s="4" t="str">
        <f>IF(OR('Summary, hourly ad costs'!R104=-9999,'Summary, PPI''s'!R104="."),".",(('Summary, hourly ad costs'!B104/'Summary, hourly ad costs'!R104)*100/('Summary, hourly ad costs'!B$11/'Summary, hourly ad costs'!R$11))/('Summary, PPI''s'!R104))</f>
        <v>.</v>
      </c>
      <c r="BP104" s="4" t="str">
        <f>IF(OR('Summary, hourly ad costs'!S104=-9999,'Summary, PPI''s'!S104="."),".",(('Summary, hourly ad costs'!C104/'Summary, hourly ad costs'!S104)*100/('Summary, hourly ad costs'!C$11/'Summary, hourly ad costs'!S$11))/('Summary, PPI''s'!S104))</f>
        <v>.</v>
      </c>
      <c r="BQ104" s="4" t="str">
        <f>IF(OR('Summary, hourly ad costs'!T104=-9999,'Summary, PPI''s'!T104="."),".",(('Summary, hourly ad costs'!D104/'Summary, hourly ad costs'!T104)*100/('Summary, hourly ad costs'!D$11/'Summary, hourly ad costs'!T$11))/('Summary, PPI''s'!T104))</f>
        <v>.</v>
      </c>
      <c r="BR104" s="4" t="str">
        <f>IF(OR('Summary, hourly ad costs'!U104=-9999,'Summary, PPI''s'!U104="."),".",(('Summary, hourly ad costs'!E104/'Summary, hourly ad costs'!U104)*100/('Summary, hourly ad costs'!E$11/'Summary, hourly ad costs'!U$11))/('Summary, PPI''s'!U104))</f>
        <v>.</v>
      </c>
      <c r="BS104" s="4" t="str">
        <f>IF(OR('Summary, hourly ad costs'!V104=-9999,'Summary, PPI''s'!V104="."),".",(('Summary, hourly ad costs'!F104/'Summary, hourly ad costs'!V104)*100/('Summary, hourly ad costs'!F$11/'Summary, hourly ad costs'!V$11))/('Summary, PPI''s'!V104))</f>
        <v>.</v>
      </c>
      <c r="BT104" s="4" t="str">
        <f>IF(OR('Summary, hourly ad costs'!W104=-9999,'Summary, PPI''s'!W104="."),".",(('Summary, hourly ad costs'!G104/'Summary, hourly ad costs'!W104)*100/('Summary, hourly ad costs'!G$11/'Summary, hourly ad costs'!W$11))/('Summary, PPI''s'!W104))</f>
        <v>.</v>
      </c>
      <c r="BU104" s="4" t="str">
        <f>IF(OR('Summary, hourly ad costs'!X104=-9999,'Summary, PPI''s'!X104="."),".",(('Summary, hourly ad costs'!H104/'Summary, hourly ad costs'!X104)*100/('Summary, hourly ad costs'!H$11/'Summary, hourly ad costs'!X$11))/('Summary, PPI''s'!X104))</f>
        <v>.</v>
      </c>
      <c r="BV104" s="4" t="str">
        <f>IF(OR('Summary, hourly ad costs'!Y104=-9999,'Summary, PPI''s'!Y104="."),".",(('Summary, hourly ad costs'!I104/'Summary, hourly ad costs'!Y104)*100/('Summary, hourly ad costs'!I$11/'Summary, hourly ad costs'!Y$11))/('Summary, PPI''s'!Y104))</f>
        <v>.</v>
      </c>
      <c r="BW104" s="4" t="str">
        <f>IF(OR('Summary, hourly ad costs'!Z104=-9999,'Summary, PPI''s'!Z104="."),".",(('Summary, hourly ad costs'!J104/'Summary, hourly ad costs'!Z104)*100/('Summary, hourly ad costs'!J$11/'Summary, hourly ad costs'!Z$11))/('Summary, PPI''s'!Z104))</f>
        <v>.</v>
      </c>
      <c r="BX104" s="4" t="str">
        <f>IF(OR('Summary, hourly ad costs'!AA104=-9999,'Summary, PPI''s'!AA104="."),".",(('Summary, hourly ad costs'!K104/'Summary, hourly ad costs'!AA104)*100/('Summary, hourly ad costs'!K$11/'Summary, hourly ad costs'!AA$11))/('Summary, PPI''s'!AA104))</f>
        <v>.</v>
      </c>
      <c r="BY104" s="4" t="str">
        <f>IF(OR('Summary, hourly ad costs'!AB104=-9999,'Summary, PPI''s'!AB104="."),".",(('Summary, hourly ad costs'!L104/'Summary, hourly ad costs'!AB104)*100/('Summary, hourly ad costs'!L$11/'Summary, hourly ad costs'!AB$11))/('Summary, PPI''s'!AB104))</f>
        <v>.</v>
      </c>
      <c r="BZ104" s="4" t="str">
        <f>IF(OR('Summary, hourly ad costs'!AC104=-9999,'Summary, PPI''s'!AC104="."),".",(('Summary, hourly ad costs'!M104/'Summary, hourly ad costs'!AC104)*100/('Summary, hourly ad costs'!M$11/'Summary, hourly ad costs'!AC$11))/('Summary, PPI''s'!AC104))</f>
        <v>.</v>
      </c>
      <c r="CA104" s="4" t="str">
        <f>IF(OR('Summary, hourly ad costs'!AD104=-9999,'Summary, PPI''s'!AD104="."),".",(('Summary, hourly ad costs'!N104/'Summary, hourly ad costs'!AD104)*100/('Summary, hourly ad costs'!N$11/'Summary, hourly ad costs'!AD$11))/('Summary, PPI''s'!AD104))</f>
        <v>.</v>
      </c>
      <c r="CB104" s="4" t="str">
        <f>IF(OR('Summary, hourly ad costs'!AE104=-9999,'Summary, PPI''s'!AE104="."),".",(('Summary, hourly ad costs'!O104/'Summary, hourly ad costs'!AE104)*100/('Summary, hourly ad costs'!O$11/'Summary, hourly ad costs'!AE$11))/('Summary, PPI''s'!AE104))</f>
        <v>.</v>
      </c>
      <c r="CC104" s="4" t="str">
        <f>IF(OR('Summary, hourly ad costs'!AF104=-9999,'Summary, PPI''s'!AF104="."),".",(('Summary, hourly ad costs'!P104/'Summary, hourly ad costs'!AF104)*100/('Summary, hourly ad costs'!P$11/'Summary, hourly ad costs'!AF$11))/('Summary, PPI''s'!AF104))</f>
        <v>.</v>
      </c>
      <c r="CE104" s="4">
        <f t="shared" si="183"/>
        <v>-0.10297633656346547</v>
      </c>
      <c r="CF104" s="4" t="str">
        <f t="shared" si="184"/>
        <v>.</v>
      </c>
      <c r="CG104" s="4" t="str">
        <f t="shared" si="185"/>
        <v>.</v>
      </c>
      <c r="CH104" s="4">
        <f t="shared" si="145"/>
        <v>-0.11833061199364503</v>
      </c>
      <c r="CI104" s="4">
        <f t="shared" si="145"/>
        <v>-0.1326870701388384</v>
      </c>
      <c r="CJ104" s="4" t="str">
        <f t="shared" si="209"/>
        <v>.</v>
      </c>
      <c r="CK104" s="4">
        <f t="shared" si="149"/>
        <v>8.7926681437494186E-3</v>
      </c>
      <c r="CL104" s="4">
        <f t="shared" si="130"/>
        <v>-9.3032187443190403E-2</v>
      </c>
      <c r="CM104" s="4">
        <f t="shared" si="130"/>
        <v>-2.099590242590247E-2</v>
      </c>
      <c r="CN104" s="4">
        <f t="shared" si="204"/>
        <v>-0.10824023439345572</v>
      </c>
      <c r="CO104" s="4">
        <f t="shared" si="180"/>
        <v>-0.49960320416412701</v>
      </c>
      <c r="CP104" s="4">
        <f t="shared" si="180"/>
        <v>0.38988808249753398</v>
      </c>
      <c r="CQ104" s="4" t="str">
        <f t="shared" si="173"/>
        <v>.</v>
      </c>
      <c r="CR104" s="4" t="str">
        <f t="shared" si="174"/>
        <v>.</v>
      </c>
      <c r="CS104" s="4" t="str">
        <f t="shared" si="175"/>
        <v>.</v>
      </c>
      <c r="CU104" s="5">
        <f>IF(CU103=".", ".", IF('Summary, PPI''s'!R104=".",IF(OR('Summary, hourly ad costs'!R104=-9999,'Summary, hourly ad costs'!R104=0), ".", 'Predicted PPIs'!CU103*('Summary, hourly ad costs'!B104/'Summary, hourly ad costs'!R104)/('Summary, hourly ad costs'!B103/'Summary, hourly ad costs'!R103)/(1-CE103)), 'Summary, PPI''s'!R104))</f>
        <v>50.228054222293203</v>
      </c>
      <c r="CV104" s="5" t="str">
        <f>IF(CV103=".", ".", IF('Summary, PPI''s'!S104=".",IF(OR('Summary, hourly ad costs'!S104=-9999,'Summary, hourly ad costs'!S104=0), ".", 'Predicted PPIs'!CV103*('Summary, hourly ad costs'!C104/'Summary, hourly ad costs'!S104)/('Summary, hourly ad costs'!C103/'Summary, hourly ad costs'!S103)/(1-CF103)), 'Summary, PPI''s'!S104))</f>
        <v>.</v>
      </c>
      <c r="CW104" s="5" t="str">
        <f>IF(CW103=".", ".", IF('Summary, PPI''s'!T104=".",IF(OR('Summary, hourly ad costs'!T104=-9999,'Summary, hourly ad costs'!T104=0), ".", 'Predicted PPIs'!CW103*('Summary, hourly ad costs'!D104/'Summary, hourly ad costs'!T104)/('Summary, hourly ad costs'!D103/'Summary, hourly ad costs'!T103)/(1-CG103)), 'Summary, PPI''s'!T104))</f>
        <v>.</v>
      </c>
      <c r="CX104" s="5">
        <f>IF(CX103=".", ".", IF('Summary, PPI''s'!U104=".",IF(OR('Summary, hourly ad costs'!U104=-9999,'Summary, hourly ad costs'!U104=0), ".", 'Predicted PPIs'!CX103*('Summary, hourly ad costs'!E104/'Summary, hourly ad costs'!U104)/('Summary, hourly ad costs'!E103/'Summary, hourly ad costs'!U103)/(1-CH103)), 'Summary, PPI''s'!U104))</f>
        <v>2.3839063235563391</v>
      </c>
      <c r="CY104" s="5">
        <f>IF(CY103=".", ".", IF('Summary, PPI''s'!V104=".",IF(OR('Summary, hourly ad costs'!V104=-9999,'Summary, hourly ad costs'!V104=0), ".", 'Predicted PPIs'!CY103*('Summary, hourly ad costs'!F104/'Summary, hourly ad costs'!V104)/('Summary, hourly ad costs'!F103/'Summary, hourly ad costs'!V103)/(1-CI103)), 'Summary, PPI''s'!V104))</f>
        <v>5.6625638842997938</v>
      </c>
      <c r="CZ104" s="5" t="str">
        <f>IF(CZ103=".", ".", IF('Summary, PPI''s'!W104=".",IF(OR('Summary, hourly ad costs'!W104=-9999,'Summary, hourly ad costs'!W104=0), ".", 'Predicted PPIs'!CZ103*('Summary, hourly ad costs'!G104/'Summary, hourly ad costs'!W104)/('Summary, hourly ad costs'!G103/'Summary, hourly ad costs'!W103)/(1-CJ103)), 'Summary, PPI''s'!W104))</f>
        <v>.</v>
      </c>
      <c r="DA104" s="5">
        <f>IF(DA103=".", ".", IF('Summary, PPI''s'!X104=".",IF(OR('Summary, hourly ad costs'!X104=-9999,'Summary, hourly ad costs'!X104=0), ".", 'Predicted PPIs'!DA103*('Summary, hourly ad costs'!H104/'Summary, hourly ad costs'!X104)/('Summary, hourly ad costs'!H103/'Summary, hourly ad costs'!X103)/(1-CK103)), 'Summary, PPI''s'!X104))</f>
        <v>2.313946400213077</v>
      </c>
      <c r="DB104" s="5" t="str">
        <f>IF(DB103=".", ".", IF('Summary, PPI''s'!Y104=".",IF(OR('Summary, hourly ad costs'!Y104=-9999,'Summary, hourly ad costs'!Y104=0), ".", 'Predicted PPIs'!DB103*('Summary, hourly ad costs'!I104/'Summary, hourly ad costs'!Y104)/('Summary, hourly ad costs'!I103/'Summary, hourly ad costs'!Y103)/(1-CL103)), 'Summary, PPI''s'!Y104))</f>
        <v>.</v>
      </c>
      <c r="DC104" s="5" t="str">
        <f>IF(DC103=".", ".", IF('Summary, PPI''s'!Z104=".",IF(OR('Summary, hourly ad costs'!Z104=-9999,'Summary, hourly ad costs'!Z104=0), ".", 'Predicted PPIs'!DC103*('Summary, hourly ad costs'!J104/'Summary, hourly ad costs'!Z104)/('Summary, hourly ad costs'!J103/'Summary, hourly ad costs'!Z103)/(1-CM103)), 'Summary, PPI''s'!Z104))</f>
        <v>.</v>
      </c>
      <c r="DD104" s="5" t="str">
        <f>IF(DD103=".", ".", IF('Summary, PPI''s'!AA104=".",IF(OR('Summary, hourly ad costs'!AA104=-9999,'Summary, hourly ad costs'!AA104=0), ".", 'Predicted PPIs'!DD103*('Summary, hourly ad costs'!K104/'Summary, hourly ad costs'!AA104)/('Summary, hourly ad costs'!K103/'Summary, hourly ad costs'!AA103)/(1-CN103)), 'Summary, PPI''s'!AA104))</f>
        <v>.</v>
      </c>
      <c r="DE104" s="5" t="str">
        <f>IF(DE103=".", ".", IF('Summary, PPI''s'!AB104=".",IF(OR('Summary, hourly ad costs'!AB104=-9999,'Summary, hourly ad costs'!AB104=0), ".", 'Predicted PPIs'!DE103*('Summary, hourly ad costs'!L104/'Summary, hourly ad costs'!AB104)/('Summary, hourly ad costs'!L103/'Summary, hourly ad costs'!AB103)/(1-CO103)), 'Summary, PPI''s'!AB104))</f>
        <v>.</v>
      </c>
      <c r="DF104" s="5" t="str">
        <f>IF(DF103=".", ".", IF('Summary, PPI''s'!AC104=".",IF(OR('Summary, hourly ad costs'!AC104=-9999,'Summary, hourly ad costs'!AC104=0), ".", 'Predicted PPIs'!DF103*('Summary, hourly ad costs'!M104/'Summary, hourly ad costs'!AC104)/('Summary, hourly ad costs'!M103/'Summary, hourly ad costs'!AC103)/(1-CP103)), 'Summary, PPI''s'!AC104))</f>
        <v>.</v>
      </c>
      <c r="DG104" s="5" t="str">
        <f>IF(DG103=".", ".", IF('Summary, PPI''s'!AD104=".",IF(OR('Summary, hourly ad costs'!AD104=-9999,'Summary, hourly ad costs'!AD104=0), ".", 'Predicted PPIs'!DG103*('Summary, hourly ad costs'!N104/'Summary, hourly ad costs'!AD104)/('Summary, hourly ad costs'!N103/'Summary, hourly ad costs'!AD103)/(1-CQ103)), 'Summary, PPI''s'!AD104))</f>
        <v>.</v>
      </c>
      <c r="DH104" s="5" t="str">
        <f>IF(DH103=".", ".", IF('Summary, PPI''s'!AE104=".",IF(OR('Summary, hourly ad costs'!AE104=-9999,'Summary, hourly ad costs'!AE104=0), ".", 'Predicted PPIs'!DH103*('Summary, hourly ad costs'!O104/'Summary, hourly ad costs'!AE104)/('Summary, hourly ad costs'!O103/'Summary, hourly ad costs'!AE103)/(1-CR103)), 'Summary, PPI''s'!AE104))</f>
        <v>.</v>
      </c>
      <c r="DI104" s="5" t="str">
        <f>IF(DI103=".", ".", IF('Summary, PPI''s'!AF104=".",IF(OR('Summary, hourly ad costs'!AF104=-9999,'Summary, hourly ad costs'!AF104=0), ".", 'Predicted PPIs'!DI103*('Summary, hourly ad costs'!P104/'Summary, hourly ad costs'!AF104)/('Summary, hourly ad costs'!P103/'Summary, hourly ad costs'!AF103)/(1-CS103)), 'Summary, PPI''s'!AF104))</f>
        <v>.</v>
      </c>
      <c r="DK104" s="4">
        <f t="shared" si="205"/>
        <v>2.1501656140350871</v>
      </c>
      <c r="DM104" s="5">
        <f t="shared" si="186"/>
        <v>0.51173935261823722</v>
      </c>
      <c r="DN104" s="4">
        <f t="shared" si="187"/>
        <v>-5.0837643958057833E-3</v>
      </c>
      <c r="DO104" s="4">
        <f t="shared" si="181"/>
        <v>-2.3362544092026087E-2</v>
      </c>
      <c r="DP104" s="5">
        <f t="shared" si="188"/>
        <v>0.48280665070109618</v>
      </c>
      <c r="DQ104" s="5">
        <f t="shared" si="189"/>
        <v>0.5458521380891399</v>
      </c>
      <c r="DR104" s="4">
        <f t="shared" si="146"/>
        <v>-2.1689971296684395E-2</v>
      </c>
      <c r="DS104" s="5">
        <f t="shared" si="190"/>
        <v>7.4272224709691637E-2</v>
      </c>
      <c r="DT104" s="4">
        <f t="shared" si="206"/>
        <v>6.4931628196182964E-2</v>
      </c>
      <c r="DU104" s="4">
        <f t="shared" si="171"/>
        <v>-6.1438306996554608E-2</v>
      </c>
      <c r="DV104" s="4">
        <f t="shared" si="131"/>
        <v>3.6558681230677171E-3</v>
      </c>
      <c r="DW104" s="4">
        <f t="shared" si="182"/>
        <v>0.19999824436552249</v>
      </c>
      <c r="DX104" s="4">
        <f t="shared" si="182"/>
        <v>-0.54693293932868592</v>
      </c>
      <c r="DY104" s="4">
        <f t="shared" si="228"/>
        <v>-2.9840815612586259E-2</v>
      </c>
      <c r="DZ104" s="4">
        <f t="shared" si="132"/>
        <v>-2.4339691703545475E-2</v>
      </c>
      <c r="EA104" s="4">
        <f t="shared" si="229"/>
        <v>-1.8030762217820694E-2</v>
      </c>
      <c r="EC104" s="1">
        <f t="shared" si="213"/>
        <v>50.228054222293203</v>
      </c>
      <c r="ED104" s="1">
        <f t="shared" si="214"/>
        <v>2.4857677045723543</v>
      </c>
      <c r="EE104" s="1">
        <f t="shared" si="215"/>
        <v>1.4212008250193839</v>
      </c>
      <c r="EF104" s="1">
        <f t="shared" si="216"/>
        <v>2.3839063235563391</v>
      </c>
      <c r="EG104" s="1">
        <f t="shared" si="217"/>
        <v>5.6625638842997938</v>
      </c>
      <c r="EH104" s="1">
        <f t="shared" si="218"/>
        <v>1.9538218491358694</v>
      </c>
      <c r="EI104" s="1">
        <f t="shared" si="219"/>
        <v>2.313946400213077</v>
      </c>
      <c r="EJ104" s="1">
        <f t="shared" si="220"/>
        <v>2.5990160261159434</v>
      </c>
      <c r="EK104" s="1">
        <f t="shared" si="221"/>
        <v>5.1699453282484988</v>
      </c>
      <c r="EL104" s="1">
        <f t="shared" si="222"/>
        <v>1.7643553449202967</v>
      </c>
      <c r="EM104" s="1">
        <f t="shared" si="223"/>
        <v>7.6312863015547627E-2</v>
      </c>
      <c r="EN104" s="1">
        <f t="shared" si="224"/>
        <v>3.3140091847081727</v>
      </c>
      <c r="EO104" s="1">
        <f t="shared" si="225"/>
        <v>1.0563387230104053</v>
      </c>
      <c r="EP104" s="1">
        <f t="shared" si="226"/>
        <v>1.85748895704184</v>
      </c>
      <c r="EQ104" s="1">
        <f t="shared" si="227"/>
        <v>1.4633622076531105</v>
      </c>
      <c r="ES104" s="1">
        <f>IF(EF$26=".", 0, 'Summary, PPI''s'!E104)+IF(EG$26=".", 0, 'Summary, PPI''s'!F104)+IF(EH$26=".", 0, 'Summary, PPI''s'!G104)+IF(EI$26=".", 0, 'Summary, PPI''s'!H104)+IF(EJ$26=".", 0, 'Summary, PPI''s'!I104)+IF(EK$26=".", 0, 'Summary, PPI''s'!J104)+IF(EL$26=".", 0, 'Summary, PPI''s'!K104)+IF(EM$26=".", 0, 'Summary, PPI''s'!L104)+IF(EN$26=".", 0, 'Summary, PPI''s'!M104)+IF(EC$26=".", 0, 'Summary, PPI''s'!B104)+IF(ED$26=".", 0, 'Summary, PPI''s'!C104)+IF(EE$26=".", 0, 'Summary, PPI''s'!D104)+IF(EO$26=".", 0, 'Summary, PPI''s'!N104)+IF(EP$26=".", 0, 'Summary, PPI''s'!O104)+IF(EQ$26=".", 0, 'Summary, PPI''s'!P104)</f>
        <v>1506985.6443473506</v>
      </c>
      <c r="ET104" s="1">
        <f>'Summary, hourly ad costs'!E104+'Summary, hourly ad costs'!F104+'Summary, hourly ad costs'!H104+'Summary, hourly ad costs'!I104+'Summary, hourly ad costs'!J104+'Summary, hourly ad costs'!K104+'Summary, hourly ad costs'!L104+'Summary, hourly ad costs'!M104+'Summary, hourly ad costs'!B104</f>
        <v>938031.96387160732</v>
      </c>
      <c r="EV104" s="13">
        <f>EV103*IF(EF$26=".", 1, (EF104/EF103)^(('Summary, PPI''s'!$E104+'Summary, PPI''s'!$E103)/('Predicted PPIs'!ES104+'Predicted PPIs'!ES103)))*IF(EG$26=".", 1, (EG104/EG103)^(('Summary, PPI''s'!$F104+'Summary, PPI''s'!$F103)/('Predicted PPIs'!ES104+'Predicted PPIs'!ES103)))*IF(EH$26=".", 1, (EH104/EH103)^(('Summary, PPI''s'!$G104+'Summary, PPI''s'!$G103)/('Predicted PPIs'!ES104+'Predicted PPIs'!ES103)))*IF(EI$26=".", 1, (EI104/EI103)^(('Summary, PPI''s'!$H104+'Summary, PPI''s'!$H103)/('Predicted PPIs'!ES104+'Predicted PPIs'!ES103)))*IF(EJ$26=".", 1, (EJ104/EJ103)^(('Summary, PPI''s'!$I104+'Summary, PPI''s'!$I103)/('Predicted PPIs'!ES104+'Predicted PPIs'!ES103)))*IF(EK$26=".", 1, (EK104/EK103)^(('Summary, PPI''s'!$J104+'Summary, PPI''s'!$J103)/('Predicted PPIs'!ES104+'Predicted PPIs'!ES103)))*IF(EL$26=".", 1, (EL104/EL103)^(('Summary, PPI''s'!$K104+'Summary, PPI''s'!$K103)/('Predicted PPIs'!ES104+'Predicted PPIs'!ES103)))*IF(EM$26=".", 1, (EM104/EM103)^(('Summary, PPI''s'!$L104+'Summary, PPI''s'!$L103)/('Predicted PPIs'!ES104+'Predicted PPIs'!ES103)))*IF(EN$26=".", 1, (EN104/EN103)^(('Summary, PPI''s'!$M104+'Summary, PPI''s'!$M103)/('Predicted PPIs'!ES104+'Predicted PPIs'!ES103)))*IF(EC$26=".", 1, (EC104/EC103)^(('Summary, PPI''s'!$B104+'Summary, PPI''s'!$B103)/('Predicted PPIs'!ES104+'Predicted PPIs'!ES103)))*IF(ED$26=".", 1, (ED104/ED103)^(('Summary, PPI''s'!$C104+'Summary, PPI''s'!$C103)/('Predicted PPIs'!ES104+'Predicted PPIs'!ES103)))*IF(EE$26=".", 1, (EE104/EE103)^(('Summary, PPI''s'!$D104+'Summary, PPI''s'!$D103)/('Predicted PPIs'!ES104+'Predicted PPIs'!ES103)))*IF(EO$26=".", 1, (EO104/EO103)^(('Summary, PPI''s'!$N104+'Summary, PPI''s'!$N103)/('Predicted PPIs'!ES104+'Predicted PPIs'!ES103)))*IF(EP$26=".", 1, (EP104/EP103)^(('Summary, PPI''s'!$O104+'Summary, PPI''s'!$O103)/('Predicted PPIs'!ES104+'Predicted PPIs'!ES103)))*IF(EQ$26=".", 1, (EQ104/EQ103)^(('Summary, PPI''s'!$P104+'Summary, PPI''s'!$P103)/('Predicted PPIs'!ES104+'Predicted PPIs'!ES103)))</f>
        <v>3.9741223922554356</v>
      </c>
      <c r="EW104" s="13">
        <f>EW103*IF(EF$26=".", 1, (EF104/EF103)^(('Summary, PPI''s'!$E104+'Summary, PPI''s'!$E103)/('Predicted PPIs'!ET104+'Predicted PPIs'!ET103)))*IF(EG$26=".", 1, (EG104/EG103)^(('Summary, PPI''s'!$F104+'Summary, PPI''s'!$F103)/('Predicted PPIs'!ET104+'Predicted PPIs'!ET103)))*IF(EH$26=".", 1, (EH104/EH103)^(('Summary, PPI''s'!$G104+'Summary, PPI''s'!$G103)/('Predicted PPIs'!ET104+'Predicted PPIs'!ET103)))*IF(EK$26=".", 1, (EK104/EK103)^(('Summary, PPI''s'!$J104+'Summary, PPI''s'!$J103)/('Predicted PPIs'!ET104+'Predicted PPIs'!ET103)))*IF(EL$26=".", 1, (EL104/EL103)^(('Summary, PPI''s'!$K104+'Summary, PPI''s'!$K103)/('Predicted PPIs'!ET104+'Predicted PPIs'!ET103)))*IF(EM$26=".", 1, (EM104/EM103)^(('Summary, PPI''s'!$L104+'Summary, PPI''s'!$L103)/('Predicted PPIs'!ET104+'Predicted PPIs'!ET103)))*IF(EN$26=".", 1, (EN104/EN103)^(('Summary, PPI''s'!$M104+'Summary, PPI''s'!$M103)/('Predicted PPIs'!ET104+'Predicted PPIs'!ET103)))*IF(EC$26=".", 1, (EC104/EC103)^(('Summary, PPI''s'!$B104+'Summary, PPI''s'!$B103)/('Predicted PPIs'!ET104+'Predicted PPIs'!ET103)))</f>
        <v>8.8574075815814517</v>
      </c>
      <c r="EY104" s="2"/>
    </row>
    <row r="105" spans="1:155" x14ac:dyDescent="0.3">
      <c r="A105" s="4">
        <v>1918</v>
      </c>
      <c r="B105" s="10">
        <f>IF(B104=".", ".", IF('Summary, PPI''s'!R105=".",IF(OR('Summary, hourly ad costs'!R105=-9999,'Summary, hourly ad costs'!R105=0), ".", 'Predicted PPIs'!B104*('Summary, hourly ad costs'!B105/'Summary, hourly ad costs'!R105)/('Summary, hourly ad costs'!B104/'Summary, hourly ad costs'!R104)), 'Summary, PPI''s'!R105))</f>
        <v>54.127648284481729</v>
      </c>
      <c r="C105" s="10" t="str">
        <f>IF(C104=".", ".", IF('Summary, PPI''s'!S105=".",IF(OR('Summary, hourly ad costs'!S105=-9999,'Summary, hourly ad costs'!S105=0), ".", 'Predicted PPIs'!C104*('Summary, hourly ad costs'!C105/'Summary, hourly ad costs'!S105)/('Summary, hourly ad costs'!C104/'Summary, hourly ad costs'!S104)), 'Summary, PPI''s'!S105))</f>
        <v>.</v>
      </c>
      <c r="D105" s="10" t="str">
        <f>IF(D104=".", ".", IF('Summary, PPI''s'!T105=".",IF(OR('Summary, hourly ad costs'!T105=-9999,'Summary, hourly ad costs'!T105=0), ".", 'Predicted PPIs'!D104*('Summary, hourly ad costs'!D105/'Summary, hourly ad costs'!T105)/('Summary, hourly ad costs'!D104/'Summary, hourly ad costs'!T104)), 'Summary, PPI''s'!T105))</f>
        <v>.</v>
      </c>
      <c r="E105" s="10">
        <f>IF(E104=".", ".", IF('Summary, PPI''s'!U105=".",IF(OR('Summary, hourly ad costs'!U105=-9999,'Summary, hourly ad costs'!U105=0), ".", 'Predicted PPIs'!E104*('Summary, hourly ad costs'!E105/'Summary, hourly ad costs'!U105)/('Summary, hourly ad costs'!E104/'Summary, hourly ad costs'!U104)), 'Summary, PPI''s'!U105))</f>
        <v>1.1676436092548752</v>
      </c>
      <c r="F105" s="10">
        <f>IF(F104=".", ".", IF('Summary, PPI''s'!V105=".",IF(OR('Summary, hourly ad costs'!V105=-9999,'Summary, hourly ad costs'!V105=0), ".", 'Predicted PPIs'!F104*('Summary, hourly ad costs'!F105/'Summary, hourly ad costs'!V105)/('Summary, hourly ad costs'!F104/'Summary, hourly ad costs'!V104)), 'Summary, PPI''s'!V105))</f>
        <v>2.3546229520300721</v>
      </c>
      <c r="G105" s="10" t="str">
        <f>IF(G104=".", ".", IF('Summary, PPI''s'!W105=".",IF(OR('Summary, hourly ad costs'!W105=-9999,'Summary, hourly ad costs'!W105=0), ".", 'Predicted PPIs'!G104*('Summary, hourly ad costs'!G105/'Summary, hourly ad costs'!W105)/('Summary, hourly ad costs'!G104/'Summary, hourly ad costs'!W104)), 'Summary, PPI''s'!W105))</f>
        <v>.</v>
      </c>
      <c r="H105" s="10">
        <f>IF(H104=".", ".", IF('Summary, PPI''s'!X105=".",IF(OR('Summary, hourly ad costs'!X105=-9999,'Summary, hourly ad costs'!X105=0), ".", 'Predicted PPIs'!H104*('Summary, hourly ad costs'!H105/'Summary, hourly ad costs'!X105)/('Summary, hourly ad costs'!H104/'Summary, hourly ad costs'!X104)), 'Summary, PPI''s'!X105))</f>
        <v>1.6201359163260245</v>
      </c>
      <c r="I105" s="10" t="str">
        <f>IF(I104=".", ".", IF('Summary, PPI''s'!Y105=".",IF(OR('Summary, hourly ad costs'!Y105=-9999,'Summary, hourly ad costs'!Y105=0), ".", 'Predicted PPIs'!I104*('Summary, hourly ad costs'!I105/'Summary, hourly ad costs'!Y105)/('Summary, hourly ad costs'!I104/'Summary, hourly ad costs'!Y104)), 'Summary, PPI''s'!Y105))</f>
        <v>.</v>
      </c>
      <c r="J105" s="10" t="str">
        <f>IF(J104=".", ".", IF('Summary, PPI''s'!Z105=".",IF(OR('Summary, hourly ad costs'!Z105=-9999,'Summary, hourly ad costs'!Z105=0), ".", 'Predicted PPIs'!J104*('Summary, hourly ad costs'!J105/'Summary, hourly ad costs'!Z105)/('Summary, hourly ad costs'!J104/'Summary, hourly ad costs'!Z104)), 'Summary, PPI''s'!Z105))</f>
        <v>.</v>
      </c>
      <c r="K105" s="10" t="str">
        <f>IF(K104=".", ".", IF('Summary, PPI''s'!AA105=".",IF(OR('Summary, hourly ad costs'!AA105=-9999,'Summary, hourly ad costs'!AA105=0), ".", 'Predicted PPIs'!K104*('Summary, hourly ad costs'!K105/'Summary, hourly ad costs'!AA105)/('Summary, hourly ad costs'!K104/'Summary, hourly ad costs'!AA104)), 'Summary, PPI''s'!AA105))</f>
        <v>.</v>
      </c>
      <c r="L105" s="10" t="str">
        <f>IF(L104=".", ".", IF('Summary, PPI''s'!AB105=".",IF(OR('Summary, hourly ad costs'!AB105=-9999,'Summary, hourly ad costs'!AB105=0), ".", 'Predicted PPIs'!L104*('Summary, hourly ad costs'!L105/'Summary, hourly ad costs'!AB105)/('Summary, hourly ad costs'!L104/'Summary, hourly ad costs'!AB104)), 'Summary, PPI''s'!AB105))</f>
        <v>.</v>
      </c>
      <c r="M105" s="10" t="str">
        <f>IF(M104=".", ".", IF('Summary, PPI''s'!AC105=".",IF(OR('Summary, hourly ad costs'!AC105=-9999,'Summary, hourly ad costs'!AC105=0), ".", 'Predicted PPIs'!M104*('Summary, hourly ad costs'!M105/'Summary, hourly ad costs'!AC105)/('Summary, hourly ad costs'!M104/'Summary, hourly ad costs'!AC104)), 'Summary, PPI''s'!AC105))</f>
        <v>.</v>
      </c>
      <c r="N105" s="10" t="str">
        <f>IF(N104=".", ".", IF('Summary, PPI''s'!AD105=".",IF(OR('Summary, hourly ad costs'!AD105=-9999,'Summary, hourly ad costs'!AD105=0), ".", 'Predicted PPIs'!N104*('Summary, hourly ad costs'!N105/'Summary, hourly ad costs'!AD105)/('Summary, hourly ad costs'!N104/'Summary, hourly ad costs'!AD104)), 'Summary, PPI''s'!AD105))</f>
        <v>.</v>
      </c>
      <c r="O105" s="10" t="str">
        <f>IF(O104=".", ".", IF('Summary, PPI''s'!AE105=".",IF(OR('Summary, hourly ad costs'!AE105=-9999,'Summary, hourly ad costs'!AE105=0), ".", 'Predicted PPIs'!O104*('Summary, hourly ad costs'!O105/'Summary, hourly ad costs'!AE105)/('Summary, hourly ad costs'!O104/'Summary, hourly ad costs'!AE104)), 'Summary, PPI''s'!AE105))</f>
        <v>.</v>
      </c>
      <c r="P105" s="10" t="str">
        <f>IF(P104=".", ".", IF('Summary, PPI''s'!AF105=".",IF(OR('Summary, hourly ad costs'!AF105=-9999,'Summary, hourly ad costs'!AF105=0), ".", 'Predicted PPIs'!P104*('Summary, hourly ad costs'!P105/'Summary, hourly ad costs'!AF105)/('Summary, hourly ad costs'!P104/'Summary, hourly ad costs'!AF104)), 'Summary, PPI''s'!AF105))</f>
        <v>.</v>
      </c>
      <c r="R105" s="1">
        <f>IF(E$26=".", 0, 'Summary, PPI''s'!E105)+IF(F$26=".", 0, 'Summary, PPI''s'!F105)+IF(G$26=".", 0, 'Summary, PPI''s'!G105)+IF(H$26=".", 0, 'Summary, PPI''s'!H105)+IF(I$26=".", 0, 'Summary, PPI''s'!I105)+IF(J$26=".", 0, 'Summary, PPI''s'!J105)+IF(K$26=".", 0, 'Summary, PPI''s'!K105)+IF(L$26=".", 0, 'Summary, PPI''s'!L105)+IF(M$26=".", 0, 'Summary, PPI''s'!M105)+IF(B$26=".", 0, 'Summary, PPI''s'!B105)+IF(C$26=".", 0, 'Summary, PPI''s'!C105)+IF(D$26=".", 0, 'Summary, PPI''s'!D105)+IF(N$26=".", 0, 'Summary, PPI''s'!N105)+IF(O$26=".", 0, 'Summary, PPI''s'!O105)+IF(P$26=".", 0, 'Summary, PPI''s'!P105)</f>
        <v>968213.72698723024</v>
      </c>
      <c r="S105" s="1">
        <f>IF(E$36=".", 0, 'Summary, PPI''s'!E105)+IF(F$36=".", 0, 'Summary, PPI''s'!F105)+IF(G$36=".", 0, 'Summary, PPI''s'!G105)+IF(H$36=".", 0, 'Summary, PPI''s'!H105)+IF(I$36=".", 0, 'Summary, PPI''s'!I105)+IF(J$36=".", 0, 'Summary, PPI''s'!J105)+IF(K$36=".", 0, 'Summary, PPI''s'!K105)+IF(L$36=".", 0, 'Summary, PPI''s'!L105)+IF(M$36=".", 0, 'Summary, PPI''s'!M105)+IF(B$36=".", 0, 'Summary, PPI''s'!B105)+IF(C$36=".", 0, 'Summary, PPI''s'!C105)+IF(D$36=".", 0, 'Summary, PPI''s'!D105)+IF(N$36=".", 0, 'Summary, PPI''s'!N105)+IF(O$36=".", 0, 'Summary, PPI''s'!O105)+IF(P$36=".", 0, 'Summary, PPI''s'!P105)</f>
        <v>968213.72698723024</v>
      </c>
      <c r="T105" s="1">
        <f>IF(E$46=".", 0, 'Summary, PPI''s'!E105)+IF(F$46=".", 0, 'Summary, PPI''s'!F105)+IF(G$46=".", 0, 'Summary, PPI''s'!G105)+IF(H$46=".", 0, 'Summary, PPI''s'!H105)+IF(I$46=".", 0, 'Summary, PPI''s'!I105)+IF(J$46=".", 0, 'Summary, PPI''s'!J105)+IF(K$46=".", 0, 'Summary, PPI''s'!K105)+IF(L$46=".", 0, 'Summary, PPI''s'!L105)+IF(M$46=".", 0, 'Summary, PPI''s'!M105)+IF(B$46=".", 0, 'Summary, PPI''s'!B105)+IF(C$46=".", 0, 'Summary, PPI''s'!C105)+IF(D$46=".", 0, 'Summary, PPI''s'!D105)+IF(N$46=".", 0, 'Summary, PPI''s'!N105)+IF(O$46=".", 0, 'Summary, PPI''s'!O105)+IF(P$46=".", 0, 'Summary, PPI''s'!P105)</f>
        <v>856573.75819427369</v>
      </c>
      <c r="U105" s="1">
        <f>IF(E$60=".", 0, 'Summary, PPI''s'!E105)+IF(F$60=".", 0, 'Summary, PPI''s'!F105)+IF(G$60=".", 0, 'Summary, PPI''s'!G105)+IF(H$60=".", 0, 'Summary, PPI''s'!H105)+IF(I$60=".", 0, 'Summary, PPI''s'!I105)+IF(J$60=".", 0, 'Summary, PPI''s'!J105)+IF(K$60=".", 0, 'Summary, PPI''s'!K105)+IF(L$60=".", 0, 'Summary, PPI''s'!L105)+IF(M$60=".", 0, 'Summary, PPI''s'!M105)+IF(B$60=".", 0, 'Summary, PPI''s'!B105)+IF(C$60=".", 0, 'Summary, PPI''s'!C105)+IF(D$60=".", 0, 'Summary, PPI''s'!D105)+IF(N$60=".", 0, 'Summary, PPI''s'!N105)+IF(O$60=".", 0, 'Summary, PPI''s'!O105)+IF(P$60=".", 0, 'Summary, PPI''s'!P105)</f>
        <v>809315.32824931724</v>
      </c>
      <c r="V105" s="1">
        <f>IF(E$73=".", 0, 'Summary, PPI''s'!E105)+IF(F$73=".", 0, 'Summary, PPI''s'!F105)+IF(G$73=".", 0, 'Summary, PPI''s'!G105)+IF(H$73=".", 0, 'Summary, PPI''s'!H105)+IF(I$73=".", 0, 'Summary, PPI''s'!I105)+IF(J$73=".", 0, 'Summary, PPI''s'!J105)+IF(K$73=".", 0, 'Summary, PPI''s'!K105)+IF(L$73=".", 0, 'Summary, PPI''s'!L105)+IF(M$73=".", 0, 'Summary, PPI''s'!M105)+IF(B$73=".", 0, 'Summary, PPI''s'!B105)+IF(C$73=".", 0, 'Summary, PPI''s'!C105)+IF(D$73=".", 0, 'Summary, PPI''s'!D105)+IF(N$73=".", 0, 'Summary, PPI''s'!N105)+IF(O$73=".", 0, 'Summary, PPI''s'!O105)+IF(P$73=".", 0, 'Summary, PPI''s'!P105)</f>
        <v>600930.00391523493</v>
      </c>
      <c r="W105" s="1">
        <f>IF(E$94=".",0,'Summary, PPI''s'!E105)+IF(F$94=".",0,'Summary, PPI''s'!F105)+IF(G$94=".",0,'Summary, PPI''s'!G105)+IF(H$94=".",0,'Summary, PPI''s'!H105)+IF(I$94=".",0,'Summary, PPI''s'!I105)+IF(J$94=".",0,'Summary, PPI''s'!J105)+IF(K$94=".",0,'Summary, PPI''s'!K105)+IF(L$94=".",0,'Summary, PPI''s'!L105)+IF(M$94=".",0,'Summary, PPI''s'!M105)+IF(B$94=".",0,'Summary, PPI''s'!B105)+IF(C$94=".",0,'Summary, PPI''s'!C105)+IF(D$94=".",0,'Summary, PPI''s'!D105)+IF(N$94=".",0,'Summary, PPI''s'!N105)+IF(O$94=".",0,'Summary, PPI''s'!O105)+IF(P$94=".",0,'Summary, PPI''s'!P105)</f>
        <v>600930.00391523493</v>
      </c>
      <c r="X105" s="1">
        <f>IF(E$123=".", 0, 'Summary, PPI''s'!E105)+IF(F$123=".", 0, 'Summary, PPI''s'!F105)+IF(G$123=".", 0, 'Summary, PPI''s'!G105)+IF(H$123=".", 0, 'Summary, PPI''s'!H105)+IF(I$123=".", 0, 'Summary, PPI''s'!I105)+IF(J$123=".", 0, 'Summary, PPI''s'!J105)+IF(K$123=".", 0, 'Summary, PPI''s'!K105)+IF(L$123=".", 0, 'Summary, PPI''s'!L105)+IF(M$123=".", 0, 'Summary, PPI''s'!M105)+IF(B$123=".", 0, 'Summary, PPI''s'!B105)+IF(C$123=".", 0, 'Summary, PPI''s'!C105)+IF(D$123=".", 0, 'Summary, PPI''s'!D105)+IF(N$123=".", 0, 'Summary, PPI''s'!N105)+IF(O$123=".", 0, 'Summary, PPI''s'!O105)+IF(P$123=".", 0, 'Summary, PPI''s'!P105)</f>
        <v>600930.00391523493</v>
      </c>
      <c r="Z105" s="4" t="e">
        <f>Z104*IF(E$26=".", 1, (E105/E104)^(('Summary, PPI''s'!$E105+'Summary, PPI''s'!$E104)/('Predicted PPIs'!R105+'Predicted PPIs'!R104)))*IF(F$26=".", 1, (F105/F104)^(('Summary, PPI''s'!$F105+'Summary, PPI''s'!$F104)/('Predicted PPIs'!R105+'Predicted PPIs'!R104)))*IF(G$26=".", 1, (G105/G104)^(('Summary, PPI''s'!$G105+'Summary, PPI''s'!$G104)/('Predicted PPIs'!R105+'Predicted PPIs'!R104)))*IF(H$26=".", 1, (H105/H104)^(('Summary, PPI''s'!$H105+'Summary, PPI''s'!$H104)/('Predicted PPIs'!R105+'Predicted PPIs'!R104)))*IF(I$26=".", 1, (I105/I104)^(('Summary, PPI''s'!$I105+'Summary, PPI''s'!$I104)/('Predicted PPIs'!R105+'Predicted PPIs'!R104)))*IF(J$26=".", 1, (J105/J104)^(('Summary, PPI''s'!$J105+'Summary, PPI''s'!$J104)/('Predicted PPIs'!R105+'Predicted PPIs'!R104)))*IF(K$26=".", 1, (K105/K104)^(('Summary, PPI''s'!$K105+'Summary, PPI''s'!$K104)/('Predicted PPIs'!R105+'Predicted PPIs'!R104)))*IF(L$26=".", 1, (L105/L104)^(('Summary, PPI''s'!$L105+'Summary, PPI''s'!$L104)/('Predicted PPIs'!R105+'Predicted PPIs'!R104)))*IF(M$26=".", 1, (M105/M104)^(('Summary, PPI''s'!$M105+'Summary, PPI''s'!$M104)/('Predicted PPIs'!R105+'Predicted PPIs'!R104)))*IF(B$26=".", 1, (B105/B104)^(('Summary, PPI''s'!$B105+'Summary, PPI''s'!$B104)/('Predicted PPIs'!R105+'Predicted PPIs'!R104)))*IF(C$26=".", 1, (C105/C104)^(('Summary, PPI''s'!$C105+'Summary, PPI''s'!$C104)/('Predicted PPIs'!R105+'Predicted PPIs'!R104)))*IF(D$26=".", 1, (D105/D104)^(('Summary, PPI''s'!$D105+'Summary, PPI''s'!$D104)/('Predicted PPIs'!R105+'Predicted PPIs'!R104)))*IF(N$26=".", 1, (N105/N104)^(('Summary, PPI''s'!$N105+'Summary, PPI''s'!$N104)/('Predicted PPIs'!R105+'Predicted PPIs'!R104)))*IF(O$26=".", 1, (O105/O104)^(('Summary, PPI''s'!$O105+'Summary, PPI''s'!$O104)/('Predicted PPIs'!R105+'Predicted PPIs'!R104)))*IF(P$26=".", 1, (P105/P104)^(('Summary, PPI''s'!$P105+'Summary, PPI''s'!$P104)/('Predicted PPIs'!R105+'Predicted PPIs'!R104)))</f>
        <v>#VALUE!</v>
      </c>
      <c r="AA105" s="4" t="e">
        <f>AA104*IF(E$36=".", 1, (E105/E104)^(('Summary, PPI''s'!$E105+'Summary, PPI''s'!$E104)/('Predicted PPIs'!S105+'Predicted PPIs'!S104)))*IF(F$36=".", 1, (F105/F104)^(('Summary, PPI''s'!$F105+'Summary, PPI''s'!$F104)/('Predicted PPIs'!S105+'Predicted PPIs'!S104)))*IF(G$36=".", 1, (G105/G104)^(('Summary, PPI''s'!$G105+'Summary, PPI''s'!$G104)/('Predicted PPIs'!S105+'Predicted PPIs'!S104)))*IF(H$36=".", 1, (H105/H104)^(('Summary, PPI''s'!$H105+'Summary, PPI''s'!$H104)/('Predicted PPIs'!S105+'Predicted PPIs'!S104)))*IF(I$36=".", 1, (I105/I104)^(('Summary, PPI''s'!$I105+'Summary, PPI''s'!$I104)/('Predicted PPIs'!S105+'Predicted PPIs'!S104)))*IF(J$36=".", 1, (J105/J104)^(('Summary, PPI''s'!$J105+'Summary, PPI''s'!$J104)/('Predicted PPIs'!S105+'Predicted PPIs'!S104)))*IF(K$36=".", 1, (K105/K104)^(('Summary, PPI''s'!$K105+'Summary, PPI''s'!$K104)/('Predicted PPIs'!S105+'Predicted PPIs'!S104)))*IF(L$36=".", 1, (L105/L104)^(('Summary, PPI''s'!$L105+'Summary, PPI''s'!$L104)/('Predicted PPIs'!S105+'Predicted PPIs'!S104)))*IF(M$36=".", 1, (M105/M104)^(('Summary, PPI''s'!$M105+'Summary, PPI''s'!$M104)/('Predicted PPIs'!S105+'Predicted PPIs'!S104)))*IF(B$36=".", 1, (B105/B104)^(('Summary, PPI''s'!$B105+'Summary, PPI''s'!$B104)/('Predicted PPIs'!S105+'Predicted PPIs'!S104)))*IF(C$36=".", 1, (C105/C104)^(('Summary, PPI''s'!$C105+'Summary, PPI''s'!$C104)/('Predicted PPIs'!S105+'Predicted PPIs'!S104)))*IF(D$36=".", 1, (D105/D104)^(('Summary, PPI''s'!$D105+'Summary, PPI''s'!$D104)/('Predicted PPIs'!S105+'Predicted PPIs'!S104)))*IF(N$36=".", 1, (N105/N104)^(('Summary, PPI''s'!$N105+'Summary, PPI''s'!$N104)/('Predicted PPIs'!S105+'Predicted PPIs'!S104)))*IF(O$36=".", 1, (O105/O104)^(('Summary, PPI''s'!$O105+'Summary, PPI''s'!$O104)/('Predicted PPIs'!S105+'Predicted PPIs'!S104)))*IF(P$36=".", 1, (P105/P104)^(('Summary, PPI''s'!$P105+'Summary, PPI''s'!$P104)/('Predicted PPIs'!S105+'Predicted PPIs'!S104)))</f>
        <v>#VALUE!</v>
      </c>
      <c r="AB105" s="4" t="e">
        <f>AB104*IF(E$46=".", 1, (E105/E104)^(('Summary, PPI''s'!$E105+'Summary, PPI''s'!$E104)/('Predicted PPIs'!T105+'Predicted PPIs'!T104)))*IF(F$46=".", 1, (F105/F104)^(('Summary, PPI''s'!$F105+'Summary, PPI''s'!$F104)/('Predicted PPIs'!T105+'Predicted PPIs'!T104)))*IF(G$46=".", 1, (G105/G104)^(('Summary, PPI''s'!$G105+'Summary, PPI''s'!$G104)/('Predicted PPIs'!T105+'Predicted PPIs'!T104)))*IF(H$46=".", 1, (H105/H104)^(('Summary, PPI''s'!$H105+'Summary, PPI''s'!$H104)/('Predicted PPIs'!T105+'Predicted PPIs'!T104)))*IF(I$46=".", 1, (I105/I104)^(('Summary, PPI''s'!$I105+'Summary, PPI''s'!$I104)/('Predicted PPIs'!T105+'Predicted PPIs'!T104)))*IF(J$46=".", 1, (J105/J104)^(('Summary, PPI''s'!$J105+'Summary, PPI''s'!$J104)/('Predicted PPIs'!T105+'Predicted PPIs'!T104)))*IF(K$46=".", 1, (K105/K104)^(('Summary, PPI''s'!$K105+'Summary, PPI''s'!$K104)/('Predicted PPIs'!T105+'Predicted PPIs'!T104)))*IF(L$46=".", 1, (L105/L104)^(('Summary, PPI''s'!$L105+'Summary, PPI''s'!$L104)/('Predicted PPIs'!T105+'Predicted PPIs'!T104)))*IF(M$46=".", 1, (M105/M104)^(('Summary, PPI''s'!$M105+'Summary, PPI''s'!$M104)/('Predicted PPIs'!T105+'Predicted PPIs'!T104)))*IF(B$46=".", 1, (B105/B104)^(('Summary, PPI''s'!$B105+'Summary, PPI''s'!$B104)/('Predicted PPIs'!T105+'Predicted PPIs'!T104)))*IF(C$46=".", 1, (C105/C104)^(('Summary, PPI''s'!$C105+'Summary, PPI''s'!$C104)/('Predicted PPIs'!T105+'Predicted PPIs'!T104)))*IF(D$46=".", 1, (D105/D104)^(('Summary, PPI''s'!$D105+'Summary, PPI''s'!$D104)/('Predicted PPIs'!T105+'Predicted PPIs'!T104)))*IF(N$46=".", 1, (N105/N104)^(('Summary, PPI''s'!$N105+'Summary, PPI''s'!$N104)/('Predicted PPIs'!T105+'Predicted PPIs'!T104)))*IF(O$46=".", 1, (O105/O104)^(('Summary, PPI''s'!$O105+'Summary, PPI''s'!$O104)/('Predicted PPIs'!T105+'Predicted PPIs'!T104)))*IF(P$46=".", 1, (P105/P104)^(('Summary, PPI''s'!$P105+'Summary, PPI''s'!$P104)/('Predicted PPIs'!T105+'Predicted PPIs'!T104)))</f>
        <v>#VALUE!</v>
      </c>
      <c r="AC105" s="4" t="e">
        <f>AC104*IF(E$60=".",1,(E105/E104)^(('Summary, PPI''s'!$E105+'Summary, PPI''s'!$E104)/('Predicted PPIs'!U105+'Predicted PPIs'!U104)))*IF(F$60=".",1,(F105/F104)^(('Summary, PPI''s'!$F105+'Summary, PPI''s'!$F104)/('Predicted PPIs'!U105+'Predicted PPIs'!U104)))*IF(G$60=".",1,(G105/G104)^(('Summary, PPI''s'!$G105+'Summary, PPI''s'!$G104)/('Predicted PPIs'!U105+'Predicted PPIs'!U104)))*IF(H$60=".",1,(H105/H104)^(('Summary, PPI''s'!$H105+'Summary, PPI''s'!$H104)/('Predicted PPIs'!U105+'Predicted PPIs'!U104)))*IF(I$60=".",1,(I105/I104)^(('Summary, PPI''s'!$I105+'Summary, PPI''s'!$I104)/('Predicted PPIs'!U105+'Predicted PPIs'!U104)))*IF(J$60=".",1,(J105/J104)^(('Summary, PPI''s'!$J105+'Summary, PPI''s'!$J104)/('Predicted PPIs'!U105+'Predicted PPIs'!U104)))*IF(K$60=".",1,(K105/K104)^(('Summary, PPI''s'!$K105+'Summary, PPI''s'!$K104)/('Predicted PPIs'!U105+'Predicted PPIs'!U104)))*IF(L$60=".",1,(L105/L104)^(('Summary, PPI''s'!$L105+'Summary, PPI''s'!$L104)/('Predicted PPIs'!U105+'Predicted PPIs'!U104)))*IF(M$60=".",1,(M105/M104)^(('Summary, PPI''s'!$M105+'Summary, PPI''s'!$M104)/('Predicted PPIs'!U105+'Predicted PPIs'!U104)))*IF(B$60=".",1,(B105/B104)^(('Summary, PPI''s'!$B105+'Summary, PPI''s'!$B104)/('Predicted PPIs'!U105+'Predicted PPIs'!U104)))*IF(C$60=".",1,(C105/C104)^(('Summary, PPI''s'!$C105+'Summary, PPI''s'!$C104)/('Predicted PPIs'!U105+'Predicted PPIs'!U104)))*IF(D$60=".",1,(D105/D104)^(('Summary, PPI''s'!$D105+'Summary, PPI''s'!$D104)/('Predicted PPIs'!U105+'Predicted PPIs'!U104)))*IF(N$60=".",1,(N105/N104)^(('Summary, PPI''s'!$N105+'Summary, PPI''s'!$N104)/('Predicted PPIs'!U105+'Predicted PPIs'!U104)))*IF(O$60=".",1,(O105/O104)^(('Summary, PPI''s'!$O105+'Summary, PPI''s'!$O104)/('Predicted PPIs'!U105+'Predicted PPIs'!U104)))*IF(P$60=".",1,(P105/P104)^(('Summary, PPI''s'!$P105+'Summary, PPI''s'!$P104)/('Predicted PPIs'!U105+'Predicted PPIs'!U104)))</f>
        <v>#VALUE!</v>
      </c>
      <c r="AD105" s="4" t="e">
        <f>AD104*IF(E$73=".", 1, (E105/E104)^(('Summary, PPI''s'!$E105+'Summary, PPI''s'!$E104)/('Predicted PPIs'!V105+'Predicted PPIs'!V104)))*IF(F$73=".", 1, (F105/F104)^(('Summary, PPI''s'!$F105+'Summary, PPI''s'!$F104)/('Predicted PPIs'!V105+'Predicted PPIs'!V104)))*IF(G$73=".", 1, (G105/G104)^(('Summary, PPI''s'!$G105+'Summary, PPI''s'!$G104)/('Predicted PPIs'!V105+'Predicted PPIs'!V104)))*IF(H$73=".", 1, (H105/H104)^(('Summary, PPI''s'!$H105+'Summary, PPI''s'!$H104)/('Predicted PPIs'!V105+'Predicted PPIs'!V104)))*IF(I$73=".", 1, (I105/I104)^(('Summary, PPI''s'!$I105+'Summary, PPI''s'!$I104)/('Predicted PPIs'!V105+'Predicted PPIs'!V104)))*IF(J$73=".", 1, (J105/J104)^(('Summary, PPI''s'!$J105+'Summary, PPI''s'!$J104)/('Predicted PPIs'!V105+'Predicted PPIs'!V104)))*IF(K$73=".", 1, (K105/K104)^(('Summary, PPI''s'!$K105+'Summary, PPI''s'!$K104)/('Predicted PPIs'!V105+'Predicted PPIs'!V104)))*IF(L$73=".", 1, (L105/L104)^(('Summary, PPI''s'!$L105+'Summary, PPI''s'!$L104)/('Predicted PPIs'!V105+'Predicted PPIs'!V104)))*IF(M$73=".", 1, (M105/M104)^(('Summary, PPI''s'!$M105+'Summary, PPI''s'!$M104)/('Predicted PPIs'!V105+'Predicted PPIs'!V104)))*IF(B$73=".", 1, (B105/B104)^(('Summary, PPI''s'!$B105+'Summary, PPI''s'!$B104)/('Predicted PPIs'!V105+'Predicted PPIs'!V104)))*IF(C$73=".", 1, (C105/C104)^(('Summary, PPI''s'!$C105+'Summary, PPI''s'!$C104)/('Predicted PPIs'!V105+'Predicted PPIs'!V104)))*IF(D$73=".", 1, (D105/D104)^(('Summary, PPI''s'!$D105+'Summary, PPI''s'!$D104)/('Predicted PPIs'!V105+'Predicted PPIs'!V104)))*IF(N$73=".", 1, (N105/N104)^(('Summary, PPI''s'!$N105+'Summary, PPI''s'!$N104)/('Predicted PPIs'!V105+'Predicted PPIs'!V104)))*IF(O$73=".", 1, (O105/O104)^(('Summary, PPI''s'!$O105+'Summary, PPI''s'!$O104)/('Predicted PPIs'!V105+'Predicted PPIs'!V104)))*IF(P$73=".", 1, (P105/P104)^(('Summary, PPI''s'!$P105+'Summary, PPI''s'!$P104)/('Predicted PPIs'!V105+'Predicted PPIs'!V104)))</f>
        <v>#VALUE!</v>
      </c>
      <c r="AE105" s="4" t="e">
        <f>AE104*IF(E$94=".", 1, (E105/E104)^(('Summary, PPI''s'!$E105+'Summary, PPI''s'!$E104)/('Predicted PPIs'!W105+'Predicted PPIs'!W104)))*IF(F$94=".", 1, (F105/F104)^(('Summary, PPI''s'!$F105+'Summary, PPI''s'!$F104)/('Predicted PPIs'!W105+'Predicted PPIs'!W104)))*IF(G$94=".", 1, (G105/G104)^(('Summary, PPI''s'!$G105+'Summary, PPI''s'!$G104)/('Predicted PPIs'!W105+'Predicted PPIs'!W104)))*IF(H$94=".", 1, (H105/H104)^(('Summary, PPI''s'!$H105+'Summary, PPI''s'!$H104)/('Predicted PPIs'!W105+'Predicted PPIs'!W104)))*IF(I$94=".", 1, (I105/I104)^(('Summary, PPI''s'!$I105+'Summary, PPI''s'!$I104)/('Predicted PPIs'!W105+'Predicted PPIs'!W104)))*IF(J$94=".", 1, (J105/J104)^(('Summary, PPI''s'!$J105+'Summary, PPI''s'!$J104)/('Predicted PPIs'!W105+'Predicted PPIs'!W104)))*IF(K$94=".", 1, (K105/K104)^(('Summary, PPI''s'!$K105+'Summary, PPI''s'!$K104)/('Predicted PPIs'!W105+'Predicted PPIs'!W104)))*IF(L$94=".", 1, (L105/L104)^(('Summary, PPI''s'!$L105+'Summary, PPI''s'!$L104)/('Predicted PPIs'!W105+'Predicted PPIs'!W104)))*IF(M$94=".", 1, (M105/M104)^(('Summary, PPI''s'!$M105+'Summary, PPI''s'!$M104)/('Predicted PPIs'!W105+'Predicted PPIs'!W104)))*IF(B$94=".", 1, (B105/B104)^(('Summary, PPI''s'!$B105+'Summary, PPI''s'!$B104)/('Predicted PPIs'!W105+'Predicted PPIs'!W104)))*IF(C$94=".", 1, (C105/C104)^(('Summary, PPI''s'!$C105+'Summary, PPI''s'!$C104)/('Predicted PPIs'!W105+'Predicted PPIs'!W104)))*IF(D$94=".", 1, (D105/D104)^(('Summary, PPI''s'!$D105+'Summary, PPI''s'!$D104)/('Predicted PPIs'!W105+'Predicted PPIs'!W104)))*IF(N$94=".", 1, (N105/N104)^(('Summary, PPI''s'!$N105+'Summary, PPI''s'!$N104)/('Predicted PPIs'!W105+'Predicted PPIs'!W104)))*IF(O$94=".", 1, (O105/O104)^(('Summary, PPI''s'!$O105+'Summary, PPI''s'!$O104)/('Predicted PPIs'!W105+'Predicted PPIs'!W104)))*IF(P$94=".", 1, (P105/P104)^(('Summary, PPI''s'!$P105+'Summary, PPI''s'!$P104)/('Predicted PPIs'!W105+'Predicted PPIs'!W104)))</f>
        <v>#VALUE!</v>
      </c>
      <c r="AF105" s="4">
        <f>AF104*IF(E$123=".", 1, (E105/E104)^(('Summary, PPI''s'!$E105+'Summary, PPI''s'!$E104)/('Predicted PPIs'!X105+'Predicted PPIs'!X104)))*IF(F$123=".", 1, (F105/F104)^(('Summary, PPI''s'!$F105+'Summary, PPI''s'!$F104)/('Predicted PPIs'!X105+'Predicted PPIs'!X104)))*IF(G$123=".", 1, (G105/G104)^(('Summary, PPI''s'!$G105+'Summary, PPI''s'!$G104)/('Predicted PPIs'!X105+'Predicted PPIs'!X104)))*IF(H$123=".", 1, (H105/H104)^(('Summary, PPI''s'!$H105+'Summary, PPI''s'!$H104)/('Predicted PPIs'!X105+'Predicted PPIs'!X104)))*IF(I$123=".", 1, (I105/I104)^(('Summary, PPI''s'!$I105+'Summary, PPI''s'!$I104)/('Predicted PPIs'!X105+'Predicted PPIs'!X104)))*IF(J$123=".", 1, (J105/J104)^(('Summary, PPI''s'!$J105+'Summary, PPI''s'!$J104)/('Predicted PPIs'!X105+'Predicted PPIs'!X104)))*IF(K$123=".", 1, (K105/K104)^(('Summary, PPI''s'!$K105+'Summary, PPI''s'!$K104)/('Predicted PPIs'!X105+'Predicted PPIs'!X104)))*IF(L$123=".", 1, (L105/L104)^(('Summary, PPI''s'!$L105+'Summary, PPI''s'!$L104)/('Predicted PPIs'!X105+'Predicted PPIs'!X104)))*IF(M$123=".", 1, (M105/M104)^(('Summary, PPI''s'!$M105+'Summary, PPI''s'!$M104)/('Predicted PPIs'!X105+'Predicted PPIs'!X104)))*IF(B$123=".", 1, (B105/B104)^(('Summary, PPI''s'!$B105+'Summary, PPI''s'!$B104)/('Predicted PPIs'!X105+'Predicted PPIs'!X104)))*IF(C$123=".", 1, (C105/C104)^(('Summary, PPI''s'!$C105+'Summary, PPI''s'!$C104)/('Predicted PPIs'!X105+'Predicted PPIs'!X104)))*IF(D$123=".", 1, (D105/D104)^(('Summary, PPI''s'!$D105+'Summary, PPI''s'!$D104)/('Predicted PPIs'!X105+'Predicted PPIs'!X104)))*IF(N$123=".", 1, (N105/N104)^(('Summary, PPI''s'!$N105+'Summary, PPI''s'!$N104)/('Predicted PPIs'!X105+'Predicted PPIs'!X104)))*IF(O$123=".", 1, (O105/O104)^(('Summary, PPI''s'!$O105+'Summary, PPI''s'!$O104)/('Predicted PPIs'!X105+'Predicted PPIs'!X104)))*IF(P$123=".", 1, (P105/P104)^(('Summary, PPI''s'!$P105+'Summary, PPI''s'!$P104)/('Predicted PPIs'!X105+'Predicted PPIs'!X104)))</f>
        <v>2.7387903698897436</v>
      </c>
      <c r="AH105" s="13">
        <f t="shared" si="212"/>
        <v>3.9111485412551441</v>
      </c>
      <c r="AJ105" s="4">
        <f t="shared" si="207"/>
        <v>44.554159284724129</v>
      </c>
      <c r="AK105" s="4">
        <f t="shared" si="191"/>
        <v>-0.98606298261928182</v>
      </c>
      <c r="AL105" s="4">
        <f t="shared" si="192"/>
        <v>-3.3778269597255957</v>
      </c>
      <c r="AM105" s="4">
        <f t="shared" si="193"/>
        <v>-0.52555487631722386</v>
      </c>
      <c r="AN105" s="4">
        <f t="shared" si="176"/>
        <v>59.414718897911932</v>
      </c>
      <c r="AO105" s="4">
        <v>8.6999999999999993</v>
      </c>
      <c r="AP105" s="4">
        <f t="shared" si="177"/>
        <v>-0.80486631016042776</v>
      </c>
      <c r="AQ105" s="4">
        <f t="shared" si="178"/>
        <v>-1.5215695187165765</v>
      </c>
      <c r="AR105" s="4">
        <f t="shared" si="210"/>
        <v>-9.0302908276774528E-5</v>
      </c>
      <c r="AS105" s="4">
        <f t="shared" si="208"/>
        <v>-0.18562647852251504</v>
      </c>
      <c r="AT105" s="4">
        <f t="shared" si="194"/>
        <v>7.6748135265700501</v>
      </c>
      <c r="AU105" s="4">
        <f t="shared" si="195"/>
        <v>12.637518357487924</v>
      </c>
      <c r="AV105" s="4">
        <f t="shared" si="196"/>
        <v>9.828814009661837</v>
      </c>
      <c r="AW105" s="4">
        <f t="shared" si="197"/>
        <v>5.4960449275362331</v>
      </c>
      <c r="AX105" s="4">
        <f t="shared" si="198"/>
        <v>7.3104872040231355</v>
      </c>
      <c r="AY105" s="4">
        <f t="shared" si="199"/>
        <v>8.5961874396135283</v>
      </c>
      <c r="AZ105" s="4">
        <f t="shared" si="200"/>
        <v>2.9383241545893726</v>
      </c>
      <c r="BA105" s="4">
        <f t="shared" si="201"/>
        <v>7.9596468599033807</v>
      </c>
      <c r="BB105" s="4">
        <f t="shared" si="202"/>
        <v>45.527217977293994</v>
      </c>
      <c r="BC105" s="4">
        <f t="shared" si="203"/>
        <v>7.4609821256038664</v>
      </c>
      <c r="BD105" s="5">
        <f>'[2]Ordinary Experience'!$AD$321</f>
        <v>170.9</v>
      </c>
      <c r="BE105" s="5">
        <f>'[2]Ordinary Experience'!$AC$321</f>
        <v>1.4635872630125344</v>
      </c>
      <c r="BG105" s="4">
        <f t="shared" si="172"/>
        <v>5.9140854850735183</v>
      </c>
      <c r="BI105" s="4">
        <f>BI$13*'[2]Ordinary Experience'!$D$321/'[2]Ordinary Experience'!$D$413</f>
        <v>103195846.82576813</v>
      </c>
      <c r="BJ105" s="4">
        <f>'[2]Ordinary Experience'!$E$321</f>
        <v>31.859774858097385</v>
      </c>
      <c r="BL105" s="4">
        <f t="shared" si="211"/>
        <v>21.220594308247225</v>
      </c>
      <c r="BM105" s="4">
        <f t="shared" si="153"/>
        <v>2.3217350569559869E-2</v>
      </c>
      <c r="BO105" s="4" t="str">
        <f>IF(OR('Summary, hourly ad costs'!R105=-9999,'Summary, PPI''s'!R105="."),".",(('Summary, hourly ad costs'!B105/'Summary, hourly ad costs'!R105)*100/('Summary, hourly ad costs'!B$11/'Summary, hourly ad costs'!R$11))/('Summary, PPI''s'!R105))</f>
        <v>.</v>
      </c>
      <c r="BP105" s="4" t="str">
        <f>IF(OR('Summary, hourly ad costs'!S105=-9999,'Summary, PPI''s'!S105="."),".",(('Summary, hourly ad costs'!C105/'Summary, hourly ad costs'!S105)*100/('Summary, hourly ad costs'!C$11/'Summary, hourly ad costs'!S$11))/('Summary, PPI''s'!S105))</f>
        <v>.</v>
      </c>
      <c r="BQ105" s="4" t="str">
        <f>IF(OR('Summary, hourly ad costs'!T105=-9999,'Summary, PPI''s'!T105="."),".",(('Summary, hourly ad costs'!D105/'Summary, hourly ad costs'!T105)*100/('Summary, hourly ad costs'!D$11/'Summary, hourly ad costs'!T$11))/('Summary, PPI''s'!T105))</f>
        <v>.</v>
      </c>
      <c r="BR105" s="4" t="str">
        <f>IF(OR('Summary, hourly ad costs'!U105=-9999,'Summary, PPI''s'!U105="."),".",(('Summary, hourly ad costs'!E105/'Summary, hourly ad costs'!U105)*100/('Summary, hourly ad costs'!E$11/'Summary, hourly ad costs'!U$11))/('Summary, PPI''s'!U105))</f>
        <v>.</v>
      </c>
      <c r="BS105" s="4" t="str">
        <f>IF(OR('Summary, hourly ad costs'!V105=-9999,'Summary, PPI''s'!V105="."),".",(('Summary, hourly ad costs'!F105/'Summary, hourly ad costs'!V105)*100/('Summary, hourly ad costs'!F$11/'Summary, hourly ad costs'!V$11))/('Summary, PPI''s'!V105))</f>
        <v>.</v>
      </c>
      <c r="BT105" s="4" t="str">
        <f>IF(OR('Summary, hourly ad costs'!W105=-9999,'Summary, PPI''s'!W105="."),".",(('Summary, hourly ad costs'!G105/'Summary, hourly ad costs'!W105)*100/('Summary, hourly ad costs'!G$11/'Summary, hourly ad costs'!W$11))/('Summary, PPI''s'!W105))</f>
        <v>.</v>
      </c>
      <c r="BU105" s="4" t="str">
        <f>IF(OR('Summary, hourly ad costs'!X105=-9999,'Summary, PPI''s'!X105="."),".",(('Summary, hourly ad costs'!H105/'Summary, hourly ad costs'!X105)*100/('Summary, hourly ad costs'!H$11/'Summary, hourly ad costs'!X$11))/('Summary, PPI''s'!X105))</f>
        <v>.</v>
      </c>
      <c r="BV105" s="4" t="str">
        <f>IF(OR('Summary, hourly ad costs'!Y105=-9999,'Summary, PPI''s'!Y105="."),".",(('Summary, hourly ad costs'!I105/'Summary, hourly ad costs'!Y105)*100/('Summary, hourly ad costs'!I$11/'Summary, hourly ad costs'!Y$11))/('Summary, PPI''s'!Y105))</f>
        <v>.</v>
      </c>
      <c r="BW105" s="4" t="str">
        <f>IF(OR('Summary, hourly ad costs'!Z105=-9999,'Summary, PPI''s'!Z105="."),".",(('Summary, hourly ad costs'!J105/'Summary, hourly ad costs'!Z105)*100/('Summary, hourly ad costs'!J$11/'Summary, hourly ad costs'!Z$11))/('Summary, PPI''s'!Z105))</f>
        <v>.</v>
      </c>
      <c r="BX105" s="4" t="str">
        <f>IF(OR('Summary, hourly ad costs'!AA105=-9999,'Summary, PPI''s'!AA105="."),".",(('Summary, hourly ad costs'!K105/'Summary, hourly ad costs'!AA105)*100/('Summary, hourly ad costs'!K$11/'Summary, hourly ad costs'!AA$11))/('Summary, PPI''s'!AA105))</f>
        <v>.</v>
      </c>
      <c r="BY105" s="4" t="str">
        <f>IF(OR('Summary, hourly ad costs'!AB105=-9999,'Summary, PPI''s'!AB105="."),".",(('Summary, hourly ad costs'!L105/'Summary, hourly ad costs'!AB105)*100/('Summary, hourly ad costs'!L$11/'Summary, hourly ad costs'!AB$11))/('Summary, PPI''s'!AB105))</f>
        <v>.</v>
      </c>
      <c r="BZ105" s="4" t="str">
        <f>IF(OR('Summary, hourly ad costs'!AC105=-9999,'Summary, PPI''s'!AC105="."),".",(('Summary, hourly ad costs'!M105/'Summary, hourly ad costs'!AC105)*100/('Summary, hourly ad costs'!M$11/'Summary, hourly ad costs'!AC$11))/('Summary, PPI''s'!AC105))</f>
        <v>.</v>
      </c>
      <c r="CA105" s="4" t="str">
        <f>IF(OR('Summary, hourly ad costs'!AD105=-9999,'Summary, PPI''s'!AD105="."),".",(('Summary, hourly ad costs'!N105/'Summary, hourly ad costs'!AD105)*100/('Summary, hourly ad costs'!N$11/'Summary, hourly ad costs'!AD$11))/('Summary, PPI''s'!AD105))</f>
        <v>.</v>
      </c>
      <c r="CB105" s="4" t="str">
        <f>IF(OR('Summary, hourly ad costs'!AE105=-9999,'Summary, PPI''s'!AE105="."),".",(('Summary, hourly ad costs'!O105/'Summary, hourly ad costs'!AE105)*100/('Summary, hourly ad costs'!O$11/'Summary, hourly ad costs'!AE$11))/('Summary, PPI''s'!AE105))</f>
        <v>.</v>
      </c>
      <c r="CC105" s="4" t="str">
        <f>IF(OR('Summary, hourly ad costs'!AF105=-9999,'Summary, PPI''s'!AF105="."),".",(('Summary, hourly ad costs'!P105/'Summary, hourly ad costs'!AF105)*100/('Summary, hourly ad costs'!P$11/'Summary, hourly ad costs'!AF$11))/('Summary, PPI''s'!AF105))</f>
        <v>.</v>
      </c>
      <c r="CE105" s="4">
        <f t="shared" si="183"/>
        <v>-9.9520309760646013E-3</v>
      </c>
      <c r="CF105" s="4" t="str">
        <f t="shared" si="184"/>
        <v>.</v>
      </c>
      <c r="CG105" s="4" t="str">
        <f t="shared" si="185"/>
        <v>.</v>
      </c>
      <c r="CH105" s="4">
        <f t="shared" si="145"/>
        <v>8.7820589564398741E-3</v>
      </c>
      <c r="CI105" s="4">
        <f t="shared" si="145"/>
        <v>1.1678109582912644E-2</v>
      </c>
      <c r="CJ105" s="4" t="str">
        <f t="shared" si="209"/>
        <v>.</v>
      </c>
      <c r="CK105" s="4">
        <f t="shared" si="149"/>
        <v>3.2235723343419492E-3</v>
      </c>
      <c r="CL105" s="4">
        <f t="shared" si="130"/>
        <v>7.8837073114525376E-3</v>
      </c>
      <c r="CM105" s="4">
        <f t="shared" si="130"/>
        <v>1.9523936896242558E-2</v>
      </c>
      <c r="CN105" s="4">
        <f t="shared" si="204"/>
        <v>-6.4419142924598549E-3</v>
      </c>
      <c r="CO105" s="4">
        <f t="shared" si="180"/>
        <v>0.14668991986566438</v>
      </c>
      <c r="CP105" s="4">
        <f t="shared" si="180"/>
        <v>0.12941134607592178</v>
      </c>
      <c r="CQ105" s="4" t="str">
        <f t="shared" si="173"/>
        <v>.</v>
      </c>
      <c r="CR105" s="4" t="str">
        <f t="shared" si="174"/>
        <v>.</v>
      </c>
      <c r="CS105" s="4" t="str">
        <f t="shared" si="175"/>
        <v>.</v>
      </c>
      <c r="CU105" s="5">
        <f>IF(CU104=".", ".", IF('Summary, PPI''s'!R105=".",IF(OR('Summary, hourly ad costs'!R105=-9999,'Summary, hourly ad costs'!R105=0), ".", 'Predicted PPIs'!CU104*('Summary, hourly ad costs'!B105/'Summary, hourly ad costs'!R105)/('Summary, hourly ad costs'!B104/'Summary, hourly ad costs'!R104)/(1-CE104)), 'Summary, PPI''s'!R105))</f>
        <v>28.919429175059825</v>
      </c>
      <c r="CV105" s="5" t="str">
        <f>IF(CV104=".", ".", IF('Summary, PPI''s'!S105=".",IF(OR('Summary, hourly ad costs'!S105=-9999,'Summary, hourly ad costs'!S105=0), ".", 'Predicted PPIs'!CV104*('Summary, hourly ad costs'!C105/'Summary, hourly ad costs'!S105)/('Summary, hourly ad costs'!C104/'Summary, hourly ad costs'!S104)/(1-CF104)), 'Summary, PPI''s'!S105))</f>
        <v>.</v>
      </c>
      <c r="CW105" s="5" t="str">
        <f>IF(CW104=".", ".", IF('Summary, PPI''s'!T105=".",IF(OR('Summary, hourly ad costs'!T105=-9999,'Summary, hourly ad costs'!T105=0), ".", 'Predicted PPIs'!CW104*('Summary, hourly ad costs'!D105/'Summary, hourly ad costs'!T105)/('Summary, hourly ad costs'!D104/'Summary, hourly ad costs'!T104)/(1-CG104)), 'Summary, PPI''s'!T105))</f>
        <v>.</v>
      </c>
      <c r="CX105" s="5">
        <f>IF(CX104=".", ".", IF('Summary, PPI''s'!U105=".",IF(OR('Summary, hourly ad costs'!U105=-9999,'Summary, hourly ad costs'!U105=0), ".", 'Predicted PPIs'!CX104*('Summary, hourly ad costs'!E105/'Summary, hourly ad costs'!U105)/('Summary, hourly ad costs'!E104/'Summary, hourly ad costs'!U104)/(1-CH104)), 'Summary, PPI''s'!U105))</f>
        <v>1.3993454527534177</v>
      </c>
      <c r="CY105" s="5">
        <f>IF(CY104=".", ".", IF('Summary, PPI''s'!V105=".",IF(OR('Summary, hourly ad costs'!V105=-9999,'Summary, hourly ad costs'!V105=0), ".", 'Predicted PPIs'!CY104*('Summary, hourly ad costs'!F105/'Summary, hourly ad costs'!V105)/('Summary, hourly ad costs'!F104/'Summary, hourly ad costs'!V104)/(1-CI104)), 'Summary, PPI''s'!V105))</f>
        <v>3.1883459941170109</v>
      </c>
      <c r="CZ105" s="5" t="str">
        <f>IF(CZ104=".", ".", IF('Summary, PPI''s'!W105=".",IF(OR('Summary, hourly ad costs'!W105=-9999,'Summary, hourly ad costs'!W105=0), ".", 'Predicted PPIs'!CZ104*('Summary, hourly ad costs'!G105/'Summary, hourly ad costs'!W105)/('Summary, hourly ad costs'!G104/'Summary, hourly ad costs'!W104)/(1-CJ104)), 'Summary, PPI''s'!W105))</f>
        <v>.</v>
      </c>
      <c r="DA105" s="5">
        <f>IF(DA104=".", ".", IF('Summary, PPI''s'!X105=".",IF(OR('Summary, hourly ad costs'!X105=-9999,'Summary, hourly ad costs'!X105=0), ".", 'Predicted PPIs'!DA104*('Summary, hourly ad costs'!H105/'Summary, hourly ad costs'!X105)/('Summary, hourly ad costs'!H104/'Summary, hourly ad costs'!X104)/(1-CK104)), 'Summary, PPI''s'!X105))</f>
        <v>1.8748184904460257</v>
      </c>
      <c r="DB105" s="5" t="str">
        <f>IF(DB104=".", ".", IF('Summary, PPI''s'!Y105=".",IF(OR('Summary, hourly ad costs'!Y105=-9999,'Summary, hourly ad costs'!Y105=0), ".", 'Predicted PPIs'!DB104*('Summary, hourly ad costs'!I105/'Summary, hourly ad costs'!Y105)/('Summary, hourly ad costs'!I104/'Summary, hourly ad costs'!Y104)/(1-CL104)), 'Summary, PPI''s'!Y105))</f>
        <v>.</v>
      </c>
      <c r="DC105" s="5" t="str">
        <f>IF(DC104=".", ".", IF('Summary, PPI''s'!Z105=".",IF(OR('Summary, hourly ad costs'!Z105=-9999,'Summary, hourly ad costs'!Z105=0), ".", 'Predicted PPIs'!DC104*('Summary, hourly ad costs'!J105/'Summary, hourly ad costs'!Z105)/('Summary, hourly ad costs'!J104/'Summary, hourly ad costs'!Z104)/(1-CM104)), 'Summary, PPI''s'!Z105))</f>
        <v>.</v>
      </c>
      <c r="DD105" s="5" t="str">
        <f>IF(DD104=".", ".", IF('Summary, PPI''s'!AA105=".",IF(OR('Summary, hourly ad costs'!AA105=-9999,'Summary, hourly ad costs'!AA105=0), ".", 'Predicted PPIs'!DD104*('Summary, hourly ad costs'!K105/'Summary, hourly ad costs'!AA105)/('Summary, hourly ad costs'!K104/'Summary, hourly ad costs'!AA104)/(1-CN104)), 'Summary, PPI''s'!AA105))</f>
        <v>.</v>
      </c>
      <c r="DE105" s="5" t="str">
        <f>IF(DE104=".", ".", IF('Summary, PPI''s'!AB105=".",IF(OR('Summary, hourly ad costs'!AB105=-9999,'Summary, hourly ad costs'!AB105=0), ".", 'Predicted PPIs'!DE104*('Summary, hourly ad costs'!L105/'Summary, hourly ad costs'!AB105)/('Summary, hourly ad costs'!L104/'Summary, hourly ad costs'!AB104)/(1-CO104)), 'Summary, PPI''s'!AB105))</f>
        <v>.</v>
      </c>
      <c r="DF105" s="5" t="str">
        <f>IF(DF104=".", ".", IF('Summary, PPI''s'!AC105=".",IF(OR('Summary, hourly ad costs'!AC105=-9999,'Summary, hourly ad costs'!AC105=0), ".", 'Predicted PPIs'!DF104*('Summary, hourly ad costs'!M105/'Summary, hourly ad costs'!AC105)/('Summary, hourly ad costs'!M104/'Summary, hourly ad costs'!AC104)/(1-CP104)), 'Summary, PPI''s'!AC105))</f>
        <v>.</v>
      </c>
      <c r="DG105" s="5" t="str">
        <f>IF(DG104=".", ".", IF('Summary, PPI''s'!AD105=".",IF(OR('Summary, hourly ad costs'!AD105=-9999,'Summary, hourly ad costs'!AD105=0), ".", 'Predicted PPIs'!DG104*('Summary, hourly ad costs'!N105/'Summary, hourly ad costs'!AD105)/('Summary, hourly ad costs'!N104/'Summary, hourly ad costs'!AD104)/(1-CQ104)), 'Summary, PPI''s'!AD105))</f>
        <v>.</v>
      </c>
      <c r="DH105" s="5" t="str">
        <f>IF(DH104=".", ".", IF('Summary, PPI''s'!AE105=".",IF(OR('Summary, hourly ad costs'!AE105=-9999,'Summary, hourly ad costs'!AE105=0), ".", 'Predicted PPIs'!DH104*('Summary, hourly ad costs'!O105/'Summary, hourly ad costs'!AE105)/('Summary, hourly ad costs'!O104/'Summary, hourly ad costs'!AE104)/(1-CR104)), 'Summary, PPI''s'!AE105))</f>
        <v>.</v>
      </c>
      <c r="DI105" s="5" t="str">
        <f>IF(DI104=".", ".", IF('Summary, PPI''s'!AF105=".",IF(OR('Summary, hourly ad costs'!AF105=-9999,'Summary, hourly ad costs'!AF105=0), ".", 'Predicted PPIs'!DI104*('Summary, hourly ad costs'!P105/'Summary, hourly ad costs'!AF105)/('Summary, hourly ad costs'!P104/'Summary, hourly ad costs'!AF104)/(1-CS104)), 'Summary, PPI''s'!AF105))</f>
        <v>.</v>
      </c>
      <c r="DK105" s="4">
        <f t="shared" si="205"/>
        <v>1.8715101754385959</v>
      </c>
      <c r="DM105" s="5">
        <f t="shared" si="186"/>
        <v>-0.18130105519817985</v>
      </c>
      <c r="DN105" s="4">
        <f t="shared" si="187"/>
        <v>-2.4143822223284889E-2</v>
      </c>
      <c r="DO105" s="4">
        <f t="shared" si="181"/>
        <v>-2.26842475269157E-2</v>
      </c>
      <c r="DP105" s="5">
        <f t="shared" si="188"/>
        <v>-0.29228677517963864</v>
      </c>
      <c r="DQ105" s="5">
        <f t="shared" si="189"/>
        <v>6.4227646623602475E-3</v>
      </c>
      <c r="DR105" s="4">
        <f t="shared" si="146"/>
        <v>-8.0748803651388909E-3</v>
      </c>
      <c r="DS105" s="5">
        <f t="shared" si="190"/>
        <v>-3.2179664193241142E-2</v>
      </c>
      <c r="DT105" s="4">
        <f t="shared" si="206"/>
        <v>-6.1324125861861381E-3</v>
      </c>
      <c r="DU105" s="4">
        <f t="shared" si="171"/>
        <v>-2.186169288960705E-2</v>
      </c>
      <c r="DV105" s="4">
        <f t="shared" si="131"/>
        <v>-1.4212568893929461E-5</v>
      </c>
      <c r="DW105" s="4">
        <f t="shared" si="182"/>
        <v>-8.5371571229300169E-2</v>
      </c>
      <c r="DX105" s="4">
        <f t="shared" si="182"/>
        <v>-1.749271112099951E-2</v>
      </c>
      <c r="DY105" s="4">
        <f t="shared" si="228"/>
        <v>-1.719075866293018E-2</v>
      </c>
      <c r="DZ105" s="4">
        <f t="shared" si="132"/>
        <v>-1.0545023631184969E-2</v>
      </c>
      <c r="EA105" s="4">
        <f t="shared" si="229"/>
        <v>-1.0127226545359901E-2</v>
      </c>
      <c r="EC105" s="1">
        <f t="shared" si="213"/>
        <v>28.919429175059825</v>
      </c>
      <c r="ED105" s="1">
        <f t="shared" si="214"/>
        <v>2.1526754804700423</v>
      </c>
      <c r="EE105" s="1">
        <f t="shared" si="215"/>
        <v>1.2087770727855607</v>
      </c>
      <c r="EF105" s="1">
        <f t="shared" si="216"/>
        <v>1.3993454527534177</v>
      </c>
      <c r="EG105" s="1">
        <f t="shared" si="217"/>
        <v>3.1883459941170109</v>
      </c>
      <c r="EH105" s="1">
        <f t="shared" si="218"/>
        <v>1.6645088628371294</v>
      </c>
      <c r="EI105" s="1">
        <f t="shared" si="219"/>
        <v>1.8748184904460257</v>
      </c>
      <c r="EJ105" s="1">
        <f t="shared" si="220"/>
        <v>2.4192785255630929</v>
      </c>
      <c r="EK105" s="1">
        <f t="shared" si="221"/>
        <v>4.2394690965624378</v>
      </c>
      <c r="EL105" s="1">
        <f t="shared" si="222"/>
        <v>1.5413347527109313</v>
      </c>
      <c r="EM105" s="1">
        <f t="shared" si="223"/>
        <v>8.302848004683025E-2</v>
      </c>
      <c r="EN105" s="1">
        <f t="shared" si="224"/>
        <v>1.8646722215457729</v>
      </c>
      <c r="EO105" s="1">
        <f t="shared" si="225"/>
        <v>0.89279835343265312</v>
      </c>
      <c r="EP105" s="1">
        <f t="shared" si="226"/>
        <v>1.5783471109990532</v>
      </c>
      <c r="EQ105" s="1">
        <f t="shared" si="227"/>
        <v>1.2511552826321064</v>
      </c>
      <c r="ES105" s="1">
        <f>IF(EF$26=".", 0, 'Summary, PPI''s'!E105)+IF(EG$26=".", 0, 'Summary, PPI''s'!F105)+IF(EH$26=".", 0, 'Summary, PPI''s'!G105)+IF(EI$26=".", 0, 'Summary, PPI''s'!H105)+IF(EJ$26=".", 0, 'Summary, PPI''s'!I105)+IF(EK$26=".", 0, 'Summary, PPI''s'!J105)+IF(EL$26=".", 0, 'Summary, PPI''s'!K105)+IF(EM$26=".", 0, 'Summary, PPI''s'!L105)+IF(EN$26=".", 0, 'Summary, PPI''s'!M105)+IF(EC$26=".", 0, 'Summary, PPI''s'!B105)+IF(ED$26=".", 0, 'Summary, PPI''s'!C105)+IF(EE$26=".", 0, 'Summary, PPI''s'!D105)+IF(EO$26=".", 0, 'Summary, PPI''s'!N105)+IF(EP$26=".", 0, 'Summary, PPI''s'!O105)+IF(EQ$26=".", 0, 'Summary, PPI''s'!P105)</f>
        <v>968213.72698723024</v>
      </c>
      <c r="ET105" s="1">
        <f>'Summary, hourly ad costs'!E105+'Summary, hourly ad costs'!F105+'Summary, hourly ad costs'!H105+'Summary, hourly ad costs'!I105+'Summary, hourly ad costs'!J105+'Summary, hourly ad costs'!K105+'Summary, hourly ad costs'!L105+'Summary, hourly ad costs'!M105+'Summary, hourly ad costs'!B105</f>
        <v>600930.00391523493</v>
      </c>
      <c r="EV105" s="13">
        <f>EV104*IF(EF$26=".", 1, (EF105/EF104)^(('Summary, PPI''s'!$E105+'Summary, PPI''s'!$E104)/('Predicted PPIs'!ES105+'Predicted PPIs'!ES104)))*IF(EG$26=".", 1, (EG105/EG104)^(('Summary, PPI''s'!$F105+'Summary, PPI''s'!$F104)/('Predicted PPIs'!ES105+'Predicted PPIs'!ES104)))*IF(EH$26=".", 1, (EH105/EH104)^(('Summary, PPI''s'!$G105+'Summary, PPI''s'!$G104)/('Predicted PPIs'!ES105+'Predicted PPIs'!ES104)))*IF(EI$26=".", 1, (EI105/EI104)^(('Summary, PPI''s'!$H105+'Summary, PPI''s'!$H104)/('Predicted PPIs'!ES105+'Predicted PPIs'!ES104)))*IF(EJ$26=".", 1, (EJ105/EJ104)^(('Summary, PPI''s'!$I105+'Summary, PPI''s'!$I104)/('Predicted PPIs'!ES105+'Predicted PPIs'!ES104)))*IF(EK$26=".", 1, (EK105/EK104)^(('Summary, PPI''s'!$J105+'Summary, PPI''s'!$J104)/('Predicted PPIs'!ES105+'Predicted PPIs'!ES104)))*IF(EL$26=".", 1, (EL105/EL104)^(('Summary, PPI''s'!$K105+'Summary, PPI''s'!$K104)/('Predicted PPIs'!ES105+'Predicted PPIs'!ES104)))*IF(EM$26=".", 1, (EM105/EM104)^(('Summary, PPI''s'!$L105+'Summary, PPI''s'!$L104)/('Predicted PPIs'!ES105+'Predicted PPIs'!ES104)))*IF(EN$26=".", 1, (EN105/EN104)^(('Summary, PPI''s'!$M105+'Summary, PPI''s'!$M104)/('Predicted PPIs'!ES105+'Predicted PPIs'!ES104)))*IF(EC$26=".", 1, (EC105/EC104)^(('Summary, PPI''s'!$B105+'Summary, PPI''s'!$B104)/('Predicted PPIs'!ES105+'Predicted PPIs'!ES104)))*IF(ED$26=".", 1, (ED105/ED104)^(('Summary, PPI''s'!$C105+'Summary, PPI''s'!$C104)/('Predicted PPIs'!ES105+'Predicted PPIs'!ES104)))*IF(EE$26=".", 1, (EE105/EE104)^(('Summary, PPI''s'!$D105+'Summary, PPI''s'!$D104)/('Predicted PPIs'!ES105+'Predicted PPIs'!ES104)))*IF(EO$26=".", 1, (EO105/EO104)^(('Summary, PPI''s'!$N105+'Summary, PPI''s'!$N104)/('Predicted PPIs'!ES105+'Predicted PPIs'!ES104)))*IF(EP$26=".", 1, (EP105/EP104)^(('Summary, PPI''s'!$O105+'Summary, PPI''s'!$O104)/('Predicted PPIs'!ES105+'Predicted PPIs'!ES104)))*IF(EQ$26=".", 1, (EQ105/EQ104)^(('Summary, PPI''s'!$P105+'Summary, PPI''s'!$P104)/('Predicted PPIs'!ES105+'Predicted PPIs'!ES104)))</f>
        <v>2.6691805988177357</v>
      </c>
      <c r="EW105" s="13">
        <f>EW104*IF(EF$26=".", 1, (EF105/EF104)^(('Summary, PPI''s'!$E105+'Summary, PPI''s'!$E104)/('Predicted PPIs'!ET105+'Predicted PPIs'!ET104)))*IF(EG$26=".", 1, (EG105/EG104)^(('Summary, PPI''s'!$F105+'Summary, PPI''s'!$F104)/('Predicted PPIs'!ET105+'Predicted PPIs'!ET104)))*IF(EH$26=".", 1, (EH105/EH104)^(('Summary, PPI''s'!$G105+'Summary, PPI''s'!$G104)/('Predicted PPIs'!ET105+'Predicted PPIs'!ET104)))*IF(EK$26=".", 1, (EK105/EK104)^(('Summary, PPI''s'!$J105+'Summary, PPI''s'!$J104)/('Predicted PPIs'!ET105+'Predicted PPIs'!ET104)))*IF(EL$26=".", 1, (EL105/EL104)^(('Summary, PPI''s'!$K105+'Summary, PPI''s'!$K104)/('Predicted PPIs'!ET105+'Predicted PPIs'!ET104)))*IF(EM$26=".", 1, (EM105/EM104)^(('Summary, PPI''s'!$L105+'Summary, PPI''s'!$L104)/('Predicted PPIs'!ET105+'Predicted PPIs'!ET104)))*IF(EN$26=".", 1, (EN105/EN104)^(('Summary, PPI''s'!$M105+'Summary, PPI''s'!$M104)/('Predicted PPIs'!ET105+'Predicted PPIs'!ET104)))*IF(EC$26=".", 1, (EC105/EC104)^(('Summary, PPI''s'!$B105+'Summary, PPI''s'!$B104)/('Predicted PPIs'!ET105+'Predicted PPIs'!ET104)))</f>
        <v>5.1249994071497671</v>
      </c>
      <c r="EY105" s="2"/>
    </row>
    <row r="106" spans="1:155" x14ac:dyDescent="0.3">
      <c r="A106" s="4">
        <v>1917</v>
      </c>
      <c r="B106" s="10">
        <f>IF(B105=".", ".", IF('Summary, PPI''s'!R106=".",IF(OR('Summary, hourly ad costs'!R106=-9999,'Summary, hourly ad costs'!R106=0), ".", 'Predicted PPIs'!B105*('Summary, hourly ad costs'!B106/'Summary, hourly ad costs'!R106)/('Summary, hourly ad costs'!B105/'Summary, hourly ad costs'!R105)), 'Summary, PPI''s'!R106))</f>
        <v>54.210426613966753</v>
      </c>
      <c r="C106" s="10" t="str">
        <f>IF(C105=".", ".", IF('Summary, PPI''s'!S106=".",IF(OR('Summary, hourly ad costs'!S106=-9999,'Summary, hourly ad costs'!S106=0), ".", 'Predicted PPIs'!C105*('Summary, hourly ad costs'!C106/'Summary, hourly ad costs'!S106)/('Summary, hourly ad costs'!C105/'Summary, hourly ad costs'!S105)), 'Summary, PPI''s'!S106))</f>
        <v>.</v>
      </c>
      <c r="D106" s="10" t="str">
        <f>IF(D105=".", ".", IF('Summary, PPI''s'!T106=".",IF(OR('Summary, hourly ad costs'!T106=-9999,'Summary, hourly ad costs'!T106=0), ".", 'Predicted PPIs'!D105*('Summary, hourly ad costs'!D106/'Summary, hourly ad costs'!T106)/('Summary, hourly ad costs'!D105/'Summary, hourly ad costs'!T105)), 'Summary, PPI''s'!T106))</f>
        <v>.</v>
      </c>
      <c r="E106" s="10">
        <f>IF(E105=".", ".", IF('Summary, PPI''s'!U106=".",IF(OR('Summary, hourly ad costs'!U106=-9999,'Summary, hourly ad costs'!U106=0), ".", 'Predicted PPIs'!E105*('Summary, hourly ad costs'!E106/'Summary, hourly ad costs'!U106)/('Summary, hourly ad costs'!E105/'Summary, hourly ad costs'!U105)), 'Summary, PPI''s'!U106))</f>
        <v>1.3277285684323883</v>
      </c>
      <c r="F106" s="10">
        <f>IF(F105=".", ".", IF('Summary, PPI''s'!V106=".",IF(OR('Summary, hourly ad costs'!V106=-9999,'Summary, hourly ad costs'!V106=0), ".", 'Predicted PPIs'!F105*('Summary, hourly ad costs'!F106/'Summary, hourly ad costs'!V106)/('Summary, hourly ad costs'!F105/'Summary, hourly ad costs'!V105)), 'Summary, PPI''s'!V106))</f>
        <v>1.8772689041698944</v>
      </c>
      <c r="G106" s="10" t="str">
        <f>IF(G105=".", ".", IF('Summary, PPI''s'!W106=".",IF(OR('Summary, hourly ad costs'!W106=-9999,'Summary, hourly ad costs'!W106=0), ".", 'Predicted PPIs'!G105*('Summary, hourly ad costs'!G106/'Summary, hourly ad costs'!W106)/('Summary, hourly ad costs'!G105/'Summary, hourly ad costs'!W105)), 'Summary, PPI''s'!W106))</f>
        <v>.</v>
      </c>
      <c r="H106" s="10">
        <f>IF(H105=".", ".", IF('Summary, PPI''s'!X106=".",IF(OR('Summary, hourly ad costs'!X106=-9999,'Summary, hourly ad costs'!X106=0), ".", 'Predicted PPIs'!H105*('Summary, hourly ad costs'!H106/'Summary, hourly ad costs'!X106)/('Summary, hourly ad costs'!H105/'Summary, hourly ad costs'!X105)), 'Summary, PPI''s'!X106))</f>
        <v>1.3546952746810355</v>
      </c>
      <c r="I106" s="10" t="str">
        <f>IF(I105=".", ".", IF('Summary, PPI''s'!Y106=".",IF(OR('Summary, hourly ad costs'!Y106=-9999,'Summary, hourly ad costs'!Y106=0), ".", 'Predicted PPIs'!I105*('Summary, hourly ad costs'!I106/'Summary, hourly ad costs'!Y106)/('Summary, hourly ad costs'!I105/'Summary, hourly ad costs'!Y105)), 'Summary, PPI''s'!Y106))</f>
        <v>.</v>
      </c>
      <c r="J106" s="10" t="str">
        <f>IF(J105=".", ".", IF('Summary, PPI''s'!Z106=".",IF(OR('Summary, hourly ad costs'!Z106=-9999,'Summary, hourly ad costs'!Z106=0), ".", 'Predicted PPIs'!J105*('Summary, hourly ad costs'!J106/'Summary, hourly ad costs'!Z106)/('Summary, hourly ad costs'!J105/'Summary, hourly ad costs'!Z105)), 'Summary, PPI''s'!Z106))</f>
        <v>.</v>
      </c>
      <c r="K106" s="10" t="str">
        <f>IF(K105=".", ".", IF('Summary, PPI''s'!AA106=".",IF(OR('Summary, hourly ad costs'!AA106=-9999,'Summary, hourly ad costs'!AA106=0), ".", 'Predicted PPIs'!K105*('Summary, hourly ad costs'!K106/'Summary, hourly ad costs'!AA106)/('Summary, hourly ad costs'!K105/'Summary, hourly ad costs'!AA105)), 'Summary, PPI''s'!AA106))</f>
        <v>.</v>
      </c>
      <c r="L106" s="10" t="str">
        <f>IF(L105=".", ".", IF('Summary, PPI''s'!AB106=".",IF(OR('Summary, hourly ad costs'!AB106=-9999,'Summary, hourly ad costs'!AB106=0), ".", 'Predicted PPIs'!L105*('Summary, hourly ad costs'!L106/'Summary, hourly ad costs'!AB106)/('Summary, hourly ad costs'!L105/'Summary, hourly ad costs'!AB105)), 'Summary, PPI''s'!AB106))</f>
        <v>.</v>
      </c>
      <c r="M106" s="10" t="str">
        <f>IF(M105=".", ".", IF('Summary, PPI''s'!AC106=".",IF(OR('Summary, hourly ad costs'!AC106=-9999,'Summary, hourly ad costs'!AC106=0), ".", 'Predicted PPIs'!M105*('Summary, hourly ad costs'!M106/'Summary, hourly ad costs'!AC106)/('Summary, hourly ad costs'!M105/'Summary, hourly ad costs'!AC105)), 'Summary, PPI''s'!AC106))</f>
        <v>.</v>
      </c>
      <c r="N106" s="10" t="str">
        <f>IF(N105=".", ".", IF('Summary, PPI''s'!AD106=".",IF(OR('Summary, hourly ad costs'!AD106=-9999,'Summary, hourly ad costs'!AD106=0), ".", 'Predicted PPIs'!N105*('Summary, hourly ad costs'!N106/'Summary, hourly ad costs'!AD106)/('Summary, hourly ad costs'!N105/'Summary, hourly ad costs'!AD105)), 'Summary, PPI''s'!AD106))</f>
        <v>.</v>
      </c>
      <c r="O106" s="10" t="str">
        <f>IF(O105=".", ".", IF('Summary, PPI''s'!AE106=".",IF(OR('Summary, hourly ad costs'!AE106=-9999,'Summary, hourly ad costs'!AE106=0), ".", 'Predicted PPIs'!O105*('Summary, hourly ad costs'!O106/'Summary, hourly ad costs'!AE106)/('Summary, hourly ad costs'!O105/'Summary, hourly ad costs'!AE105)), 'Summary, PPI''s'!AE106))</f>
        <v>.</v>
      </c>
      <c r="P106" s="10" t="str">
        <f>IF(P105=".", ".", IF('Summary, PPI''s'!AF106=".",IF(OR('Summary, hourly ad costs'!AF106=-9999,'Summary, hourly ad costs'!AF106=0), ".", 'Predicted PPIs'!P105*('Summary, hourly ad costs'!P106/'Summary, hourly ad costs'!AF106)/('Summary, hourly ad costs'!P105/'Summary, hourly ad costs'!AF105)), 'Summary, PPI''s'!AF106))</f>
        <v>.</v>
      </c>
      <c r="R106" s="1">
        <f>IF(E$26=".", 0, 'Summary, PPI''s'!E106)+IF(F$26=".", 0, 'Summary, PPI''s'!F106)+IF(G$26=".", 0, 'Summary, PPI''s'!G106)+IF(H$26=".", 0, 'Summary, PPI''s'!H106)+IF(I$26=".", 0, 'Summary, PPI''s'!I106)+IF(J$26=".", 0, 'Summary, PPI''s'!J106)+IF(K$26=".", 0, 'Summary, PPI''s'!K106)+IF(L$26=".", 0, 'Summary, PPI''s'!L106)+IF(M$26=".", 0, 'Summary, PPI''s'!M106)+IF(B$26=".", 0, 'Summary, PPI''s'!B106)+IF(C$26=".", 0, 'Summary, PPI''s'!C106)+IF(D$26=".", 0, 'Summary, PPI''s'!D106)+IF(N$26=".", 0, 'Summary, PPI''s'!N106)+IF(O$26=".", 0, 'Summary, PPI''s'!O106)+IF(P$26=".", 0, 'Summary, PPI''s'!P106)</f>
        <v>1042330.4969532613</v>
      </c>
      <c r="S106" s="1">
        <f>IF(E$36=".", 0, 'Summary, PPI''s'!E106)+IF(F$36=".", 0, 'Summary, PPI''s'!F106)+IF(G$36=".", 0, 'Summary, PPI''s'!G106)+IF(H$36=".", 0, 'Summary, PPI''s'!H106)+IF(I$36=".", 0, 'Summary, PPI''s'!I106)+IF(J$36=".", 0, 'Summary, PPI''s'!J106)+IF(K$36=".", 0, 'Summary, PPI''s'!K106)+IF(L$36=".", 0, 'Summary, PPI''s'!L106)+IF(M$36=".", 0, 'Summary, PPI''s'!M106)+IF(B$36=".", 0, 'Summary, PPI''s'!B106)+IF(C$36=".", 0, 'Summary, PPI''s'!C106)+IF(D$36=".", 0, 'Summary, PPI''s'!D106)+IF(N$36=".", 0, 'Summary, PPI''s'!N106)+IF(O$36=".", 0, 'Summary, PPI''s'!O106)+IF(P$36=".", 0, 'Summary, PPI''s'!P106)</f>
        <v>1042330.4969532613</v>
      </c>
      <c r="T106" s="1">
        <f>IF(E$46=".", 0, 'Summary, PPI''s'!E106)+IF(F$46=".", 0, 'Summary, PPI''s'!F106)+IF(G$46=".", 0, 'Summary, PPI''s'!G106)+IF(H$46=".", 0, 'Summary, PPI''s'!H106)+IF(I$46=".", 0, 'Summary, PPI''s'!I106)+IF(J$46=".", 0, 'Summary, PPI''s'!J106)+IF(K$46=".", 0, 'Summary, PPI''s'!K106)+IF(L$46=".", 0, 'Summary, PPI''s'!L106)+IF(M$46=".", 0, 'Summary, PPI''s'!M106)+IF(B$46=".", 0, 'Summary, PPI''s'!B106)+IF(C$46=".", 0, 'Summary, PPI''s'!C106)+IF(D$46=".", 0, 'Summary, PPI''s'!D106)+IF(N$46=".", 0, 'Summary, PPI''s'!N106)+IF(O$46=".", 0, 'Summary, PPI''s'!O106)+IF(P$46=".", 0, 'Summary, PPI''s'!P106)</f>
        <v>928640.82736648933</v>
      </c>
      <c r="U106" s="1">
        <f>IF(E$60=".", 0, 'Summary, PPI''s'!E106)+IF(F$60=".", 0, 'Summary, PPI''s'!F106)+IF(G$60=".", 0, 'Summary, PPI''s'!G106)+IF(H$60=".", 0, 'Summary, PPI''s'!H106)+IF(I$60=".", 0, 'Summary, PPI''s'!I106)+IF(J$60=".", 0, 'Summary, PPI''s'!J106)+IF(K$60=".", 0, 'Summary, PPI''s'!K106)+IF(L$60=".", 0, 'Summary, PPI''s'!L106)+IF(M$60=".", 0, 'Summary, PPI''s'!M106)+IF(B$60=".", 0, 'Summary, PPI''s'!B106)+IF(C$60=".", 0, 'Summary, PPI''s'!C106)+IF(D$60=".", 0, 'Summary, PPI''s'!D106)+IF(N$60=".", 0, 'Summary, PPI''s'!N106)+IF(O$60=".", 0, 'Summary, PPI''s'!O106)+IF(P$60=".", 0, 'Summary, PPI''s'!P106)</f>
        <v>879461.04929494648</v>
      </c>
      <c r="V106" s="1">
        <f>IF(E$73=".", 0, 'Summary, PPI''s'!E106)+IF(F$73=".", 0, 'Summary, PPI''s'!F106)+IF(G$73=".", 0, 'Summary, PPI''s'!G106)+IF(H$73=".", 0, 'Summary, PPI''s'!H106)+IF(I$73=".", 0, 'Summary, PPI''s'!I106)+IF(J$73=".", 0, 'Summary, PPI''s'!J106)+IF(K$73=".", 0, 'Summary, PPI''s'!K106)+IF(L$73=".", 0, 'Summary, PPI''s'!L106)+IF(M$73=".", 0, 'Summary, PPI''s'!M106)+IF(B$73=".", 0, 'Summary, PPI''s'!B106)+IF(C$73=".", 0, 'Summary, PPI''s'!C106)+IF(D$73=".", 0, 'Summary, PPI''s'!D106)+IF(N$73=".", 0, 'Summary, PPI''s'!N106)+IF(O$73=".", 0, 'Summary, PPI''s'!O106)+IF(P$73=".", 0, 'Summary, PPI''s'!P106)</f>
        <v>640861.27593573753</v>
      </c>
      <c r="W106" s="1">
        <f>IF(E$94=".",0,'Summary, PPI''s'!E106)+IF(F$94=".",0,'Summary, PPI''s'!F106)+IF(G$94=".",0,'Summary, PPI''s'!G106)+IF(H$94=".",0,'Summary, PPI''s'!H106)+IF(I$94=".",0,'Summary, PPI''s'!I106)+IF(J$94=".",0,'Summary, PPI''s'!J106)+IF(K$94=".",0,'Summary, PPI''s'!K106)+IF(L$94=".",0,'Summary, PPI''s'!L106)+IF(M$94=".",0,'Summary, PPI''s'!M106)+IF(B$94=".",0,'Summary, PPI''s'!B106)+IF(C$94=".",0,'Summary, PPI''s'!C106)+IF(D$94=".",0,'Summary, PPI''s'!D106)+IF(N$94=".",0,'Summary, PPI''s'!N106)+IF(O$94=".",0,'Summary, PPI''s'!O106)+IF(P$94=".",0,'Summary, PPI''s'!P106)</f>
        <v>640861.27593573753</v>
      </c>
      <c r="X106" s="1">
        <f>IF(E$123=".", 0, 'Summary, PPI''s'!E106)+IF(F$123=".", 0, 'Summary, PPI''s'!F106)+IF(G$123=".", 0, 'Summary, PPI''s'!G106)+IF(H$123=".", 0, 'Summary, PPI''s'!H106)+IF(I$123=".", 0, 'Summary, PPI''s'!I106)+IF(J$123=".", 0, 'Summary, PPI''s'!J106)+IF(K$123=".", 0, 'Summary, PPI''s'!K106)+IF(L$123=".", 0, 'Summary, PPI''s'!L106)+IF(M$123=".", 0, 'Summary, PPI''s'!M106)+IF(B$123=".", 0, 'Summary, PPI''s'!B106)+IF(C$123=".", 0, 'Summary, PPI''s'!C106)+IF(D$123=".", 0, 'Summary, PPI''s'!D106)+IF(N$123=".", 0, 'Summary, PPI''s'!N106)+IF(O$123=".", 0, 'Summary, PPI''s'!O106)+IF(P$123=".", 0, 'Summary, PPI''s'!P106)</f>
        <v>640861.27593573753</v>
      </c>
      <c r="Z106" s="4" t="e">
        <f>Z105*IF(E$26=".", 1, (E106/E105)^(('Summary, PPI''s'!$E106+'Summary, PPI''s'!$E105)/('Predicted PPIs'!R106+'Predicted PPIs'!R105)))*IF(F$26=".", 1, (F106/F105)^(('Summary, PPI''s'!$F106+'Summary, PPI''s'!$F105)/('Predicted PPIs'!R106+'Predicted PPIs'!R105)))*IF(G$26=".", 1, (G106/G105)^(('Summary, PPI''s'!$G106+'Summary, PPI''s'!$G105)/('Predicted PPIs'!R106+'Predicted PPIs'!R105)))*IF(H$26=".", 1, (H106/H105)^(('Summary, PPI''s'!$H106+'Summary, PPI''s'!$H105)/('Predicted PPIs'!R106+'Predicted PPIs'!R105)))*IF(I$26=".", 1, (I106/I105)^(('Summary, PPI''s'!$I106+'Summary, PPI''s'!$I105)/('Predicted PPIs'!R106+'Predicted PPIs'!R105)))*IF(J$26=".", 1, (J106/J105)^(('Summary, PPI''s'!$J106+'Summary, PPI''s'!$J105)/('Predicted PPIs'!R106+'Predicted PPIs'!R105)))*IF(K$26=".", 1, (K106/K105)^(('Summary, PPI''s'!$K106+'Summary, PPI''s'!$K105)/('Predicted PPIs'!R106+'Predicted PPIs'!R105)))*IF(L$26=".", 1, (L106/L105)^(('Summary, PPI''s'!$L106+'Summary, PPI''s'!$L105)/('Predicted PPIs'!R106+'Predicted PPIs'!R105)))*IF(M$26=".", 1, (M106/M105)^(('Summary, PPI''s'!$M106+'Summary, PPI''s'!$M105)/('Predicted PPIs'!R106+'Predicted PPIs'!R105)))*IF(B$26=".", 1, (B106/B105)^(('Summary, PPI''s'!$B106+'Summary, PPI''s'!$B105)/('Predicted PPIs'!R106+'Predicted PPIs'!R105)))*IF(C$26=".", 1, (C106/C105)^(('Summary, PPI''s'!$C106+'Summary, PPI''s'!$C105)/('Predicted PPIs'!R106+'Predicted PPIs'!R105)))*IF(D$26=".", 1, (D106/D105)^(('Summary, PPI''s'!$D106+'Summary, PPI''s'!$D105)/('Predicted PPIs'!R106+'Predicted PPIs'!R105)))*IF(N$26=".", 1, (N106/N105)^(('Summary, PPI''s'!$N106+'Summary, PPI''s'!$N105)/('Predicted PPIs'!R106+'Predicted PPIs'!R105)))*IF(O$26=".", 1, (O106/O105)^(('Summary, PPI''s'!$O106+'Summary, PPI''s'!$O105)/('Predicted PPIs'!R106+'Predicted PPIs'!R105)))*IF(P$26=".", 1, (P106/P105)^(('Summary, PPI''s'!$P106+'Summary, PPI''s'!$P105)/('Predicted PPIs'!R106+'Predicted PPIs'!R105)))</f>
        <v>#VALUE!</v>
      </c>
      <c r="AA106" s="4" t="e">
        <f>AA105*IF(E$36=".", 1, (E106/E105)^(('Summary, PPI''s'!$E106+'Summary, PPI''s'!$E105)/('Predicted PPIs'!S106+'Predicted PPIs'!S105)))*IF(F$36=".", 1, (F106/F105)^(('Summary, PPI''s'!$F106+'Summary, PPI''s'!$F105)/('Predicted PPIs'!S106+'Predicted PPIs'!S105)))*IF(G$36=".", 1, (G106/G105)^(('Summary, PPI''s'!$G106+'Summary, PPI''s'!$G105)/('Predicted PPIs'!S106+'Predicted PPIs'!S105)))*IF(H$36=".", 1, (H106/H105)^(('Summary, PPI''s'!$H106+'Summary, PPI''s'!$H105)/('Predicted PPIs'!S106+'Predicted PPIs'!S105)))*IF(I$36=".", 1, (I106/I105)^(('Summary, PPI''s'!$I106+'Summary, PPI''s'!$I105)/('Predicted PPIs'!S106+'Predicted PPIs'!S105)))*IF(J$36=".", 1, (J106/J105)^(('Summary, PPI''s'!$J106+'Summary, PPI''s'!$J105)/('Predicted PPIs'!S106+'Predicted PPIs'!S105)))*IF(K$36=".", 1, (K106/K105)^(('Summary, PPI''s'!$K106+'Summary, PPI''s'!$K105)/('Predicted PPIs'!S106+'Predicted PPIs'!S105)))*IF(L$36=".", 1, (L106/L105)^(('Summary, PPI''s'!$L106+'Summary, PPI''s'!$L105)/('Predicted PPIs'!S106+'Predicted PPIs'!S105)))*IF(M$36=".", 1, (M106/M105)^(('Summary, PPI''s'!$M106+'Summary, PPI''s'!$M105)/('Predicted PPIs'!S106+'Predicted PPIs'!S105)))*IF(B$36=".", 1, (B106/B105)^(('Summary, PPI''s'!$B106+'Summary, PPI''s'!$B105)/('Predicted PPIs'!S106+'Predicted PPIs'!S105)))*IF(C$36=".", 1, (C106/C105)^(('Summary, PPI''s'!$C106+'Summary, PPI''s'!$C105)/('Predicted PPIs'!S106+'Predicted PPIs'!S105)))*IF(D$36=".", 1, (D106/D105)^(('Summary, PPI''s'!$D106+'Summary, PPI''s'!$D105)/('Predicted PPIs'!S106+'Predicted PPIs'!S105)))*IF(N$36=".", 1, (N106/N105)^(('Summary, PPI''s'!$N106+'Summary, PPI''s'!$N105)/('Predicted PPIs'!S106+'Predicted PPIs'!S105)))*IF(O$36=".", 1, (O106/O105)^(('Summary, PPI''s'!$O106+'Summary, PPI''s'!$O105)/('Predicted PPIs'!S106+'Predicted PPIs'!S105)))*IF(P$36=".", 1, (P106/P105)^(('Summary, PPI''s'!$P106+'Summary, PPI''s'!$P105)/('Predicted PPIs'!S106+'Predicted PPIs'!S105)))</f>
        <v>#VALUE!</v>
      </c>
      <c r="AB106" s="4" t="e">
        <f>AB105*IF(E$46=".", 1, (E106/E105)^(('Summary, PPI''s'!$E106+'Summary, PPI''s'!$E105)/('Predicted PPIs'!T106+'Predicted PPIs'!T105)))*IF(F$46=".", 1, (F106/F105)^(('Summary, PPI''s'!$F106+'Summary, PPI''s'!$F105)/('Predicted PPIs'!T106+'Predicted PPIs'!T105)))*IF(G$46=".", 1, (G106/G105)^(('Summary, PPI''s'!$G106+'Summary, PPI''s'!$G105)/('Predicted PPIs'!T106+'Predicted PPIs'!T105)))*IF(H$46=".", 1, (H106/H105)^(('Summary, PPI''s'!$H106+'Summary, PPI''s'!$H105)/('Predicted PPIs'!T106+'Predicted PPIs'!T105)))*IF(I$46=".", 1, (I106/I105)^(('Summary, PPI''s'!$I106+'Summary, PPI''s'!$I105)/('Predicted PPIs'!T106+'Predicted PPIs'!T105)))*IF(J$46=".", 1, (J106/J105)^(('Summary, PPI''s'!$J106+'Summary, PPI''s'!$J105)/('Predicted PPIs'!T106+'Predicted PPIs'!T105)))*IF(K$46=".", 1, (K106/K105)^(('Summary, PPI''s'!$K106+'Summary, PPI''s'!$K105)/('Predicted PPIs'!T106+'Predicted PPIs'!T105)))*IF(L$46=".", 1, (L106/L105)^(('Summary, PPI''s'!$L106+'Summary, PPI''s'!$L105)/('Predicted PPIs'!T106+'Predicted PPIs'!T105)))*IF(M$46=".", 1, (M106/M105)^(('Summary, PPI''s'!$M106+'Summary, PPI''s'!$M105)/('Predicted PPIs'!T106+'Predicted PPIs'!T105)))*IF(B$46=".", 1, (B106/B105)^(('Summary, PPI''s'!$B106+'Summary, PPI''s'!$B105)/('Predicted PPIs'!T106+'Predicted PPIs'!T105)))*IF(C$46=".", 1, (C106/C105)^(('Summary, PPI''s'!$C106+'Summary, PPI''s'!$C105)/('Predicted PPIs'!T106+'Predicted PPIs'!T105)))*IF(D$46=".", 1, (D106/D105)^(('Summary, PPI''s'!$D106+'Summary, PPI''s'!$D105)/('Predicted PPIs'!T106+'Predicted PPIs'!T105)))*IF(N$46=".", 1, (N106/N105)^(('Summary, PPI''s'!$N106+'Summary, PPI''s'!$N105)/('Predicted PPIs'!T106+'Predicted PPIs'!T105)))*IF(O$46=".", 1, (O106/O105)^(('Summary, PPI''s'!$O106+'Summary, PPI''s'!$O105)/('Predicted PPIs'!T106+'Predicted PPIs'!T105)))*IF(P$46=".", 1, (P106/P105)^(('Summary, PPI''s'!$P106+'Summary, PPI''s'!$P105)/('Predicted PPIs'!T106+'Predicted PPIs'!T105)))</f>
        <v>#VALUE!</v>
      </c>
      <c r="AC106" s="4" t="e">
        <f>AC105*IF(E$60=".",1,(E106/E105)^(('Summary, PPI''s'!$E106+'Summary, PPI''s'!$E105)/('Predicted PPIs'!U106+'Predicted PPIs'!U105)))*IF(F$60=".",1,(F106/F105)^(('Summary, PPI''s'!$F106+'Summary, PPI''s'!$F105)/('Predicted PPIs'!U106+'Predicted PPIs'!U105)))*IF(G$60=".",1,(G106/G105)^(('Summary, PPI''s'!$G106+'Summary, PPI''s'!$G105)/('Predicted PPIs'!U106+'Predicted PPIs'!U105)))*IF(H$60=".",1,(H106/H105)^(('Summary, PPI''s'!$H106+'Summary, PPI''s'!$H105)/('Predicted PPIs'!U106+'Predicted PPIs'!U105)))*IF(I$60=".",1,(I106/I105)^(('Summary, PPI''s'!$I106+'Summary, PPI''s'!$I105)/('Predicted PPIs'!U106+'Predicted PPIs'!U105)))*IF(J$60=".",1,(J106/J105)^(('Summary, PPI''s'!$J106+'Summary, PPI''s'!$J105)/('Predicted PPIs'!U106+'Predicted PPIs'!U105)))*IF(K$60=".",1,(K106/K105)^(('Summary, PPI''s'!$K106+'Summary, PPI''s'!$K105)/('Predicted PPIs'!U106+'Predicted PPIs'!U105)))*IF(L$60=".",1,(L106/L105)^(('Summary, PPI''s'!$L106+'Summary, PPI''s'!$L105)/('Predicted PPIs'!U106+'Predicted PPIs'!U105)))*IF(M$60=".",1,(M106/M105)^(('Summary, PPI''s'!$M106+'Summary, PPI''s'!$M105)/('Predicted PPIs'!U106+'Predicted PPIs'!U105)))*IF(B$60=".",1,(B106/B105)^(('Summary, PPI''s'!$B106+'Summary, PPI''s'!$B105)/('Predicted PPIs'!U106+'Predicted PPIs'!U105)))*IF(C$60=".",1,(C106/C105)^(('Summary, PPI''s'!$C106+'Summary, PPI''s'!$C105)/('Predicted PPIs'!U106+'Predicted PPIs'!U105)))*IF(D$60=".",1,(D106/D105)^(('Summary, PPI''s'!$D106+'Summary, PPI''s'!$D105)/('Predicted PPIs'!U106+'Predicted PPIs'!U105)))*IF(N$60=".",1,(N106/N105)^(('Summary, PPI''s'!$N106+'Summary, PPI''s'!$N105)/('Predicted PPIs'!U106+'Predicted PPIs'!U105)))*IF(O$60=".",1,(O106/O105)^(('Summary, PPI''s'!$O106+'Summary, PPI''s'!$O105)/('Predicted PPIs'!U106+'Predicted PPIs'!U105)))*IF(P$60=".",1,(P106/P105)^(('Summary, PPI''s'!$P106+'Summary, PPI''s'!$P105)/('Predicted PPIs'!U106+'Predicted PPIs'!U105)))</f>
        <v>#VALUE!</v>
      </c>
      <c r="AD106" s="4" t="e">
        <f>AD105*IF(E$73=".", 1, (E106/E105)^(('Summary, PPI''s'!$E106+'Summary, PPI''s'!$E105)/('Predicted PPIs'!V106+'Predicted PPIs'!V105)))*IF(F$73=".", 1, (F106/F105)^(('Summary, PPI''s'!$F106+'Summary, PPI''s'!$F105)/('Predicted PPIs'!V106+'Predicted PPIs'!V105)))*IF(G$73=".", 1, (G106/G105)^(('Summary, PPI''s'!$G106+'Summary, PPI''s'!$G105)/('Predicted PPIs'!V106+'Predicted PPIs'!V105)))*IF(H$73=".", 1, (H106/H105)^(('Summary, PPI''s'!$H106+'Summary, PPI''s'!$H105)/('Predicted PPIs'!V106+'Predicted PPIs'!V105)))*IF(I$73=".", 1, (I106/I105)^(('Summary, PPI''s'!$I106+'Summary, PPI''s'!$I105)/('Predicted PPIs'!V106+'Predicted PPIs'!V105)))*IF(J$73=".", 1, (J106/J105)^(('Summary, PPI''s'!$J106+'Summary, PPI''s'!$J105)/('Predicted PPIs'!V106+'Predicted PPIs'!V105)))*IF(K$73=".", 1, (K106/K105)^(('Summary, PPI''s'!$K106+'Summary, PPI''s'!$K105)/('Predicted PPIs'!V106+'Predicted PPIs'!V105)))*IF(L$73=".", 1, (L106/L105)^(('Summary, PPI''s'!$L106+'Summary, PPI''s'!$L105)/('Predicted PPIs'!V106+'Predicted PPIs'!V105)))*IF(M$73=".", 1, (M106/M105)^(('Summary, PPI''s'!$M106+'Summary, PPI''s'!$M105)/('Predicted PPIs'!V106+'Predicted PPIs'!V105)))*IF(B$73=".", 1, (B106/B105)^(('Summary, PPI''s'!$B106+'Summary, PPI''s'!$B105)/('Predicted PPIs'!V106+'Predicted PPIs'!V105)))*IF(C$73=".", 1, (C106/C105)^(('Summary, PPI''s'!$C106+'Summary, PPI''s'!$C105)/('Predicted PPIs'!V106+'Predicted PPIs'!V105)))*IF(D$73=".", 1, (D106/D105)^(('Summary, PPI''s'!$D106+'Summary, PPI''s'!$D105)/('Predicted PPIs'!V106+'Predicted PPIs'!V105)))*IF(N$73=".", 1, (N106/N105)^(('Summary, PPI''s'!$N106+'Summary, PPI''s'!$N105)/('Predicted PPIs'!V106+'Predicted PPIs'!V105)))*IF(O$73=".", 1, (O106/O105)^(('Summary, PPI''s'!$O106+'Summary, PPI''s'!$O105)/('Predicted PPIs'!V106+'Predicted PPIs'!V105)))*IF(P$73=".", 1, (P106/P105)^(('Summary, PPI''s'!$P106+'Summary, PPI''s'!$P105)/('Predicted PPIs'!V106+'Predicted PPIs'!V105)))</f>
        <v>#VALUE!</v>
      </c>
      <c r="AE106" s="4" t="e">
        <f>AE105*IF(E$94=".", 1, (E106/E105)^(('Summary, PPI''s'!$E106+'Summary, PPI''s'!$E105)/('Predicted PPIs'!W106+'Predicted PPIs'!W105)))*IF(F$94=".", 1, (F106/F105)^(('Summary, PPI''s'!$F106+'Summary, PPI''s'!$F105)/('Predicted PPIs'!W106+'Predicted PPIs'!W105)))*IF(G$94=".", 1, (G106/G105)^(('Summary, PPI''s'!$G106+'Summary, PPI''s'!$G105)/('Predicted PPIs'!W106+'Predicted PPIs'!W105)))*IF(H$94=".", 1, (H106/H105)^(('Summary, PPI''s'!$H106+'Summary, PPI''s'!$H105)/('Predicted PPIs'!W106+'Predicted PPIs'!W105)))*IF(I$94=".", 1, (I106/I105)^(('Summary, PPI''s'!$I106+'Summary, PPI''s'!$I105)/('Predicted PPIs'!W106+'Predicted PPIs'!W105)))*IF(J$94=".", 1, (J106/J105)^(('Summary, PPI''s'!$J106+'Summary, PPI''s'!$J105)/('Predicted PPIs'!W106+'Predicted PPIs'!W105)))*IF(K$94=".", 1, (K106/K105)^(('Summary, PPI''s'!$K106+'Summary, PPI''s'!$K105)/('Predicted PPIs'!W106+'Predicted PPIs'!W105)))*IF(L$94=".", 1, (L106/L105)^(('Summary, PPI''s'!$L106+'Summary, PPI''s'!$L105)/('Predicted PPIs'!W106+'Predicted PPIs'!W105)))*IF(M$94=".", 1, (M106/M105)^(('Summary, PPI''s'!$M106+'Summary, PPI''s'!$M105)/('Predicted PPIs'!W106+'Predicted PPIs'!W105)))*IF(B$94=".", 1, (B106/B105)^(('Summary, PPI''s'!$B106+'Summary, PPI''s'!$B105)/('Predicted PPIs'!W106+'Predicted PPIs'!W105)))*IF(C$94=".", 1, (C106/C105)^(('Summary, PPI''s'!$C106+'Summary, PPI''s'!$C105)/('Predicted PPIs'!W106+'Predicted PPIs'!W105)))*IF(D$94=".", 1, (D106/D105)^(('Summary, PPI''s'!$D106+'Summary, PPI''s'!$D105)/('Predicted PPIs'!W106+'Predicted PPIs'!W105)))*IF(N$94=".", 1, (N106/N105)^(('Summary, PPI''s'!$N106+'Summary, PPI''s'!$N105)/('Predicted PPIs'!W106+'Predicted PPIs'!W105)))*IF(O$94=".", 1, (O106/O105)^(('Summary, PPI''s'!$O106+'Summary, PPI''s'!$O105)/('Predicted PPIs'!W106+'Predicted PPIs'!W105)))*IF(P$94=".", 1, (P106/P105)^(('Summary, PPI''s'!$P106+'Summary, PPI''s'!$P105)/('Predicted PPIs'!W106+'Predicted PPIs'!W105)))</f>
        <v>#VALUE!</v>
      </c>
      <c r="AF106" s="4">
        <f>AF105*IF(E$123=".", 1, (E106/E105)^(('Summary, PPI''s'!$E106+'Summary, PPI''s'!$E105)/('Predicted PPIs'!X106+'Predicted PPIs'!X105)))*IF(F$123=".", 1, (F106/F105)^(('Summary, PPI''s'!$F106+'Summary, PPI''s'!$F105)/('Predicted PPIs'!X106+'Predicted PPIs'!X105)))*IF(G$123=".", 1, (G106/G105)^(('Summary, PPI''s'!$G106+'Summary, PPI''s'!$G105)/('Predicted PPIs'!X106+'Predicted PPIs'!X105)))*IF(H$123=".", 1, (H106/H105)^(('Summary, PPI''s'!$H106+'Summary, PPI''s'!$H105)/('Predicted PPIs'!X106+'Predicted PPIs'!X105)))*IF(I$123=".", 1, (I106/I105)^(('Summary, PPI''s'!$I106+'Summary, PPI''s'!$I105)/('Predicted PPIs'!X106+'Predicted PPIs'!X105)))*IF(J$123=".", 1, (J106/J105)^(('Summary, PPI''s'!$J106+'Summary, PPI''s'!$J105)/('Predicted PPIs'!X106+'Predicted PPIs'!X105)))*IF(K$123=".", 1, (K106/K105)^(('Summary, PPI''s'!$K106+'Summary, PPI''s'!$K105)/('Predicted PPIs'!X106+'Predicted PPIs'!X105)))*IF(L$123=".", 1, (L106/L105)^(('Summary, PPI''s'!$L106+'Summary, PPI''s'!$L105)/('Predicted PPIs'!X106+'Predicted PPIs'!X105)))*IF(M$123=".", 1, (M106/M105)^(('Summary, PPI''s'!$M106+'Summary, PPI''s'!$M105)/('Predicted PPIs'!X106+'Predicted PPIs'!X105)))*IF(B$123=".", 1, (B106/B105)^(('Summary, PPI''s'!$B106+'Summary, PPI''s'!$B105)/('Predicted PPIs'!X106+'Predicted PPIs'!X105)))*IF(C$123=".", 1, (C106/C105)^(('Summary, PPI''s'!$C106+'Summary, PPI''s'!$C105)/('Predicted PPIs'!X106+'Predicted PPIs'!X105)))*IF(D$123=".", 1, (D106/D105)^(('Summary, PPI''s'!$D106+'Summary, PPI''s'!$D105)/('Predicted PPIs'!X106+'Predicted PPIs'!X105)))*IF(N$123=".", 1, (N106/N105)^(('Summary, PPI''s'!$N106+'Summary, PPI''s'!$N105)/('Predicted PPIs'!X106+'Predicted PPIs'!X105)))*IF(O$123=".", 1, (O106/O105)^(('Summary, PPI''s'!$O106+'Summary, PPI''s'!$O105)/('Predicted PPIs'!X106+'Predicted PPIs'!X105)))*IF(P$123=".", 1, (P106/P105)^(('Summary, PPI''s'!$P106+'Summary, PPI''s'!$P105)/('Predicted PPIs'!X106+'Predicted PPIs'!X105)))</f>
        <v>2.8084502706439904</v>
      </c>
      <c r="AH106" s="13">
        <f t="shared" si="212"/>
        <v>4.010626844601858</v>
      </c>
      <c r="AJ106" s="4">
        <f t="shared" si="207"/>
        <v>35.655924988792506</v>
      </c>
      <c r="AK106" s="4">
        <f t="shared" si="191"/>
        <v>-0.78912919258141534</v>
      </c>
      <c r="AL106" s="4">
        <f t="shared" si="192"/>
        <v>-2.7032166386851983</v>
      </c>
      <c r="AM106" s="4">
        <f t="shared" si="193"/>
        <v>-0.4205925001907953</v>
      </c>
      <c r="AN106" s="4">
        <f t="shared" si="176"/>
        <v>47.548574460038935</v>
      </c>
      <c r="AO106" s="4">
        <v>7.7</v>
      </c>
      <c r="AP106" s="4">
        <f t="shared" si="177"/>
        <v>-0.71235294117647063</v>
      </c>
      <c r="AQ106" s="4">
        <f t="shared" si="178"/>
        <v>-1.3466764705882346</v>
      </c>
      <c r="AR106" s="4">
        <f t="shared" si="210"/>
        <v>-6.559739563501546E-5</v>
      </c>
      <c r="AS106" s="4">
        <f t="shared" si="208"/>
        <v>-0.1348418759078647</v>
      </c>
      <c r="AT106" s="4">
        <f t="shared" si="194"/>
        <v>6.4173835748792287</v>
      </c>
      <c r="AU106" s="4">
        <f t="shared" si="195"/>
        <v>10.567006280193239</v>
      </c>
      <c r="AV106" s="4">
        <f t="shared" si="196"/>
        <v>8.2184758454106284</v>
      </c>
      <c r="AW106" s="4">
        <f t="shared" si="197"/>
        <v>4.5955811594202913</v>
      </c>
      <c r="AX106" s="4">
        <f t="shared" si="198"/>
        <v>6.1127479312750497</v>
      </c>
      <c r="AY106" s="4">
        <f t="shared" si="199"/>
        <v>7.187800966183576</v>
      </c>
      <c r="AZ106" s="4">
        <f t="shared" si="200"/>
        <v>2.456913526570049</v>
      </c>
      <c r="BA106" s="4">
        <f t="shared" si="201"/>
        <v>6.6555502415458925</v>
      </c>
      <c r="BB106" s="4">
        <f t="shared" si="202"/>
        <v>38.068106781482221</v>
      </c>
      <c r="BC106" s="4">
        <f t="shared" si="203"/>
        <v>6.2385859903381657</v>
      </c>
      <c r="BD106" s="5">
        <f>'[2]Ordinary Experience'!$AD$320</f>
        <v>142.9</v>
      </c>
      <c r="BE106" s="5">
        <f>'[2]Ordinary Experience'!$AC$320</f>
        <v>1.1882443875765747</v>
      </c>
      <c r="BG106" s="4">
        <f t="shared" si="172"/>
        <v>5.6973907465499369</v>
      </c>
      <c r="BI106" s="4">
        <f>BI$13*'[2]Ordinary Experience'!$D$320/'[2]Ordinary Experience'!$D$413</f>
        <v>101767550.71370055</v>
      </c>
      <c r="BJ106" s="4">
        <f>'[2]Ordinary Experience'!$E$320</f>
        <v>31.889704408786056</v>
      </c>
      <c r="BL106" s="4">
        <f t="shared" si="211"/>
        <v>20.739087640016145</v>
      </c>
      <c r="BM106" s="4">
        <f t="shared" si="153"/>
        <v>-7.3892810058089453E-2</v>
      </c>
      <c r="BO106" s="4" t="str">
        <f>IF(OR('Summary, hourly ad costs'!R106=-9999,'Summary, PPI''s'!R106="."),".",(('Summary, hourly ad costs'!B106/'Summary, hourly ad costs'!R106)*100/('Summary, hourly ad costs'!B$11/'Summary, hourly ad costs'!R$11))/('Summary, PPI''s'!R106))</f>
        <v>.</v>
      </c>
      <c r="BP106" s="4" t="str">
        <f>IF(OR('Summary, hourly ad costs'!S106=-9999,'Summary, PPI''s'!S106="."),".",(('Summary, hourly ad costs'!C106/'Summary, hourly ad costs'!S106)*100/('Summary, hourly ad costs'!C$11/'Summary, hourly ad costs'!S$11))/('Summary, PPI''s'!S106))</f>
        <v>.</v>
      </c>
      <c r="BQ106" s="4" t="str">
        <f>IF(OR('Summary, hourly ad costs'!T106=-9999,'Summary, PPI''s'!T106="."),".",(('Summary, hourly ad costs'!D106/'Summary, hourly ad costs'!T106)*100/('Summary, hourly ad costs'!D$11/'Summary, hourly ad costs'!T$11))/('Summary, PPI''s'!T106))</f>
        <v>.</v>
      </c>
      <c r="BR106" s="4" t="str">
        <f>IF(OR('Summary, hourly ad costs'!U106=-9999,'Summary, PPI''s'!U106="."),".",(('Summary, hourly ad costs'!E106/'Summary, hourly ad costs'!U106)*100/('Summary, hourly ad costs'!E$11/'Summary, hourly ad costs'!U$11))/('Summary, PPI''s'!U106))</f>
        <v>.</v>
      </c>
      <c r="BS106" s="4" t="str">
        <f>IF(OR('Summary, hourly ad costs'!V106=-9999,'Summary, PPI''s'!V106="."),".",(('Summary, hourly ad costs'!F106/'Summary, hourly ad costs'!V106)*100/('Summary, hourly ad costs'!F$11/'Summary, hourly ad costs'!V$11))/('Summary, PPI''s'!V106))</f>
        <v>.</v>
      </c>
      <c r="BT106" s="4" t="str">
        <f>IF(OR('Summary, hourly ad costs'!W106=-9999,'Summary, PPI''s'!W106="."),".",(('Summary, hourly ad costs'!G106/'Summary, hourly ad costs'!W106)*100/('Summary, hourly ad costs'!G$11/'Summary, hourly ad costs'!W$11))/('Summary, PPI''s'!W106))</f>
        <v>.</v>
      </c>
      <c r="BU106" s="4" t="str">
        <f>IF(OR('Summary, hourly ad costs'!X106=-9999,'Summary, PPI''s'!X106="."),".",(('Summary, hourly ad costs'!H106/'Summary, hourly ad costs'!X106)*100/('Summary, hourly ad costs'!H$11/'Summary, hourly ad costs'!X$11))/('Summary, PPI''s'!X106))</f>
        <v>.</v>
      </c>
      <c r="BV106" s="4" t="str">
        <f>IF(OR('Summary, hourly ad costs'!Y106=-9999,'Summary, PPI''s'!Y106="."),".",(('Summary, hourly ad costs'!I106/'Summary, hourly ad costs'!Y106)*100/('Summary, hourly ad costs'!I$11/'Summary, hourly ad costs'!Y$11))/('Summary, PPI''s'!Y106))</f>
        <v>.</v>
      </c>
      <c r="BW106" s="4" t="str">
        <f>IF(OR('Summary, hourly ad costs'!Z106=-9999,'Summary, PPI''s'!Z106="."),".",(('Summary, hourly ad costs'!J106/'Summary, hourly ad costs'!Z106)*100/('Summary, hourly ad costs'!J$11/'Summary, hourly ad costs'!Z$11))/('Summary, PPI''s'!Z106))</f>
        <v>.</v>
      </c>
      <c r="BX106" s="4" t="str">
        <f>IF(OR('Summary, hourly ad costs'!AA106=-9999,'Summary, PPI''s'!AA106="."),".",(('Summary, hourly ad costs'!K106/'Summary, hourly ad costs'!AA106)*100/('Summary, hourly ad costs'!K$11/'Summary, hourly ad costs'!AA$11))/('Summary, PPI''s'!AA106))</f>
        <v>.</v>
      </c>
      <c r="BY106" s="4" t="str">
        <f>IF(OR('Summary, hourly ad costs'!AB106=-9999,'Summary, PPI''s'!AB106="."),".",(('Summary, hourly ad costs'!L106/'Summary, hourly ad costs'!AB106)*100/('Summary, hourly ad costs'!L$11/'Summary, hourly ad costs'!AB$11))/('Summary, PPI''s'!AB106))</f>
        <v>.</v>
      </c>
      <c r="BZ106" s="4" t="str">
        <f>IF(OR('Summary, hourly ad costs'!AC106=-9999,'Summary, PPI''s'!AC106="."),".",(('Summary, hourly ad costs'!M106/'Summary, hourly ad costs'!AC106)*100/('Summary, hourly ad costs'!M$11/'Summary, hourly ad costs'!AC$11))/('Summary, PPI''s'!AC106))</f>
        <v>.</v>
      </c>
      <c r="CA106" s="4" t="str">
        <f>IF(OR('Summary, hourly ad costs'!AD106=-9999,'Summary, PPI''s'!AD106="."),".",(('Summary, hourly ad costs'!N106/'Summary, hourly ad costs'!AD106)*100/('Summary, hourly ad costs'!N$11/'Summary, hourly ad costs'!AD$11))/('Summary, PPI''s'!AD106))</f>
        <v>.</v>
      </c>
      <c r="CB106" s="4" t="str">
        <f>IF(OR('Summary, hourly ad costs'!AE106=-9999,'Summary, PPI''s'!AE106="."),".",(('Summary, hourly ad costs'!O106/'Summary, hourly ad costs'!AE106)*100/('Summary, hourly ad costs'!O$11/'Summary, hourly ad costs'!AE$11))/('Summary, PPI''s'!AE106))</f>
        <v>.</v>
      </c>
      <c r="CC106" s="4" t="str">
        <f>IF(OR('Summary, hourly ad costs'!AF106=-9999,'Summary, PPI''s'!AF106="."),".",(('Summary, hourly ad costs'!P106/'Summary, hourly ad costs'!AF106)*100/('Summary, hourly ad costs'!P$11/'Summary, hourly ad costs'!AF$11))/('Summary, PPI''s'!AF106))</f>
        <v>.</v>
      </c>
      <c r="CE106" s="4">
        <f t="shared" si="183"/>
        <v>-0.10178687919644488</v>
      </c>
      <c r="CF106" s="4" t="str">
        <f t="shared" si="184"/>
        <v>.</v>
      </c>
      <c r="CG106" s="4" t="str">
        <f t="shared" si="185"/>
        <v>.</v>
      </c>
      <c r="CH106" s="4">
        <f t="shared" si="145"/>
        <v>-0.11670528297937802</v>
      </c>
      <c r="CI106" s="4">
        <f t="shared" si="145"/>
        <v>-0.13084114153472801</v>
      </c>
      <c r="CJ106" s="4" t="str">
        <f t="shared" si="209"/>
        <v>.</v>
      </c>
      <c r="CK106" s="4">
        <f t="shared" si="149"/>
        <v>8.7214587754416983E-3</v>
      </c>
      <c r="CL106" s="4">
        <f t="shared" si="130"/>
        <v>-9.174182409452121E-2</v>
      </c>
      <c r="CM106" s="4">
        <f t="shared" si="130"/>
        <v>-2.0477794592816491E-2</v>
      </c>
      <c r="CN106" s="4">
        <f t="shared" si="204"/>
        <v>-0.10693858789333016</v>
      </c>
      <c r="CO106" s="4">
        <f t="shared" si="180"/>
        <v>-0.49133936265756806</v>
      </c>
      <c r="CP106" s="4">
        <f t="shared" si="180"/>
        <v>0.38655749087292818</v>
      </c>
      <c r="CQ106" s="4" t="str">
        <f t="shared" si="173"/>
        <v>.</v>
      </c>
      <c r="CR106" s="4" t="str">
        <f t="shared" si="174"/>
        <v>.</v>
      </c>
      <c r="CS106" s="4" t="str">
        <f t="shared" si="175"/>
        <v>.</v>
      </c>
      <c r="CU106" s="5">
        <f>IF(CU105=".", ".", IF('Summary, PPI''s'!R106=".",IF(OR('Summary, hourly ad costs'!R106=-9999,'Summary, hourly ad costs'!R106=0), ".", 'Predicted PPIs'!CU105*('Summary, hourly ad costs'!B106/'Summary, hourly ad costs'!R106)/('Summary, hourly ad costs'!B105/'Summary, hourly ad costs'!R105)/(1-CE105)), 'Summary, PPI''s'!R106))</f>
        <v>28.678249322418381</v>
      </c>
      <c r="CV106" s="5" t="str">
        <f>IF(CV105=".", ".", IF('Summary, PPI''s'!S106=".",IF(OR('Summary, hourly ad costs'!S106=-9999,'Summary, hourly ad costs'!S106=0), ".", 'Predicted PPIs'!CV105*('Summary, hourly ad costs'!C106/'Summary, hourly ad costs'!S106)/('Summary, hourly ad costs'!C105/'Summary, hourly ad costs'!S105)/(1-CF105)), 'Summary, PPI''s'!S106))</f>
        <v>.</v>
      </c>
      <c r="CW106" s="5" t="str">
        <f>IF(CW105=".", ".", IF('Summary, PPI''s'!T106=".",IF(OR('Summary, hourly ad costs'!T106=-9999,'Summary, hourly ad costs'!T106=0), ".", 'Predicted PPIs'!CW105*('Summary, hourly ad costs'!D106/'Summary, hourly ad costs'!T106)/('Summary, hourly ad costs'!D105/'Summary, hourly ad costs'!T105)/(1-CG105)), 'Summary, PPI''s'!T106))</f>
        <v>.</v>
      </c>
      <c r="CX106" s="5">
        <f>IF(CX105=".", ".", IF('Summary, PPI''s'!U106=".",IF(OR('Summary, hourly ad costs'!U106=-9999,'Summary, hourly ad costs'!U106=0), ".", 'Predicted PPIs'!CX105*('Summary, hourly ad costs'!E106/'Summary, hourly ad costs'!U106)/('Summary, hourly ad costs'!E105/'Summary, hourly ad costs'!U105)/(1-CH105)), 'Summary, PPI''s'!U106))</f>
        <v>1.6052947301101819</v>
      </c>
      <c r="CY106" s="5">
        <f>IF(CY105=".", ".", IF('Summary, PPI''s'!V106=".",IF(OR('Summary, hourly ad costs'!V106=-9999,'Summary, hourly ad costs'!V106=0), ".", 'Predicted PPIs'!CY105*('Summary, hourly ad costs'!F106/'Summary, hourly ad costs'!V106)/('Summary, hourly ad costs'!F105/'Summary, hourly ad costs'!V105)/(1-CI105)), 'Summary, PPI''s'!V106))</f>
        <v>2.5720069799632093</v>
      </c>
      <c r="CZ106" s="5" t="str">
        <f>IF(CZ105=".", ".", IF('Summary, PPI''s'!W106=".",IF(OR('Summary, hourly ad costs'!W106=-9999,'Summary, hourly ad costs'!W106=0), ".", 'Predicted PPIs'!CZ105*('Summary, hourly ad costs'!G106/'Summary, hourly ad costs'!W106)/('Summary, hourly ad costs'!G105/'Summary, hourly ad costs'!W105)/(1-CJ105)), 'Summary, PPI''s'!W106))</f>
        <v>.</v>
      </c>
      <c r="DA106" s="5">
        <f>IF(DA105=".", ".", IF('Summary, PPI''s'!X106=".",IF(OR('Summary, hourly ad costs'!X106=-9999,'Summary, hourly ad costs'!X106=0), ".", 'Predicted PPIs'!DA105*('Summary, hourly ad costs'!H106/'Summary, hourly ad costs'!X106)/('Summary, hourly ad costs'!H105/'Summary, hourly ad costs'!X105)/(1-CK105)), 'Summary, PPI''s'!X106))</f>
        <v>1.572720816673765</v>
      </c>
      <c r="DB106" s="5" t="str">
        <f>IF(DB105=".", ".", IF('Summary, PPI''s'!Y106=".",IF(OR('Summary, hourly ad costs'!Y106=-9999,'Summary, hourly ad costs'!Y106=0), ".", 'Predicted PPIs'!DB105*('Summary, hourly ad costs'!I106/'Summary, hourly ad costs'!Y106)/('Summary, hourly ad costs'!I105/'Summary, hourly ad costs'!Y105)/(1-CL105)), 'Summary, PPI''s'!Y106))</f>
        <v>.</v>
      </c>
      <c r="DC106" s="5" t="str">
        <f>IF(DC105=".", ".", IF('Summary, PPI''s'!Z106=".",IF(OR('Summary, hourly ad costs'!Z106=-9999,'Summary, hourly ad costs'!Z106=0), ".", 'Predicted PPIs'!DC105*('Summary, hourly ad costs'!J106/'Summary, hourly ad costs'!Z106)/('Summary, hourly ad costs'!J105/'Summary, hourly ad costs'!Z105)/(1-CM105)), 'Summary, PPI''s'!Z106))</f>
        <v>.</v>
      </c>
      <c r="DD106" s="5" t="str">
        <f>IF(DD105=".", ".", IF('Summary, PPI''s'!AA106=".",IF(OR('Summary, hourly ad costs'!AA106=-9999,'Summary, hourly ad costs'!AA106=0), ".", 'Predicted PPIs'!DD105*('Summary, hourly ad costs'!K106/'Summary, hourly ad costs'!AA106)/('Summary, hourly ad costs'!K105/'Summary, hourly ad costs'!AA105)/(1-CN105)), 'Summary, PPI''s'!AA106))</f>
        <v>.</v>
      </c>
      <c r="DE106" s="5" t="str">
        <f>IF(DE105=".", ".", IF('Summary, PPI''s'!AB106=".",IF(OR('Summary, hourly ad costs'!AB106=-9999,'Summary, hourly ad costs'!AB106=0), ".", 'Predicted PPIs'!DE105*('Summary, hourly ad costs'!L106/'Summary, hourly ad costs'!AB106)/('Summary, hourly ad costs'!L105/'Summary, hourly ad costs'!AB105)/(1-CO105)), 'Summary, PPI''s'!AB106))</f>
        <v>.</v>
      </c>
      <c r="DF106" s="5" t="str">
        <f>IF(DF105=".", ".", IF('Summary, PPI''s'!AC106=".",IF(OR('Summary, hourly ad costs'!AC106=-9999,'Summary, hourly ad costs'!AC106=0), ".", 'Predicted PPIs'!DF105*('Summary, hourly ad costs'!M106/'Summary, hourly ad costs'!AC106)/('Summary, hourly ad costs'!M105/'Summary, hourly ad costs'!AC105)/(1-CP105)), 'Summary, PPI''s'!AC106))</f>
        <v>.</v>
      </c>
      <c r="DG106" s="5" t="str">
        <f>IF(DG105=".", ".", IF('Summary, PPI''s'!AD106=".",IF(OR('Summary, hourly ad costs'!AD106=-9999,'Summary, hourly ad costs'!AD106=0), ".", 'Predicted PPIs'!DG105*('Summary, hourly ad costs'!N106/'Summary, hourly ad costs'!AD106)/('Summary, hourly ad costs'!N105/'Summary, hourly ad costs'!AD105)/(1-CQ105)), 'Summary, PPI''s'!AD106))</f>
        <v>.</v>
      </c>
      <c r="DH106" s="5" t="str">
        <f>IF(DH105=".", ".", IF('Summary, PPI''s'!AE106=".",IF(OR('Summary, hourly ad costs'!AE106=-9999,'Summary, hourly ad costs'!AE106=0), ".", 'Predicted PPIs'!DH105*('Summary, hourly ad costs'!O106/'Summary, hourly ad costs'!AE106)/('Summary, hourly ad costs'!O105/'Summary, hourly ad costs'!AE105)/(1-CR105)), 'Summary, PPI''s'!AE106))</f>
        <v>.</v>
      </c>
      <c r="DI106" s="5" t="str">
        <f>IF(DI105=".", ".", IF('Summary, PPI''s'!AF106=".",IF(OR('Summary, hourly ad costs'!AF106=-9999,'Summary, hourly ad costs'!AF106=0), ".", 'Predicted PPIs'!DI105*('Summary, hourly ad costs'!P106/'Summary, hourly ad costs'!AF106)/('Summary, hourly ad costs'!P105/'Summary, hourly ad costs'!AF105)/(1-CS105)), 'Summary, PPI''s'!AF106))</f>
        <v>.</v>
      </c>
      <c r="DK106" s="4">
        <f t="shared" si="205"/>
        <v>1.5194252631578942</v>
      </c>
      <c r="DM106" s="5">
        <f t="shared" si="186"/>
        <v>-6.4914283343192158E-2</v>
      </c>
      <c r="DN106" s="4">
        <f t="shared" si="187"/>
        <v>-5.3274762521381362E-3</v>
      </c>
      <c r="DO106" s="4">
        <f t="shared" si="181"/>
        <v>-2.3353871037803314E-2</v>
      </c>
      <c r="DP106" s="5">
        <f t="shared" si="188"/>
        <v>6.2600368525370653E-2</v>
      </c>
      <c r="DQ106" s="5">
        <f t="shared" si="189"/>
        <v>0.17664087667610429</v>
      </c>
      <c r="DR106" s="4">
        <f t="shared" si="146"/>
        <v>-2.15158816315273E-2</v>
      </c>
      <c r="DS106" s="5">
        <f t="shared" si="190"/>
        <v>7.0497560236314039E-2</v>
      </c>
      <c r="DT106" s="4">
        <f t="shared" si="206"/>
        <v>6.4022966246974192E-2</v>
      </c>
      <c r="DU106" s="4">
        <f t="shared" si="171"/>
        <v>-6.0932259733809807E-2</v>
      </c>
      <c r="DV106" s="4">
        <f t="shared" si="131"/>
        <v>3.6089405540947637E-3</v>
      </c>
      <c r="DW106" s="4">
        <f t="shared" si="182"/>
        <v>0.19634935682649482</v>
      </c>
      <c r="DX106" s="4">
        <f t="shared" si="182"/>
        <v>-0.54016323999191385</v>
      </c>
      <c r="DY106" s="4">
        <f t="shared" si="228"/>
        <v>-2.9679065376054137E-2</v>
      </c>
      <c r="DZ106" s="4">
        <f t="shared" si="132"/>
        <v>-2.4163305871255043E-2</v>
      </c>
      <c r="EA106" s="4">
        <f t="shared" si="229"/>
        <v>-1.792970348191553E-2</v>
      </c>
      <c r="EC106" s="1">
        <f t="shared" si="213"/>
        <v>28.678249322418381</v>
      </c>
      <c r="ED106" s="1">
        <f t="shared" si="214"/>
        <v>1.7064939967630501</v>
      </c>
      <c r="EE106" s="1">
        <f t="shared" si="215"/>
        <v>0.95960344364869232</v>
      </c>
      <c r="EF106" s="1">
        <f t="shared" si="216"/>
        <v>1.6052947301101819</v>
      </c>
      <c r="EG106" s="1">
        <f t="shared" si="217"/>
        <v>2.5720069799632093</v>
      </c>
      <c r="EH106" s="1">
        <f t="shared" si="218"/>
        <v>1.3405421360570557</v>
      </c>
      <c r="EI106" s="1">
        <f t="shared" si="219"/>
        <v>1.572720816673765</v>
      </c>
      <c r="EJ106" s="1">
        <f t="shared" si="220"/>
        <v>1.9521711072164414</v>
      </c>
      <c r="EK106" s="1">
        <f t="shared" si="221"/>
        <v>3.3682669609286466</v>
      </c>
      <c r="EL106" s="1">
        <f t="shared" si="222"/>
        <v>1.2513475525991951</v>
      </c>
      <c r="EM106" s="1">
        <f t="shared" si="223"/>
        <v>6.2106319889561432E-2</v>
      </c>
      <c r="EN106" s="1">
        <f t="shared" si="224"/>
        <v>1.487847243122157</v>
      </c>
      <c r="EO106" s="1">
        <f t="shared" si="225"/>
        <v>0.71258737735965161</v>
      </c>
      <c r="EP106" s="1">
        <f t="shared" si="226"/>
        <v>1.2680430621577037</v>
      </c>
      <c r="EQ106" s="1">
        <f t="shared" si="227"/>
        <v>1.0055931057394369</v>
      </c>
      <c r="ES106" s="1">
        <f>IF(EF$26=".", 0, 'Summary, PPI''s'!E106)+IF(EG$26=".", 0, 'Summary, PPI''s'!F106)+IF(EH$26=".", 0, 'Summary, PPI''s'!G106)+IF(EI$26=".", 0, 'Summary, PPI''s'!H106)+IF(EJ$26=".", 0, 'Summary, PPI''s'!I106)+IF(EK$26=".", 0, 'Summary, PPI''s'!J106)+IF(EL$26=".", 0, 'Summary, PPI''s'!K106)+IF(EM$26=".", 0, 'Summary, PPI''s'!L106)+IF(EN$26=".", 0, 'Summary, PPI''s'!M106)+IF(EC$26=".", 0, 'Summary, PPI''s'!B106)+IF(ED$26=".", 0, 'Summary, PPI''s'!C106)+IF(EE$26=".", 0, 'Summary, PPI''s'!D106)+IF(EO$26=".", 0, 'Summary, PPI''s'!N106)+IF(EP$26=".", 0, 'Summary, PPI''s'!O106)+IF(EQ$26=".", 0, 'Summary, PPI''s'!P106)</f>
        <v>1042330.4969532613</v>
      </c>
      <c r="ET106" s="1">
        <f>'Summary, hourly ad costs'!E106+'Summary, hourly ad costs'!F106+'Summary, hourly ad costs'!H106+'Summary, hourly ad costs'!I106+'Summary, hourly ad costs'!J106+'Summary, hourly ad costs'!K106+'Summary, hourly ad costs'!L106+'Summary, hourly ad costs'!M106+'Summary, hourly ad costs'!B106</f>
        <v>640861.27593573753</v>
      </c>
      <c r="EV106" s="13">
        <f>EV105*IF(EF$26=".", 1, (EF106/EF105)^(('Summary, PPI''s'!$E106+'Summary, PPI''s'!$E105)/('Predicted PPIs'!ES106+'Predicted PPIs'!ES105)))*IF(EG$26=".", 1, (EG106/EG105)^(('Summary, PPI''s'!$F106+'Summary, PPI''s'!$F105)/('Predicted PPIs'!ES106+'Predicted PPIs'!ES105)))*IF(EH$26=".", 1, (EH106/EH105)^(('Summary, PPI''s'!$G106+'Summary, PPI''s'!$G105)/('Predicted PPIs'!ES106+'Predicted PPIs'!ES105)))*IF(EI$26=".", 1, (EI106/EI105)^(('Summary, PPI''s'!$H106+'Summary, PPI''s'!$H105)/('Predicted PPIs'!ES106+'Predicted PPIs'!ES105)))*IF(EJ$26=".", 1, (EJ106/EJ105)^(('Summary, PPI''s'!$I106+'Summary, PPI''s'!$I105)/('Predicted PPIs'!ES106+'Predicted PPIs'!ES105)))*IF(EK$26=".", 1, (EK106/EK105)^(('Summary, PPI''s'!$J106+'Summary, PPI''s'!$J105)/('Predicted PPIs'!ES106+'Predicted PPIs'!ES105)))*IF(EL$26=".", 1, (EL106/EL105)^(('Summary, PPI''s'!$K106+'Summary, PPI''s'!$K105)/('Predicted PPIs'!ES106+'Predicted PPIs'!ES105)))*IF(EM$26=".", 1, (EM106/EM105)^(('Summary, PPI''s'!$L106+'Summary, PPI''s'!$L105)/('Predicted PPIs'!ES106+'Predicted PPIs'!ES105)))*IF(EN$26=".", 1, (EN106/EN105)^(('Summary, PPI''s'!$M106+'Summary, PPI''s'!$M105)/('Predicted PPIs'!ES106+'Predicted PPIs'!ES105)))*IF(EC$26=".", 1, (EC106/EC105)^(('Summary, PPI''s'!$B106+'Summary, PPI''s'!$B105)/('Predicted PPIs'!ES106+'Predicted PPIs'!ES105)))*IF(ED$26=".", 1, (ED106/ED105)^(('Summary, PPI''s'!$C106+'Summary, PPI''s'!$C105)/('Predicted PPIs'!ES106+'Predicted PPIs'!ES105)))*IF(EE$26=".", 1, (EE106/EE105)^(('Summary, PPI''s'!$D106+'Summary, PPI''s'!$D105)/('Predicted PPIs'!ES106+'Predicted PPIs'!ES105)))*IF(EO$26=".", 1, (EO106/EO105)^(('Summary, PPI''s'!$N106+'Summary, PPI''s'!$N105)/('Predicted PPIs'!ES106+'Predicted PPIs'!ES105)))*IF(EP$26=".", 1, (EP106/EP105)^(('Summary, PPI''s'!$O106+'Summary, PPI''s'!$O105)/('Predicted PPIs'!ES106+'Predicted PPIs'!ES105)))*IF(EQ$26=".", 1, (EQ106/EQ105)^(('Summary, PPI''s'!$P106+'Summary, PPI''s'!$P105)/('Predicted PPIs'!ES106+'Predicted PPIs'!ES105)))</f>
        <v>2.4870516160311578</v>
      </c>
      <c r="EW106" s="13">
        <f>EW105*IF(EF$26=".", 1, (EF106/EF105)^(('Summary, PPI''s'!$E106+'Summary, PPI''s'!$E105)/('Predicted PPIs'!ET106+'Predicted PPIs'!ET105)))*IF(EG$26=".", 1, (EG106/EG105)^(('Summary, PPI''s'!$F106+'Summary, PPI''s'!$F105)/('Predicted PPIs'!ET106+'Predicted PPIs'!ET105)))*IF(EH$26=".", 1, (EH106/EH105)^(('Summary, PPI''s'!$G106+'Summary, PPI''s'!$G105)/('Predicted PPIs'!ET106+'Predicted PPIs'!ET105)))*IF(EK$26=".", 1, (EK106/EK105)^(('Summary, PPI''s'!$J106+'Summary, PPI''s'!$J105)/('Predicted PPIs'!ET106+'Predicted PPIs'!ET105)))*IF(EL$26=".", 1, (EL106/EL105)^(('Summary, PPI''s'!$K106+'Summary, PPI''s'!$K105)/('Predicted PPIs'!ET106+'Predicted PPIs'!ET105)))*IF(EM$26=".", 1, (EM106/EM105)^(('Summary, PPI''s'!$L106+'Summary, PPI''s'!$L105)/('Predicted PPIs'!ET106+'Predicted PPIs'!ET105)))*IF(EN$26=".", 1, (EN106/EN105)^(('Summary, PPI''s'!$M106+'Summary, PPI''s'!$M105)/('Predicted PPIs'!ET106+'Predicted PPIs'!ET105)))*IF(EC$26=".", 1, (EC106/EC105)^(('Summary, PPI''s'!$B106+'Summary, PPI''s'!$B105)/('Predicted PPIs'!ET106+'Predicted PPIs'!ET105)))</f>
        <v>5.2631225814055194</v>
      </c>
      <c r="EY106" s="2"/>
    </row>
    <row r="107" spans="1:155" x14ac:dyDescent="0.3">
      <c r="A107" s="4">
        <v>1916</v>
      </c>
      <c r="B107" s="10">
        <f>IF(B106=".", ".", IF('Summary, PPI''s'!R107=".",IF(OR('Summary, hourly ad costs'!R107=-9999,'Summary, hourly ad costs'!R107=0), ".", 'Predicted PPIs'!B106*('Summary, hourly ad costs'!B107/'Summary, hourly ad costs'!R107)/('Summary, hourly ad costs'!B106/'Summary, hourly ad costs'!R106)), 'Summary, PPI''s'!R107))</f>
        <v>55.801333850570657</v>
      </c>
      <c r="C107" s="10" t="str">
        <f>IF(C106=".", ".", IF('Summary, PPI''s'!S107=".",IF(OR('Summary, hourly ad costs'!S107=-9999,'Summary, hourly ad costs'!S107=0), ".", 'Predicted PPIs'!C106*('Summary, hourly ad costs'!C107/'Summary, hourly ad costs'!S107)/('Summary, hourly ad costs'!C106/'Summary, hourly ad costs'!S106)), 'Summary, PPI''s'!S107))</f>
        <v>.</v>
      </c>
      <c r="D107" s="10" t="str">
        <f>IF(D106=".", ".", IF('Summary, PPI''s'!T107=".",IF(OR('Summary, hourly ad costs'!T107=-9999,'Summary, hourly ad costs'!T107=0), ".", 'Predicted PPIs'!D106*('Summary, hourly ad costs'!D107/'Summary, hourly ad costs'!T107)/('Summary, hourly ad costs'!D106/'Summary, hourly ad costs'!T106)), 'Summary, PPI''s'!T107))</f>
        <v>.</v>
      </c>
      <c r="E107" s="10">
        <f>IF(E106=".", ".", IF('Summary, PPI''s'!U107=".",IF(OR('Summary, hourly ad costs'!U107=-9999,'Summary, hourly ad costs'!U107=0), ".", 'Predicted PPIs'!E106*('Summary, hourly ad costs'!E107/'Summary, hourly ad costs'!U107)/('Summary, hourly ad costs'!E106/'Summary, hourly ad costs'!U106)), 'Summary, PPI''s'!U107))</f>
        <v>1.2189713287990624</v>
      </c>
      <c r="F107" s="10">
        <f>IF(F106=".", ".", IF('Summary, PPI''s'!V107=".",IF(OR('Summary, hourly ad costs'!V107=-9999,'Summary, hourly ad costs'!V107=0), ".", 'Predicted PPIs'!F106*('Summary, hourly ad costs'!F107/'Summary, hourly ad costs'!V107)/('Summary, hourly ad costs'!F106/'Summary, hourly ad costs'!V106)), 'Summary, PPI''s'!V107))</f>
        <v>1.5761579512482793</v>
      </c>
      <c r="G107" s="10" t="str">
        <f>IF(G106=".", ".", IF('Summary, PPI''s'!W107=".",IF(OR('Summary, hourly ad costs'!W107=-9999,'Summary, hourly ad costs'!W107=0), ".", 'Predicted PPIs'!G106*('Summary, hourly ad costs'!G107/'Summary, hourly ad costs'!W107)/('Summary, hourly ad costs'!G106/'Summary, hourly ad costs'!W106)), 'Summary, PPI''s'!W107))</f>
        <v>.</v>
      </c>
      <c r="H107" s="10">
        <f>IF(H106=".", ".", IF('Summary, PPI''s'!X107=".",IF(OR('Summary, hourly ad costs'!X107=-9999,'Summary, hourly ad costs'!X107=0), ".", 'Predicted PPIs'!H106*('Summary, hourly ad costs'!H107/'Summary, hourly ad costs'!X107)/('Summary, hourly ad costs'!H106/'Summary, hourly ad costs'!X106)), 'Summary, PPI''s'!X107))</f>
        <v>1.0958906490771705</v>
      </c>
      <c r="I107" s="10" t="str">
        <f>IF(I106=".", ".", IF('Summary, PPI''s'!Y107=".",IF(OR('Summary, hourly ad costs'!Y107=-9999,'Summary, hourly ad costs'!Y107=0), ".", 'Predicted PPIs'!I106*('Summary, hourly ad costs'!I107/'Summary, hourly ad costs'!Y107)/('Summary, hourly ad costs'!I106/'Summary, hourly ad costs'!Y106)), 'Summary, PPI''s'!Y107))</f>
        <v>.</v>
      </c>
      <c r="J107" s="10" t="str">
        <f>IF(J106=".", ".", IF('Summary, PPI''s'!Z107=".",IF(OR('Summary, hourly ad costs'!Z107=-9999,'Summary, hourly ad costs'!Z107=0), ".", 'Predicted PPIs'!J106*('Summary, hourly ad costs'!J107/'Summary, hourly ad costs'!Z107)/('Summary, hourly ad costs'!J106/'Summary, hourly ad costs'!Z106)), 'Summary, PPI''s'!Z107))</f>
        <v>.</v>
      </c>
      <c r="K107" s="10" t="str">
        <f>IF(K106=".", ".", IF('Summary, PPI''s'!AA107=".",IF(OR('Summary, hourly ad costs'!AA107=-9999,'Summary, hourly ad costs'!AA107=0), ".", 'Predicted PPIs'!K106*('Summary, hourly ad costs'!K107/'Summary, hourly ad costs'!AA107)/('Summary, hourly ad costs'!K106/'Summary, hourly ad costs'!AA106)), 'Summary, PPI''s'!AA107))</f>
        <v>.</v>
      </c>
      <c r="L107" s="10" t="str">
        <f>IF(L106=".", ".", IF('Summary, PPI''s'!AB107=".",IF(OR('Summary, hourly ad costs'!AB107=-9999,'Summary, hourly ad costs'!AB107=0), ".", 'Predicted PPIs'!L106*('Summary, hourly ad costs'!L107/'Summary, hourly ad costs'!AB107)/('Summary, hourly ad costs'!L106/'Summary, hourly ad costs'!AB106)), 'Summary, PPI''s'!AB107))</f>
        <v>.</v>
      </c>
      <c r="M107" s="10" t="str">
        <f>IF(M106=".", ".", IF('Summary, PPI''s'!AC107=".",IF(OR('Summary, hourly ad costs'!AC107=-9999,'Summary, hourly ad costs'!AC107=0), ".", 'Predicted PPIs'!M106*('Summary, hourly ad costs'!M107/'Summary, hourly ad costs'!AC107)/('Summary, hourly ad costs'!M106/'Summary, hourly ad costs'!AC106)), 'Summary, PPI''s'!AC107))</f>
        <v>.</v>
      </c>
      <c r="N107" s="10" t="str">
        <f>IF(N106=".", ".", IF('Summary, PPI''s'!AD107=".",IF(OR('Summary, hourly ad costs'!AD107=-9999,'Summary, hourly ad costs'!AD107=0), ".", 'Predicted PPIs'!N106*('Summary, hourly ad costs'!N107/'Summary, hourly ad costs'!AD107)/('Summary, hourly ad costs'!N106/'Summary, hourly ad costs'!AD106)), 'Summary, PPI''s'!AD107))</f>
        <v>.</v>
      </c>
      <c r="O107" s="10" t="str">
        <f>IF(O106=".", ".", IF('Summary, PPI''s'!AE107=".",IF(OR('Summary, hourly ad costs'!AE107=-9999,'Summary, hourly ad costs'!AE107=0), ".", 'Predicted PPIs'!O106*('Summary, hourly ad costs'!O107/'Summary, hourly ad costs'!AE107)/('Summary, hourly ad costs'!O106/'Summary, hourly ad costs'!AE106)), 'Summary, PPI''s'!AE107))</f>
        <v>.</v>
      </c>
      <c r="P107" s="10" t="str">
        <f>IF(P106=".", ".", IF('Summary, PPI''s'!AF107=".",IF(OR('Summary, hourly ad costs'!AF107=-9999,'Summary, hourly ad costs'!AF107=0), ".", 'Predicted PPIs'!P106*('Summary, hourly ad costs'!P107/'Summary, hourly ad costs'!AF107)/('Summary, hourly ad costs'!P106/'Summary, hourly ad costs'!AF106)), 'Summary, PPI''s'!AF107))</f>
        <v>.</v>
      </c>
      <c r="R107" s="1">
        <f>IF(E$26=".", 0, 'Summary, PPI''s'!E107)+IF(F$26=".", 0, 'Summary, PPI''s'!F107)+IF(G$26=".", 0, 'Summary, PPI''s'!G107)+IF(H$26=".", 0, 'Summary, PPI''s'!H107)+IF(I$26=".", 0, 'Summary, PPI''s'!I107)+IF(J$26=".", 0, 'Summary, PPI''s'!J107)+IF(K$26=".", 0, 'Summary, PPI''s'!K107)+IF(L$26=".", 0, 'Summary, PPI''s'!L107)+IF(M$26=".", 0, 'Summary, PPI''s'!M107)+IF(B$26=".", 0, 'Summary, PPI''s'!B107)+IF(C$26=".", 0, 'Summary, PPI''s'!C107)+IF(D$26=".", 0, 'Summary, PPI''s'!D107)+IF(N$26=".", 0, 'Summary, PPI''s'!N107)+IF(O$26=".", 0, 'Summary, PPI''s'!O107)+IF(P$26=".", 0, 'Summary, PPI''s'!P107)</f>
        <v>931614.59657495131</v>
      </c>
      <c r="S107" s="1">
        <f>IF(E$36=".", 0, 'Summary, PPI''s'!E107)+IF(F$36=".", 0, 'Summary, PPI''s'!F107)+IF(G$36=".", 0, 'Summary, PPI''s'!G107)+IF(H$36=".", 0, 'Summary, PPI''s'!H107)+IF(I$36=".", 0, 'Summary, PPI''s'!I107)+IF(J$36=".", 0, 'Summary, PPI''s'!J107)+IF(K$36=".", 0, 'Summary, PPI''s'!K107)+IF(L$36=".", 0, 'Summary, PPI''s'!L107)+IF(M$36=".", 0, 'Summary, PPI''s'!M107)+IF(B$36=".", 0, 'Summary, PPI''s'!B107)+IF(C$36=".", 0, 'Summary, PPI''s'!C107)+IF(D$36=".", 0, 'Summary, PPI''s'!D107)+IF(N$36=".", 0, 'Summary, PPI''s'!N107)+IF(O$36=".", 0, 'Summary, PPI''s'!O107)+IF(P$36=".", 0, 'Summary, PPI''s'!P107)</f>
        <v>931614.59657495131</v>
      </c>
      <c r="T107" s="1">
        <f>IF(E$46=".", 0, 'Summary, PPI''s'!E107)+IF(F$46=".", 0, 'Summary, PPI''s'!F107)+IF(G$46=".", 0, 'Summary, PPI''s'!G107)+IF(H$46=".", 0, 'Summary, PPI''s'!H107)+IF(I$46=".", 0, 'Summary, PPI''s'!I107)+IF(J$46=".", 0, 'Summary, PPI''s'!J107)+IF(K$46=".", 0, 'Summary, PPI''s'!K107)+IF(L$46=".", 0, 'Summary, PPI''s'!L107)+IF(M$46=".", 0, 'Summary, PPI''s'!M107)+IF(B$46=".", 0, 'Summary, PPI''s'!B107)+IF(C$46=".", 0, 'Summary, PPI''s'!C107)+IF(D$46=".", 0, 'Summary, PPI''s'!D107)+IF(N$46=".", 0, 'Summary, PPI''s'!N107)+IF(O$46=".", 0, 'Summary, PPI''s'!O107)+IF(P$46=".", 0, 'Summary, PPI''s'!P107)</f>
        <v>831073.21363132086</v>
      </c>
      <c r="U107" s="1">
        <f>IF(E$60=".", 0, 'Summary, PPI''s'!E107)+IF(F$60=".", 0, 'Summary, PPI''s'!F107)+IF(G$60=".", 0, 'Summary, PPI''s'!G107)+IF(H$60=".", 0, 'Summary, PPI''s'!H107)+IF(I$60=".", 0, 'Summary, PPI''s'!I107)+IF(J$60=".", 0, 'Summary, PPI''s'!J107)+IF(K$60=".", 0, 'Summary, PPI''s'!K107)+IF(L$60=".", 0, 'Summary, PPI''s'!L107)+IF(M$60=".", 0, 'Summary, PPI''s'!M107)+IF(B$60=".", 0, 'Summary, PPI''s'!B107)+IF(C$60=".", 0, 'Summary, PPI''s'!C107)+IF(D$60=".", 0, 'Summary, PPI''s'!D107)+IF(N$60=".", 0, 'Summary, PPI''s'!N107)+IF(O$60=".", 0, 'Summary, PPI''s'!O107)+IF(P$60=".", 0, 'Summary, PPI''s'!P107)</f>
        <v>786617.2635730505</v>
      </c>
      <c r="V107" s="1">
        <f>IF(E$73=".", 0, 'Summary, PPI''s'!E107)+IF(F$73=".", 0, 'Summary, PPI''s'!F107)+IF(G$73=".", 0, 'Summary, PPI''s'!G107)+IF(H$73=".", 0, 'Summary, PPI''s'!H107)+IF(I$73=".", 0, 'Summary, PPI''s'!I107)+IF(J$73=".", 0, 'Summary, PPI''s'!J107)+IF(K$73=".", 0, 'Summary, PPI''s'!K107)+IF(L$73=".", 0, 'Summary, PPI''s'!L107)+IF(M$73=".", 0, 'Summary, PPI''s'!M107)+IF(B$73=".", 0, 'Summary, PPI''s'!B107)+IF(C$73=".", 0, 'Summary, PPI''s'!C107)+IF(D$73=".", 0, 'Summary, PPI''s'!D107)+IF(N$73=".", 0, 'Summary, PPI''s'!N107)+IF(O$73=".", 0, 'Summary, PPI''s'!O107)+IF(P$73=".", 0, 'Summary, PPI''s'!P107)</f>
        <v>571470.37863360881</v>
      </c>
      <c r="W107" s="1">
        <f>IF(E$94=".",0,'Summary, PPI''s'!E107)+IF(F$94=".",0,'Summary, PPI''s'!F107)+IF(G$94=".",0,'Summary, PPI''s'!G107)+IF(H$94=".",0,'Summary, PPI''s'!H107)+IF(I$94=".",0,'Summary, PPI''s'!I107)+IF(J$94=".",0,'Summary, PPI''s'!J107)+IF(K$94=".",0,'Summary, PPI''s'!K107)+IF(L$94=".",0,'Summary, PPI''s'!L107)+IF(M$94=".",0,'Summary, PPI''s'!M107)+IF(B$94=".",0,'Summary, PPI''s'!B107)+IF(C$94=".",0,'Summary, PPI''s'!C107)+IF(D$94=".",0,'Summary, PPI''s'!D107)+IF(N$94=".",0,'Summary, PPI''s'!N107)+IF(O$94=".",0,'Summary, PPI''s'!O107)+IF(P$94=".",0,'Summary, PPI''s'!P107)</f>
        <v>571470.37863360881</v>
      </c>
      <c r="X107" s="1">
        <f>IF(E$123=".", 0, 'Summary, PPI''s'!E107)+IF(F$123=".", 0, 'Summary, PPI''s'!F107)+IF(G$123=".", 0, 'Summary, PPI''s'!G107)+IF(H$123=".", 0, 'Summary, PPI''s'!H107)+IF(I$123=".", 0, 'Summary, PPI''s'!I107)+IF(J$123=".", 0, 'Summary, PPI''s'!J107)+IF(K$123=".", 0, 'Summary, PPI''s'!K107)+IF(L$123=".", 0, 'Summary, PPI''s'!L107)+IF(M$123=".", 0, 'Summary, PPI''s'!M107)+IF(B$123=".", 0, 'Summary, PPI''s'!B107)+IF(C$123=".", 0, 'Summary, PPI''s'!C107)+IF(D$123=".", 0, 'Summary, PPI''s'!D107)+IF(N$123=".", 0, 'Summary, PPI''s'!N107)+IF(O$123=".", 0, 'Summary, PPI''s'!O107)+IF(P$123=".", 0, 'Summary, PPI''s'!P107)</f>
        <v>571470.37863360881</v>
      </c>
      <c r="Z107" s="4" t="e">
        <f>Z106*IF(E$26=".", 1, (E107/E106)^(('Summary, PPI''s'!$E107+'Summary, PPI''s'!$E106)/('Predicted PPIs'!R107+'Predicted PPIs'!R106)))*IF(F$26=".", 1, (F107/F106)^(('Summary, PPI''s'!$F107+'Summary, PPI''s'!$F106)/('Predicted PPIs'!R107+'Predicted PPIs'!R106)))*IF(G$26=".", 1, (G107/G106)^(('Summary, PPI''s'!$G107+'Summary, PPI''s'!$G106)/('Predicted PPIs'!R107+'Predicted PPIs'!R106)))*IF(H$26=".", 1, (H107/H106)^(('Summary, PPI''s'!$H107+'Summary, PPI''s'!$H106)/('Predicted PPIs'!R107+'Predicted PPIs'!R106)))*IF(I$26=".", 1, (I107/I106)^(('Summary, PPI''s'!$I107+'Summary, PPI''s'!$I106)/('Predicted PPIs'!R107+'Predicted PPIs'!R106)))*IF(J$26=".", 1, (J107/J106)^(('Summary, PPI''s'!$J107+'Summary, PPI''s'!$J106)/('Predicted PPIs'!R107+'Predicted PPIs'!R106)))*IF(K$26=".", 1, (K107/K106)^(('Summary, PPI''s'!$K107+'Summary, PPI''s'!$K106)/('Predicted PPIs'!R107+'Predicted PPIs'!R106)))*IF(L$26=".", 1, (L107/L106)^(('Summary, PPI''s'!$L107+'Summary, PPI''s'!$L106)/('Predicted PPIs'!R107+'Predicted PPIs'!R106)))*IF(M$26=".", 1, (M107/M106)^(('Summary, PPI''s'!$M107+'Summary, PPI''s'!$M106)/('Predicted PPIs'!R107+'Predicted PPIs'!R106)))*IF(B$26=".", 1, (B107/B106)^(('Summary, PPI''s'!$B107+'Summary, PPI''s'!$B106)/('Predicted PPIs'!R107+'Predicted PPIs'!R106)))*IF(C$26=".", 1, (C107/C106)^(('Summary, PPI''s'!$C107+'Summary, PPI''s'!$C106)/('Predicted PPIs'!R107+'Predicted PPIs'!R106)))*IF(D$26=".", 1, (D107/D106)^(('Summary, PPI''s'!$D107+'Summary, PPI''s'!$D106)/('Predicted PPIs'!R107+'Predicted PPIs'!R106)))*IF(N$26=".", 1, (N107/N106)^(('Summary, PPI''s'!$N107+'Summary, PPI''s'!$N106)/('Predicted PPIs'!R107+'Predicted PPIs'!R106)))*IF(O$26=".", 1, (O107/O106)^(('Summary, PPI''s'!$O107+'Summary, PPI''s'!$O106)/('Predicted PPIs'!R107+'Predicted PPIs'!R106)))*IF(P$26=".", 1, (P107/P106)^(('Summary, PPI''s'!$P107+'Summary, PPI''s'!$P106)/('Predicted PPIs'!R107+'Predicted PPIs'!R106)))</f>
        <v>#VALUE!</v>
      </c>
      <c r="AA107" s="4" t="e">
        <f>AA106*IF(E$36=".", 1, (E107/E106)^(('Summary, PPI''s'!$E107+'Summary, PPI''s'!$E106)/('Predicted PPIs'!S107+'Predicted PPIs'!S106)))*IF(F$36=".", 1, (F107/F106)^(('Summary, PPI''s'!$F107+'Summary, PPI''s'!$F106)/('Predicted PPIs'!S107+'Predicted PPIs'!S106)))*IF(G$36=".", 1, (G107/G106)^(('Summary, PPI''s'!$G107+'Summary, PPI''s'!$G106)/('Predicted PPIs'!S107+'Predicted PPIs'!S106)))*IF(H$36=".", 1, (H107/H106)^(('Summary, PPI''s'!$H107+'Summary, PPI''s'!$H106)/('Predicted PPIs'!S107+'Predicted PPIs'!S106)))*IF(I$36=".", 1, (I107/I106)^(('Summary, PPI''s'!$I107+'Summary, PPI''s'!$I106)/('Predicted PPIs'!S107+'Predicted PPIs'!S106)))*IF(J$36=".", 1, (J107/J106)^(('Summary, PPI''s'!$J107+'Summary, PPI''s'!$J106)/('Predicted PPIs'!S107+'Predicted PPIs'!S106)))*IF(K$36=".", 1, (K107/K106)^(('Summary, PPI''s'!$K107+'Summary, PPI''s'!$K106)/('Predicted PPIs'!S107+'Predicted PPIs'!S106)))*IF(L$36=".", 1, (L107/L106)^(('Summary, PPI''s'!$L107+'Summary, PPI''s'!$L106)/('Predicted PPIs'!S107+'Predicted PPIs'!S106)))*IF(M$36=".", 1, (M107/M106)^(('Summary, PPI''s'!$M107+'Summary, PPI''s'!$M106)/('Predicted PPIs'!S107+'Predicted PPIs'!S106)))*IF(B$36=".", 1, (B107/B106)^(('Summary, PPI''s'!$B107+'Summary, PPI''s'!$B106)/('Predicted PPIs'!S107+'Predicted PPIs'!S106)))*IF(C$36=".", 1, (C107/C106)^(('Summary, PPI''s'!$C107+'Summary, PPI''s'!$C106)/('Predicted PPIs'!S107+'Predicted PPIs'!S106)))*IF(D$36=".", 1, (D107/D106)^(('Summary, PPI''s'!$D107+'Summary, PPI''s'!$D106)/('Predicted PPIs'!S107+'Predicted PPIs'!S106)))*IF(N$36=".", 1, (N107/N106)^(('Summary, PPI''s'!$N107+'Summary, PPI''s'!$N106)/('Predicted PPIs'!S107+'Predicted PPIs'!S106)))*IF(O$36=".", 1, (O107/O106)^(('Summary, PPI''s'!$O107+'Summary, PPI''s'!$O106)/('Predicted PPIs'!S107+'Predicted PPIs'!S106)))*IF(P$36=".", 1, (P107/P106)^(('Summary, PPI''s'!$P107+'Summary, PPI''s'!$P106)/('Predicted PPIs'!S107+'Predicted PPIs'!S106)))</f>
        <v>#VALUE!</v>
      </c>
      <c r="AB107" s="4" t="e">
        <f>AB106*IF(E$46=".", 1, (E107/E106)^(('Summary, PPI''s'!$E107+'Summary, PPI''s'!$E106)/('Predicted PPIs'!T107+'Predicted PPIs'!T106)))*IF(F$46=".", 1, (F107/F106)^(('Summary, PPI''s'!$F107+'Summary, PPI''s'!$F106)/('Predicted PPIs'!T107+'Predicted PPIs'!T106)))*IF(G$46=".", 1, (G107/G106)^(('Summary, PPI''s'!$G107+'Summary, PPI''s'!$G106)/('Predicted PPIs'!T107+'Predicted PPIs'!T106)))*IF(H$46=".", 1, (H107/H106)^(('Summary, PPI''s'!$H107+'Summary, PPI''s'!$H106)/('Predicted PPIs'!T107+'Predicted PPIs'!T106)))*IF(I$46=".", 1, (I107/I106)^(('Summary, PPI''s'!$I107+'Summary, PPI''s'!$I106)/('Predicted PPIs'!T107+'Predicted PPIs'!T106)))*IF(J$46=".", 1, (J107/J106)^(('Summary, PPI''s'!$J107+'Summary, PPI''s'!$J106)/('Predicted PPIs'!T107+'Predicted PPIs'!T106)))*IF(K$46=".", 1, (K107/K106)^(('Summary, PPI''s'!$K107+'Summary, PPI''s'!$K106)/('Predicted PPIs'!T107+'Predicted PPIs'!T106)))*IF(L$46=".", 1, (L107/L106)^(('Summary, PPI''s'!$L107+'Summary, PPI''s'!$L106)/('Predicted PPIs'!T107+'Predicted PPIs'!T106)))*IF(M$46=".", 1, (M107/M106)^(('Summary, PPI''s'!$M107+'Summary, PPI''s'!$M106)/('Predicted PPIs'!T107+'Predicted PPIs'!T106)))*IF(B$46=".", 1, (B107/B106)^(('Summary, PPI''s'!$B107+'Summary, PPI''s'!$B106)/('Predicted PPIs'!T107+'Predicted PPIs'!T106)))*IF(C$46=".", 1, (C107/C106)^(('Summary, PPI''s'!$C107+'Summary, PPI''s'!$C106)/('Predicted PPIs'!T107+'Predicted PPIs'!T106)))*IF(D$46=".", 1, (D107/D106)^(('Summary, PPI''s'!$D107+'Summary, PPI''s'!$D106)/('Predicted PPIs'!T107+'Predicted PPIs'!T106)))*IF(N$46=".", 1, (N107/N106)^(('Summary, PPI''s'!$N107+'Summary, PPI''s'!$N106)/('Predicted PPIs'!T107+'Predicted PPIs'!T106)))*IF(O$46=".", 1, (O107/O106)^(('Summary, PPI''s'!$O107+'Summary, PPI''s'!$O106)/('Predicted PPIs'!T107+'Predicted PPIs'!T106)))*IF(P$46=".", 1, (P107/P106)^(('Summary, PPI''s'!$P107+'Summary, PPI''s'!$P106)/('Predicted PPIs'!T107+'Predicted PPIs'!T106)))</f>
        <v>#VALUE!</v>
      </c>
      <c r="AC107" s="4" t="e">
        <f>AC106*IF(E$60=".",1,(E107/E106)^(('Summary, PPI''s'!$E107+'Summary, PPI''s'!$E106)/('Predicted PPIs'!U107+'Predicted PPIs'!U106)))*IF(F$60=".",1,(F107/F106)^(('Summary, PPI''s'!$F107+'Summary, PPI''s'!$F106)/('Predicted PPIs'!U107+'Predicted PPIs'!U106)))*IF(G$60=".",1,(G107/G106)^(('Summary, PPI''s'!$G107+'Summary, PPI''s'!$G106)/('Predicted PPIs'!U107+'Predicted PPIs'!U106)))*IF(H$60=".",1,(H107/H106)^(('Summary, PPI''s'!$H107+'Summary, PPI''s'!$H106)/('Predicted PPIs'!U107+'Predicted PPIs'!U106)))*IF(I$60=".",1,(I107/I106)^(('Summary, PPI''s'!$I107+'Summary, PPI''s'!$I106)/('Predicted PPIs'!U107+'Predicted PPIs'!U106)))*IF(J$60=".",1,(J107/J106)^(('Summary, PPI''s'!$J107+'Summary, PPI''s'!$J106)/('Predicted PPIs'!U107+'Predicted PPIs'!U106)))*IF(K$60=".",1,(K107/K106)^(('Summary, PPI''s'!$K107+'Summary, PPI''s'!$K106)/('Predicted PPIs'!U107+'Predicted PPIs'!U106)))*IF(L$60=".",1,(L107/L106)^(('Summary, PPI''s'!$L107+'Summary, PPI''s'!$L106)/('Predicted PPIs'!U107+'Predicted PPIs'!U106)))*IF(M$60=".",1,(M107/M106)^(('Summary, PPI''s'!$M107+'Summary, PPI''s'!$M106)/('Predicted PPIs'!U107+'Predicted PPIs'!U106)))*IF(B$60=".",1,(B107/B106)^(('Summary, PPI''s'!$B107+'Summary, PPI''s'!$B106)/('Predicted PPIs'!U107+'Predicted PPIs'!U106)))*IF(C$60=".",1,(C107/C106)^(('Summary, PPI''s'!$C107+'Summary, PPI''s'!$C106)/('Predicted PPIs'!U107+'Predicted PPIs'!U106)))*IF(D$60=".",1,(D107/D106)^(('Summary, PPI''s'!$D107+'Summary, PPI''s'!$D106)/('Predicted PPIs'!U107+'Predicted PPIs'!U106)))*IF(N$60=".",1,(N107/N106)^(('Summary, PPI''s'!$N107+'Summary, PPI''s'!$N106)/('Predicted PPIs'!U107+'Predicted PPIs'!U106)))*IF(O$60=".",1,(O107/O106)^(('Summary, PPI''s'!$O107+'Summary, PPI''s'!$O106)/('Predicted PPIs'!U107+'Predicted PPIs'!U106)))*IF(P$60=".",1,(P107/P106)^(('Summary, PPI''s'!$P107+'Summary, PPI''s'!$P106)/('Predicted PPIs'!U107+'Predicted PPIs'!U106)))</f>
        <v>#VALUE!</v>
      </c>
      <c r="AD107" s="4" t="e">
        <f>AD106*IF(E$73=".", 1, (E107/E106)^(('Summary, PPI''s'!$E107+'Summary, PPI''s'!$E106)/('Predicted PPIs'!V107+'Predicted PPIs'!V106)))*IF(F$73=".", 1, (F107/F106)^(('Summary, PPI''s'!$F107+'Summary, PPI''s'!$F106)/('Predicted PPIs'!V107+'Predicted PPIs'!V106)))*IF(G$73=".", 1, (G107/G106)^(('Summary, PPI''s'!$G107+'Summary, PPI''s'!$G106)/('Predicted PPIs'!V107+'Predicted PPIs'!V106)))*IF(H$73=".", 1, (H107/H106)^(('Summary, PPI''s'!$H107+'Summary, PPI''s'!$H106)/('Predicted PPIs'!V107+'Predicted PPIs'!V106)))*IF(I$73=".", 1, (I107/I106)^(('Summary, PPI''s'!$I107+'Summary, PPI''s'!$I106)/('Predicted PPIs'!V107+'Predicted PPIs'!V106)))*IF(J$73=".", 1, (J107/J106)^(('Summary, PPI''s'!$J107+'Summary, PPI''s'!$J106)/('Predicted PPIs'!V107+'Predicted PPIs'!V106)))*IF(K$73=".", 1, (K107/K106)^(('Summary, PPI''s'!$K107+'Summary, PPI''s'!$K106)/('Predicted PPIs'!V107+'Predicted PPIs'!V106)))*IF(L$73=".", 1, (L107/L106)^(('Summary, PPI''s'!$L107+'Summary, PPI''s'!$L106)/('Predicted PPIs'!V107+'Predicted PPIs'!V106)))*IF(M$73=".", 1, (M107/M106)^(('Summary, PPI''s'!$M107+'Summary, PPI''s'!$M106)/('Predicted PPIs'!V107+'Predicted PPIs'!V106)))*IF(B$73=".", 1, (B107/B106)^(('Summary, PPI''s'!$B107+'Summary, PPI''s'!$B106)/('Predicted PPIs'!V107+'Predicted PPIs'!V106)))*IF(C$73=".", 1, (C107/C106)^(('Summary, PPI''s'!$C107+'Summary, PPI''s'!$C106)/('Predicted PPIs'!V107+'Predicted PPIs'!V106)))*IF(D$73=".", 1, (D107/D106)^(('Summary, PPI''s'!$D107+'Summary, PPI''s'!$D106)/('Predicted PPIs'!V107+'Predicted PPIs'!V106)))*IF(N$73=".", 1, (N107/N106)^(('Summary, PPI''s'!$N107+'Summary, PPI''s'!$N106)/('Predicted PPIs'!V107+'Predicted PPIs'!V106)))*IF(O$73=".", 1, (O107/O106)^(('Summary, PPI''s'!$O107+'Summary, PPI''s'!$O106)/('Predicted PPIs'!V107+'Predicted PPIs'!V106)))*IF(P$73=".", 1, (P107/P106)^(('Summary, PPI''s'!$P107+'Summary, PPI''s'!$P106)/('Predicted PPIs'!V107+'Predicted PPIs'!V106)))</f>
        <v>#VALUE!</v>
      </c>
      <c r="AE107" s="4" t="e">
        <f>AE106*IF(E$94=".", 1, (E107/E106)^(('Summary, PPI''s'!$E107+'Summary, PPI''s'!$E106)/('Predicted PPIs'!W107+'Predicted PPIs'!W106)))*IF(F$94=".", 1, (F107/F106)^(('Summary, PPI''s'!$F107+'Summary, PPI''s'!$F106)/('Predicted PPIs'!W107+'Predicted PPIs'!W106)))*IF(G$94=".", 1, (G107/G106)^(('Summary, PPI''s'!$G107+'Summary, PPI''s'!$G106)/('Predicted PPIs'!W107+'Predicted PPIs'!W106)))*IF(H$94=".", 1, (H107/H106)^(('Summary, PPI''s'!$H107+'Summary, PPI''s'!$H106)/('Predicted PPIs'!W107+'Predicted PPIs'!W106)))*IF(I$94=".", 1, (I107/I106)^(('Summary, PPI''s'!$I107+'Summary, PPI''s'!$I106)/('Predicted PPIs'!W107+'Predicted PPIs'!W106)))*IF(J$94=".", 1, (J107/J106)^(('Summary, PPI''s'!$J107+'Summary, PPI''s'!$J106)/('Predicted PPIs'!W107+'Predicted PPIs'!W106)))*IF(K$94=".", 1, (K107/K106)^(('Summary, PPI''s'!$K107+'Summary, PPI''s'!$K106)/('Predicted PPIs'!W107+'Predicted PPIs'!W106)))*IF(L$94=".", 1, (L107/L106)^(('Summary, PPI''s'!$L107+'Summary, PPI''s'!$L106)/('Predicted PPIs'!W107+'Predicted PPIs'!W106)))*IF(M$94=".", 1, (M107/M106)^(('Summary, PPI''s'!$M107+'Summary, PPI''s'!$M106)/('Predicted PPIs'!W107+'Predicted PPIs'!W106)))*IF(B$94=".", 1, (B107/B106)^(('Summary, PPI''s'!$B107+'Summary, PPI''s'!$B106)/('Predicted PPIs'!W107+'Predicted PPIs'!W106)))*IF(C$94=".", 1, (C107/C106)^(('Summary, PPI''s'!$C107+'Summary, PPI''s'!$C106)/('Predicted PPIs'!W107+'Predicted PPIs'!W106)))*IF(D$94=".", 1, (D107/D106)^(('Summary, PPI''s'!$D107+'Summary, PPI''s'!$D106)/('Predicted PPIs'!W107+'Predicted PPIs'!W106)))*IF(N$94=".", 1, (N107/N106)^(('Summary, PPI''s'!$N107+'Summary, PPI''s'!$N106)/('Predicted PPIs'!W107+'Predicted PPIs'!W106)))*IF(O$94=".", 1, (O107/O106)^(('Summary, PPI''s'!$O107+'Summary, PPI''s'!$O106)/('Predicted PPIs'!W107+'Predicted PPIs'!W106)))*IF(P$94=".", 1, (P107/P106)^(('Summary, PPI''s'!$P107+'Summary, PPI''s'!$P106)/('Predicted PPIs'!W107+'Predicted PPIs'!W106)))</f>
        <v>#VALUE!</v>
      </c>
      <c r="AF107" s="4">
        <f>AF106*IF(E$123=".", 1, (E107/E106)^(('Summary, PPI''s'!$E107+'Summary, PPI''s'!$E106)/('Predicted PPIs'!X107+'Predicted PPIs'!X106)))*IF(F$123=".", 1, (F107/F106)^(('Summary, PPI''s'!$F107+'Summary, PPI''s'!$F106)/('Predicted PPIs'!X107+'Predicted PPIs'!X106)))*IF(G$123=".", 1, (G107/G106)^(('Summary, PPI''s'!$G107+'Summary, PPI''s'!$G106)/('Predicted PPIs'!X107+'Predicted PPIs'!X106)))*IF(H$123=".", 1, (H107/H106)^(('Summary, PPI''s'!$H107+'Summary, PPI''s'!$H106)/('Predicted PPIs'!X107+'Predicted PPIs'!X106)))*IF(I$123=".", 1, (I107/I106)^(('Summary, PPI''s'!$I107+'Summary, PPI''s'!$I106)/('Predicted PPIs'!X107+'Predicted PPIs'!X106)))*IF(J$123=".", 1, (J107/J106)^(('Summary, PPI''s'!$J107+'Summary, PPI''s'!$J106)/('Predicted PPIs'!X107+'Predicted PPIs'!X106)))*IF(K$123=".", 1, (K107/K106)^(('Summary, PPI''s'!$K107+'Summary, PPI''s'!$K106)/('Predicted PPIs'!X107+'Predicted PPIs'!X106)))*IF(L$123=".", 1, (L107/L106)^(('Summary, PPI''s'!$L107+'Summary, PPI''s'!$L106)/('Predicted PPIs'!X107+'Predicted PPIs'!X106)))*IF(M$123=".", 1, (M107/M106)^(('Summary, PPI''s'!$M107+'Summary, PPI''s'!$M106)/('Predicted PPIs'!X107+'Predicted PPIs'!X106)))*IF(B$123=".", 1, (B107/B106)^(('Summary, PPI''s'!$B107+'Summary, PPI''s'!$B106)/('Predicted PPIs'!X107+'Predicted PPIs'!X106)))*IF(C$123=".", 1, (C107/C106)^(('Summary, PPI''s'!$C107+'Summary, PPI''s'!$C106)/('Predicted PPIs'!X107+'Predicted PPIs'!X106)))*IF(D$123=".", 1, (D107/D106)^(('Summary, PPI''s'!$D107+'Summary, PPI''s'!$D106)/('Predicted PPIs'!X107+'Predicted PPIs'!X106)))*IF(N$123=".", 1, (N107/N106)^(('Summary, PPI''s'!$N107+'Summary, PPI''s'!$N106)/('Predicted PPIs'!X107+'Predicted PPIs'!X106)))*IF(O$123=".", 1, (O107/O106)^(('Summary, PPI''s'!$O107+'Summary, PPI''s'!$O106)/('Predicted PPIs'!X107+'Predicted PPIs'!X106)))*IF(P$123=".", 1, (P107/P106)^(('Summary, PPI''s'!$P107+'Summary, PPI''s'!$P106)/('Predicted PPIs'!X107+'Predicted PPIs'!X106)))</f>
        <v>2.6620857033995873</v>
      </c>
      <c r="AH107" s="13">
        <f t="shared" si="212"/>
        <v>3.801609911446644</v>
      </c>
      <c r="AJ107" s="4">
        <f t="shared" si="207"/>
        <v>30.70459196777885</v>
      </c>
      <c r="AK107" s="4">
        <f t="shared" si="191"/>
        <v>-0.6795473648682836</v>
      </c>
      <c r="AL107" s="4">
        <f t="shared" si="192"/>
        <v>-2.3278365073246285</v>
      </c>
      <c r="AM107" s="4">
        <f t="shared" si="193"/>
        <v>-0.3621872411703112</v>
      </c>
      <c r="AN107" s="4">
        <f t="shared" si="176"/>
        <v>40.945777676611826</v>
      </c>
      <c r="AO107" s="4">
        <v>6.6</v>
      </c>
      <c r="AP107" s="4">
        <f t="shared" si="177"/>
        <v>-0.61058823529411765</v>
      </c>
      <c r="AQ107" s="4">
        <f t="shared" si="178"/>
        <v>-1.1542941176470582</v>
      </c>
      <c r="AR107" s="4">
        <f t="shared" si="210"/>
        <v>-4.9763541516218623E-5</v>
      </c>
      <c r="AS107" s="4">
        <f t="shared" si="208"/>
        <v>-0.10229383689562151</v>
      </c>
      <c r="AT107" s="4">
        <f t="shared" si="194"/>
        <v>5.1913893719806774</v>
      </c>
      <c r="AU107" s="4">
        <f t="shared" si="195"/>
        <v>8.5482570048309174</v>
      </c>
      <c r="AV107" s="4">
        <f t="shared" si="196"/>
        <v>6.6483961352656999</v>
      </c>
      <c r="AW107" s="4">
        <f t="shared" si="197"/>
        <v>3.7176289855072469</v>
      </c>
      <c r="AX107" s="4">
        <f t="shared" si="198"/>
        <v>4.9449521403456664</v>
      </c>
      <c r="AY107" s="4">
        <f t="shared" si="199"/>
        <v>5.8146241545893718</v>
      </c>
      <c r="AZ107" s="4">
        <f t="shared" si="200"/>
        <v>1.9875381642512082</v>
      </c>
      <c r="BA107" s="4">
        <f t="shared" si="201"/>
        <v>5.3840560386473415</v>
      </c>
      <c r="BB107" s="4">
        <f t="shared" si="202"/>
        <v>30.795473365565741</v>
      </c>
      <c r="BC107" s="4">
        <f t="shared" si="203"/>
        <v>5.0467497584541068</v>
      </c>
      <c r="BD107" s="5">
        <f>'[2]Ordinary Experience'!$AD$319</f>
        <v>115.6</v>
      </c>
      <c r="BE107" s="5">
        <f>'[2]Ordinary Experience'!$AC$319</f>
        <v>1.0380573646115059</v>
      </c>
      <c r="BG107" s="4">
        <f t="shared" si="172"/>
        <v>6.0641619446667496</v>
      </c>
      <c r="BI107" s="4">
        <f>BI$13*'[2]Ordinary Experience'!$D$319/'[2]Ordinary Experience'!$D$413</f>
        <v>100359023.12765896</v>
      </c>
      <c r="BJ107" s="4">
        <f>'[2]Ordinary Experience'!$E$319</f>
        <v>31.919662075743858</v>
      </c>
      <c r="BL107" s="4">
        <f t="shared" si="211"/>
        <v>22.393830719872707</v>
      </c>
      <c r="BM107" s="4">
        <f t="shared" si="153"/>
        <v>-2.1751733948511154E-2</v>
      </c>
      <c r="BO107" s="4" t="str">
        <f>IF(OR('Summary, hourly ad costs'!R107=-9999,'Summary, PPI''s'!R107="."),".",(('Summary, hourly ad costs'!B107/'Summary, hourly ad costs'!R107)*100/('Summary, hourly ad costs'!B$11/'Summary, hourly ad costs'!R$11))/('Summary, PPI''s'!R107))</f>
        <v>.</v>
      </c>
      <c r="BP107" s="4" t="str">
        <f>IF(OR('Summary, hourly ad costs'!S107=-9999,'Summary, PPI''s'!S107="."),".",(('Summary, hourly ad costs'!C107/'Summary, hourly ad costs'!S107)*100/('Summary, hourly ad costs'!C$11/'Summary, hourly ad costs'!S$11))/('Summary, PPI''s'!S107))</f>
        <v>.</v>
      </c>
      <c r="BQ107" s="4" t="str">
        <f>IF(OR('Summary, hourly ad costs'!T107=-9999,'Summary, PPI''s'!T107="."),".",(('Summary, hourly ad costs'!D107/'Summary, hourly ad costs'!T107)*100/('Summary, hourly ad costs'!D$11/'Summary, hourly ad costs'!T$11))/('Summary, PPI''s'!T107))</f>
        <v>.</v>
      </c>
      <c r="BR107" s="4" t="str">
        <f>IF(OR('Summary, hourly ad costs'!U107=-9999,'Summary, PPI''s'!U107="."),".",(('Summary, hourly ad costs'!E107/'Summary, hourly ad costs'!U107)*100/('Summary, hourly ad costs'!E$11/'Summary, hourly ad costs'!U$11))/('Summary, PPI''s'!U107))</f>
        <v>.</v>
      </c>
      <c r="BS107" s="4" t="str">
        <f>IF(OR('Summary, hourly ad costs'!V107=-9999,'Summary, PPI''s'!V107="."),".",(('Summary, hourly ad costs'!F107/'Summary, hourly ad costs'!V107)*100/('Summary, hourly ad costs'!F$11/'Summary, hourly ad costs'!V$11))/('Summary, PPI''s'!V107))</f>
        <v>.</v>
      </c>
      <c r="BT107" s="4" t="str">
        <f>IF(OR('Summary, hourly ad costs'!W107=-9999,'Summary, PPI''s'!W107="."),".",(('Summary, hourly ad costs'!G107/'Summary, hourly ad costs'!W107)*100/('Summary, hourly ad costs'!G$11/'Summary, hourly ad costs'!W$11))/('Summary, PPI''s'!W107))</f>
        <v>.</v>
      </c>
      <c r="BU107" s="4" t="str">
        <f>IF(OR('Summary, hourly ad costs'!X107=-9999,'Summary, PPI''s'!X107="."),".",(('Summary, hourly ad costs'!H107/'Summary, hourly ad costs'!X107)*100/('Summary, hourly ad costs'!H$11/'Summary, hourly ad costs'!X$11))/('Summary, PPI''s'!X107))</f>
        <v>.</v>
      </c>
      <c r="BV107" s="4" t="str">
        <f>IF(OR('Summary, hourly ad costs'!Y107=-9999,'Summary, PPI''s'!Y107="."),".",(('Summary, hourly ad costs'!I107/'Summary, hourly ad costs'!Y107)*100/('Summary, hourly ad costs'!I$11/'Summary, hourly ad costs'!Y$11))/('Summary, PPI''s'!Y107))</f>
        <v>.</v>
      </c>
      <c r="BW107" s="4" t="str">
        <f>IF(OR('Summary, hourly ad costs'!Z107=-9999,'Summary, PPI''s'!Z107="."),".",(('Summary, hourly ad costs'!J107/'Summary, hourly ad costs'!Z107)*100/('Summary, hourly ad costs'!J$11/'Summary, hourly ad costs'!Z$11))/('Summary, PPI''s'!Z107))</f>
        <v>.</v>
      </c>
      <c r="BX107" s="4" t="str">
        <f>IF(OR('Summary, hourly ad costs'!AA107=-9999,'Summary, PPI''s'!AA107="."),".",(('Summary, hourly ad costs'!K107/'Summary, hourly ad costs'!AA107)*100/('Summary, hourly ad costs'!K$11/'Summary, hourly ad costs'!AA$11))/('Summary, PPI''s'!AA107))</f>
        <v>.</v>
      </c>
      <c r="BY107" s="4" t="str">
        <f>IF(OR('Summary, hourly ad costs'!AB107=-9999,'Summary, PPI''s'!AB107="."),".",(('Summary, hourly ad costs'!L107/'Summary, hourly ad costs'!AB107)*100/('Summary, hourly ad costs'!L$11/'Summary, hourly ad costs'!AB$11))/('Summary, PPI''s'!AB107))</f>
        <v>.</v>
      </c>
      <c r="BZ107" s="4" t="str">
        <f>IF(OR('Summary, hourly ad costs'!AC107=-9999,'Summary, PPI''s'!AC107="."),".",(('Summary, hourly ad costs'!M107/'Summary, hourly ad costs'!AC107)*100/('Summary, hourly ad costs'!M$11/'Summary, hourly ad costs'!AC$11))/('Summary, PPI''s'!AC107))</f>
        <v>.</v>
      </c>
      <c r="CA107" s="4" t="str">
        <f>IF(OR('Summary, hourly ad costs'!AD107=-9999,'Summary, PPI''s'!AD107="."),".",(('Summary, hourly ad costs'!N107/'Summary, hourly ad costs'!AD107)*100/('Summary, hourly ad costs'!N$11/'Summary, hourly ad costs'!AD$11))/('Summary, PPI''s'!AD107))</f>
        <v>.</v>
      </c>
      <c r="CB107" s="4" t="str">
        <f>IF(OR('Summary, hourly ad costs'!AE107=-9999,'Summary, PPI''s'!AE107="."),".",(('Summary, hourly ad costs'!O107/'Summary, hourly ad costs'!AE107)*100/('Summary, hourly ad costs'!O$11/'Summary, hourly ad costs'!AE$11))/('Summary, PPI''s'!AE107))</f>
        <v>.</v>
      </c>
      <c r="CC107" s="4" t="str">
        <f>IF(OR('Summary, hourly ad costs'!AF107=-9999,'Summary, PPI''s'!AF107="."),".",(('Summary, hourly ad costs'!P107/'Summary, hourly ad costs'!AF107)*100/('Summary, hourly ad costs'!P$11/'Summary, hourly ad costs'!AF$11))/('Summary, PPI''s'!AF107))</f>
        <v>.</v>
      </c>
      <c r="CE107" s="4">
        <f t="shared" si="183"/>
        <v>-5.2478261234926757E-2</v>
      </c>
      <c r="CF107" s="4" t="str">
        <f t="shared" si="184"/>
        <v>.</v>
      </c>
      <c r="CG107" s="4" t="str">
        <f t="shared" si="185"/>
        <v>.</v>
      </c>
      <c r="CH107" s="4">
        <f t="shared" si="145"/>
        <v>-4.932772944250112E-2</v>
      </c>
      <c r="CI107" s="4">
        <f t="shared" si="145"/>
        <v>-5.4318694536641079E-2</v>
      </c>
      <c r="CJ107" s="4" t="str">
        <f t="shared" si="209"/>
        <v>.</v>
      </c>
      <c r="CK107" s="4">
        <f t="shared" si="149"/>
        <v>5.7694945987334907E-3</v>
      </c>
      <c r="CL107" s="4">
        <f t="shared" si="130"/>
        <v>-3.8250177268668341E-2</v>
      </c>
      <c r="CM107" s="4">
        <f t="shared" si="130"/>
        <v>1.0002187541420793E-3</v>
      </c>
      <c r="CN107" s="4">
        <f t="shared" si="204"/>
        <v>-5.2979201222410718E-2</v>
      </c>
      <c r="CO107" s="4">
        <f t="shared" si="180"/>
        <v>-0.14876415564352954</v>
      </c>
      <c r="CP107" s="4">
        <f t="shared" si="180"/>
        <v>0.24848875923365782</v>
      </c>
      <c r="CQ107" s="4" t="str">
        <f t="shared" si="173"/>
        <v>.</v>
      </c>
      <c r="CR107" s="4" t="str">
        <f t="shared" si="174"/>
        <v>.</v>
      </c>
      <c r="CS107" s="4" t="str">
        <f t="shared" si="175"/>
        <v>.</v>
      </c>
      <c r="CU107" s="5">
        <f>IF(CU106=".", ".", IF('Summary, PPI''s'!R107=".",IF(OR('Summary, hourly ad costs'!R107=-9999,'Summary, hourly ad costs'!R107=0), ".", 'Predicted PPIs'!CU106*('Summary, hourly ad costs'!B107/'Summary, hourly ad costs'!R107)/('Summary, hourly ad costs'!B106/'Summary, hourly ad costs'!R106)/(1-CE106)), 'Summary, PPI''s'!R107))</f>
        <v>26.792719361157129</v>
      </c>
      <c r="CV107" s="5" t="str">
        <f>IF(CV106=".", ".", IF('Summary, PPI''s'!S107=".",IF(OR('Summary, hourly ad costs'!S107=-9999,'Summary, hourly ad costs'!S107=0), ".", 'Predicted PPIs'!CV106*('Summary, hourly ad costs'!C107/'Summary, hourly ad costs'!S107)/('Summary, hourly ad costs'!C106/'Summary, hourly ad costs'!S106)/(1-CF106)), 'Summary, PPI''s'!S107))</f>
        <v>.</v>
      </c>
      <c r="CW107" s="5" t="str">
        <f>IF(CW106=".", ".", IF('Summary, PPI''s'!T107=".",IF(OR('Summary, hourly ad costs'!T107=-9999,'Summary, hourly ad costs'!T107=0), ".", 'Predicted PPIs'!CW106*('Summary, hourly ad costs'!D107/'Summary, hourly ad costs'!T107)/('Summary, hourly ad costs'!D106/'Summary, hourly ad costs'!T106)/(1-CG106)), 'Summary, PPI''s'!T107))</f>
        <v>.</v>
      </c>
      <c r="CX107" s="5">
        <f>IF(CX106=".", ".", IF('Summary, PPI''s'!U107=".",IF(OR('Summary, hourly ad costs'!U107=-9999,'Summary, hourly ad costs'!U107=0), ".", 'Predicted PPIs'!CX106*('Summary, hourly ad costs'!E107/'Summary, hourly ad costs'!U107)/('Summary, hourly ad costs'!E106/'Summary, hourly ad costs'!U106)/(1-CH106)), 'Summary, PPI''s'!U107))</f>
        <v>1.3197765274558293</v>
      </c>
      <c r="CY107" s="5">
        <f>IF(CY106=".", ".", IF('Summary, PPI''s'!V107=".",IF(OR('Summary, hourly ad costs'!V107=-9999,'Summary, hourly ad costs'!V107=0), ".", 'Predicted PPIs'!CY106*('Summary, hourly ad costs'!F107/'Summary, hourly ad costs'!V107)/('Summary, hourly ad costs'!F106/'Summary, hourly ad costs'!V106)/(1-CI106)), 'Summary, PPI''s'!V107))</f>
        <v>1.9096061002282803</v>
      </c>
      <c r="CZ107" s="5" t="str">
        <f>IF(CZ106=".", ".", IF('Summary, PPI''s'!W107=".",IF(OR('Summary, hourly ad costs'!W107=-9999,'Summary, hourly ad costs'!W107=0), ".", 'Predicted PPIs'!CZ106*('Summary, hourly ad costs'!G107/'Summary, hourly ad costs'!W107)/('Summary, hourly ad costs'!G106/'Summary, hourly ad costs'!W106)/(1-CJ106)), 'Summary, PPI''s'!W107))</f>
        <v>.</v>
      </c>
      <c r="DA107" s="5">
        <f>IF(DA106=".", ".", IF('Summary, PPI''s'!X107=".",IF(OR('Summary, hourly ad costs'!X107=-9999,'Summary, hourly ad costs'!X107=0), ".", 'Predicted PPIs'!DA106*('Summary, hourly ad costs'!H107/'Summary, hourly ad costs'!X107)/('Summary, hourly ad costs'!H106/'Summary, hourly ad costs'!X106)/(1-CK106)), 'Summary, PPI''s'!X107))</f>
        <v>1.2834576284472441</v>
      </c>
      <c r="DB107" s="5" t="str">
        <f>IF(DB106=".", ".", IF('Summary, PPI''s'!Y107=".",IF(OR('Summary, hourly ad costs'!Y107=-9999,'Summary, hourly ad costs'!Y107=0), ".", 'Predicted PPIs'!DB106*('Summary, hourly ad costs'!I107/'Summary, hourly ad costs'!Y107)/('Summary, hourly ad costs'!I106/'Summary, hourly ad costs'!Y106)/(1-CL106)), 'Summary, PPI''s'!Y107))</f>
        <v>.</v>
      </c>
      <c r="DC107" s="5" t="str">
        <f>IF(DC106=".", ".", IF('Summary, PPI''s'!Z107=".",IF(OR('Summary, hourly ad costs'!Z107=-9999,'Summary, hourly ad costs'!Z107=0), ".", 'Predicted PPIs'!DC106*('Summary, hourly ad costs'!J107/'Summary, hourly ad costs'!Z107)/('Summary, hourly ad costs'!J106/'Summary, hourly ad costs'!Z106)/(1-CM106)), 'Summary, PPI''s'!Z107))</f>
        <v>.</v>
      </c>
      <c r="DD107" s="5" t="str">
        <f>IF(DD106=".", ".", IF('Summary, PPI''s'!AA107=".",IF(OR('Summary, hourly ad costs'!AA107=-9999,'Summary, hourly ad costs'!AA107=0), ".", 'Predicted PPIs'!DD106*('Summary, hourly ad costs'!K107/'Summary, hourly ad costs'!AA107)/('Summary, hourly ad costs'!K106/'Summary, hourly ad costs'!AA106)/(1-CN106)), 'Summary, PPI''s'!AA107))</f>
        <v>.</v>
      </c>
      <c r="DE107" s="5" t="str">
        <f>IF(DE106=".", ".", IF('Summary, PPI''s'!AB107=".",IF(OR('Summary, hourly ad costs'!AB107=-9999,'Summary, hourly ad costs'!AB107=0), ".", 'Predicted PPIs'!DE106*('Summary, hourly ad costs'!L107/'Summary, hourly ad costs'!AB107)/('Summary, hourly ad costs'!L106/'Summary, hourly ad costs'!AB106)/(1-CO106)), 'Summary, PPI''s'!AB107))</f>
        <v>.</v>
      </c>
      <c r="DF107" s="5" t="str">
        <f>IF(DF106=".", ".", IF('Summary, PPI''s'!AC107=".",IF(OR('Summary, hourly ad costs'!AC107=-9999,'Summary, hourly ad costs'!AC107=0), ".", 'Predicted PPIs'!DF106*('Summary, hourly ad costs'!M107/'Summary, hourly ad costs'!AC107)/('Summary, hourly ad costs'!M106/'Summary, hourly ad costs'!AC106)/(1-CP106)), 'Summary, PPI''s'!AC107))</f>
        <v>.</v>
      </c>
      <c r="DG107" s="5" t="str">
        <f>IF(DG106=".", ".", IF('Summary, PPI''s'!AD107=".",IF(OR('Summary, hourly ad costs'!AD107=-9999,'Summary, hourly ad costs'!AD107=0), ".", 'Predicted PPIs'!DG106*('Summary, hourly ad costs'!N107/'Summary, hourly ad costs'!AD107)/('Summary, hourly ad costs'!N106/'Summary, hourly ad costs'!AD106)/(1-CQ106)), 'Summary, PPI''s'!AD107))</f>
        <v>.</v>
      </c>
      <c r="DH107" s="5" t="str">
        <f>IF(DH106=".", ".", IF('Summary, PPI''s'!AE107=".",IF(OR('Summary, hourly ad costs'!AE107=-9999,'Summary, hourly ad costs'!AE107=0), ".", 'Predicted PPIs'!DH106*('Summary, hourly ad costs'!O107/'Summary, hourly ad costs'!AE107)/('Summary, hourly ad costs'!O106/'Summary, hourly ad costs'!AE106)/(1-CR106)), 'Summary, PPI''s'!AE107))</f>
        <v>.</v>
      </c>
      <c r="DI107" s="5" t="str">
        <f>IF(DI106=".", ".", IF('Summary, PPI''s'!AF107=".",IF(OR('Summary, hourly ad costs'!AF107=-9999,'Summary, hourly ad costs'!AF107=0), ".", 'Predicted PPIs'!DI106*('Summary, hourly ad costs'!P107/'Summary, hourly ad costs'!AF107)/('Summary, hourly ad costs'!P106/'Summary, hourly ad costs'!AF106)/(1-CS106)), 'Summary, PPI''s'!AF107))</f>
        <v>.</v>
      </c>
      <c r="DK107" s="4">
        <f t="shared" si="205"/>
        <v>1.3273789473684208</v>
      </c>
      <c r="DM107" s="5">
        <f t="shared" si="186"/>
        <v>1.0704069124060966E-2</v>
      </c>
      <c r="DN107" s="4">
        <f t="shared" si="187"/>
        <v>-1.5430482168764935E-2</v>
      </c>
      <c r="DO107" s="4">
        <f t="shared" si="181"/>
        <v>-2.2994332033642578E-2</v>
      </c>
      <c r="DP107" s="5">
        <f t="shared" si="188"/>
        <v>4.2757124772935695E-2</v>
      </c>
      <c r="DQ107" s="5">
        <f t="shared" si="189"/>
        <v>0.20783860882010496</v>
      </c>
      <c r="DR107" s="4">
        <f t="shared" si="146"/>
        <v>-1.4299043913516609E-2</v>
      </c>
      <c r="DS107" s="5">
        <f t="shared" si="190"/>
        <v>2.5978737173739441E-2</v>
      </c>
      <c r="DT107" s="4">
        <f t="shared" si="206"/>
        <v>2.635464273073641E-2</v>
      </c>
      <c r="DU107" s="4">
        <f t="shared" si="171"/>
        <v>-3.995421391140476E-2</v>
      </c>
      <c r="DV107" s="4">
        <f t="shared" si="131"/>
        <v>1.6635714853855765E-3</v>
      </c>
      <c r="DW107" s="4">
        <f t="shared" si="182"/>
        <v>4.5085758285644463E-2</v>
      </c>
      <c r="DX107" s="4">
        <f t="shared" si="182"/>
        <v>-0.25952727306578677</v>
      </c>
      <c r="DY107" s="4">
        <f t="shared" si="228"/>
        <v>-2.2973755173700743E-2</v>
      </c>
      <c r="DZ107" s="4">
        <f t="shared" si="132"/>
        <v>-1.6851281195651328E-2</v>
      </c>
      <c r="EA107" s="4">
        <f t="shared" si="229"/>
        <v>-1.3740342233177738E-2</v>
      </c>
      <c r="EC107" s="1">
        <f t="shared" si="213"/>
        <v>26.792719361157129</v>
      </c>
      <c r="ED107" s="1">
        <f t="shared" si="214"/>
        <v>1.4829031742771857</v>
      </c>
      <c r="EE107" s="1">
        <f t="shared" si="215"/>
        <v>0.81918415493930841</v>
      </c>
      <c r="EF107" s="1">
        <f t="shared" si="216"/>
        <v>1.3197765274558293</v>
      </c>
      <c r="EG107" s="1">
        <f t="shared" si="217"/>
        <v>1.9096061002282803</v>
      </c>
      <c r="EH107" s="1">
        <f t="shared" si="218"/>
        <v>1.146438939034234</v>
      </c>
      <c r="EI107" s="1">
        <f t="shared" si="219"/>
        <v>1.2834576284472441</v>
      </c>
      <c r="EJ107" s="1">
        <f t="shared" si="220"/>
        <v>1.8220834798185348</v>
      </c>
      <c r="EK107" s="1">
        <f t="shared" si="221"/>
        <v>2.7735399921830841</v>
      </c>
      <c r="EL107" s="1">
        <f t="shared" si="222"/>
        <v>1.0971441930821815</v>
      </c>
      <c r="EM107" s="1">
        <f t="shared" si="223"/>
        <v>6.7512483094507109E-2</v>
      </c>
      <c r="EN107" s="1">
        <f t="shared" si="224"/>
        <v>0.84393145316685425</v>
      </c>
      <c r="EO107" s="1">
        <f t="shared" si="225"/>
        <v>0.60457728260404153</v>
      </c>
      <c r="EP107" s="1">
        <f t="shared" si="226"/>
        <v>1.0816341056294314</v>
      </c>
      <c r="EQ107" s="1">
        <f t="shared" si="227"/>
        <v>0.86301845342752914</v>
      </c>
      <c r="ES107" s="1">
        <f>IF(EF$26=".", 0, 'Summary, PPI''s'!E107)+IF(EG$26=".", 0, 'Summary, PPI''s'!F107)+IF(EH$26=".", 0, 'Summary, PPI''s'!G107)+IF(EI$26=".", 0, 'Summary, PPI''s'!H107)+IF(EJ$26=".", 0, 'Summary, PPI''s'!I107)+IF(EK$26=".", 0, 'Summary, PPI''s'!J107)+IF(EL$26=".", 0, 'Summary, PPI''s'!K107)+IF(EM$26=".", 0, 'Summary, PPI''s'!L107)+IF(EN$26=".", 0, 'Summary, PPI''s'!M107)+IF(EC$26=".", 0, 'Summary, PPI''s'!B107)+IF(ED$26=".", 0, 'Summary, PPI''s'!C107)+IF(EE$26=".", 0, 'Summary, PPI''s'!D107)+IF(EO$26=".", 0, 'Summary, PPI''s'!N107)+IF(EP$26=".", 0, 'Summary, PPI''s'!O107)+IF(EQ$26=".", 0, 'Summary, PPI''s'!P107)</f>
        <v>931614.59657495131</v>
      </c>
      <c r="ET107" s="1">
        <f>'Summary, hourly ad costs'!E107+'Summary, hourly ad costs'!F107+'Summary, hourly ad costs'!H107+'Summary, hourly ad costs'!I107+'Summary, hourly ad costs'!J107+'Summary, hourly ad costs'!K107+'Summary, hourly ad costs'!L107+'Summary, hourly ad costs'!M107+'Summary, hourly ad costs'!B107</f>
        <v>571470.37863360881</v>
      </c>
      <c r="EV107" s="13">
        <f>EV106*IF(EF$26=".", 1, (EF107/EF106)^(('Summary, PPI''s'!$E107+'Summary, PPI''s'!$E106)/('Predicted PPIs'!ES107+'Predicted PPIs'!ES106)))*IF(EG$26=".", 1, (EG107/EG106)^(('Summary, PPI''s'!$F107+'Summary, PPI''s'!$F106)/('Predicted PPIs'!ES107+'Predicted PPIs'!ES106)))*IF(EH$26=".", 1, (EH107/EH106)^(('Summary, PPI''s'!$G107+'Summary, PPI''s'!$G106)/('Predicted PPIs'!ES107+'Predicted PPIs'!ES106)))*IF(EI$26=".", 1, (EI107/EI106)^(('Summary, PPI''s'!$H107+'Summary, PPI''s'!$H106)/('Predicted PPIs'!ES107+'Predicted PPIs'!ES106)))*IF(EJ$26=".", 1, (EJ107/EJ106)^(('Summary, PPI''s'!$I107+'Summary, PPI''s'!$I106)/('Predicted PPIs'!ES107+'Predicted PPIs'!ES106)))*IF(EK$26=".", 1, (EK107/EK106)^(('Summary, PPI''s'!$J107+'Summary, PPI''s'!$J106)/('Predicted PPIs'!ES107+'Predicted PPIs'!ES106)))*IF(EL$26=".", 1, (EL107/EL106)^(('Summary, PPI''s'!$K107+'Summary, PPI''s'!$K106)/('Predicted PPIs'!ES107+'Predicted PPIs'!ES106)))*IF(EM$26=".", 1, (EM107/EM106)^(('Summary, PPI''s'!$L107+'Summary, PPI''s'!$L106)/('Predicted PPIs'!ES107+'Predicted PPIs'!ES106)))*IF(EN$26=".", 1, (EN107/EN106)^(('Summary, PPI''s'!$M107+'Summary, PPI''s'!$M106)/('Predicted PPIs'!ES107+'Predicted PPIs'!ES106)))*IF(EC$26=".", 1, (EC107/EC106)^(('Summary, PPI''s'!$B107+'Summary, PPI''s'!$B106)/('Predicted PPIs'!ES107+'Predicted PPIs'!ES106)))*IF(ED$26=".", 1, (ED107/ED106)^(('Summary, PPI''s'!$C107+'Summary, PPI''s'!$C106)/('Predicted PPIs'!ES107+'Predicted PPIs'!ES106)))*IF(EE$26=".", 1, (EE107/EE106)^(('Summary, PPI''s'!$D107+'Summary, PPI''s'!$D106)/('Predicted PPIs'!ES107+'Predicted PPIs'!ES106)))*IF(EO$26=".", 1, (EO107/EO106)^(('Summary, PPI''s'!$N107+'Summary, PPI''s'!$N106)/('Predicted PPIs'!ES107+'Predicted PPIs'!ES106)))*IF(EP$26=".", 1, (EP107/EP106)^(('Summary, PPI''s'!$O107+'Summary, PPI''s'!$O106)/('Predicted PPIs'!ES107+'Predicted PPIs'!ES106)))*IF(EQ$26=".", 1, (EQ107/EQ106)^(('Summary, PPI''s'!$P107+'Summary, PPI''s'!$P106)/('Predicted PPIs'!ES107+'Predicted PPIs'!ES106)))</f>
        <v>2.1277005804666964</v>
      </c>
      <c r="EW107" s="13">
        <f>EW106*IF(EF$26=".", 1, (EF107/EF106)^(('Summary, PPI''s'!$E107+'Summary, PPI''s'!$E106)/('Predicted PPIs'!ET107+'Predicted PPIs'!ET106)))*IF(EG$26=".", 1, (EG107/EG106)^(('Summary, PPI''s'!$F107+'Summary, PPI''s'!$F106)/('Predicted PPIs'!ET107+'Predicted PPIs'!ET106)))*IF(EH$26=".", 1, (EH107/EH106)^(('Summary, PPI''s'!$G107+'Summary, PPI''s'!$G106)/('Predicted PPIs'!ET107+'Predicted PPIs'!ET106)))*IF(EK$26=".", 1, (EK107/EK106)^(('Summary, PPI''s'!$J107+'Summary, PPI''s'!$J106)/('Predicted PPIs'!ET107+'Predicted PPIs'!ET106)))*IF(EL$26=".", 1, (EL107/EL106)^(('Summary, PPI''s'!$K107+'Summary, PPI''s'!$K106)/('Predicted PPIs'!ET107+'Predicted PPIs'!ET106)))*IF(EM$26=".", 1, (EM107/EM106)^(('Summary, PPI''s'!$L107+'Summary, PPI''s'!$L106)/('Predicted PPIs'!ET107+'Predicted PPIs'!ET106)))*IF(EN$26=".", 1, (EN107/EN106)^(('Summary, PPI''s'!$M107+'Summary, PPI''s'!$M106)/('Predicted PPIs'!ET107+'Predicted PPIs'!ET106)))*IF(EC$26=".", 1, (EC107/EC106)^(('Summary, PPI''s'!$B107+'Summary, PPI''s'!$B106)/('Predicted PPIs'!ET107+'Predicted PPIs'!ET106)))</f>
        <v>4.4817660994615336</v>
      </c>
      <c r="EY107" s="2"/>
    </row>
    <row r="108" spans="1:155" x14ac:dyDescent="0.3">
      <c r="A108" s="4">
        <v>1915</v>
      </c>
      <c r="B108" s="10">
        <f>IF(B107=".", ".", IF('Summary, PPI''s'!R108=".",IF(OR('Summary, hourly ad costs'!R108=-9999,'Summary, hourly ad costs'!R108=0), ".", 'Predicted PPIs'!B107*('Summary, hourly ad costs'!B108/'Summary, hourly ad costs'!R108)/('Summary, hourly ad costs'!B107/'Summary, hourly ad costs'!R107)), 'Summary, PPI''s'!R108))</f>
        <v>52.33814290657439</v>
      </c>
      <c r="C108" s="10" t="str">
        <f>IF(C107=".", ".", IF('Summary, PPI''s'!S108=".",IF(OR('Summary, hourly ad costs'!S108=-9999,'Summary, hourly ad costs'!S108=0), ".", 'Predicted PPIs'!C107*('Summary, hourly ad costs'!C108/'Summary, hourly ad costs'!S108)/('Summary, hourly ad costs'!C107/'Summary, hourly ad costs'!S107)), 'Summary, PPI''s'!S108))</f>
        <v>.</v>
      </c>
      <c r="D108" s="10" t="str">
        <f>IF(D107=".", ".", IF('Summary, PPI''s'!T108=".",IF(OR('Summary, hourly ad costs'!T108=-9999,'Summary, hourly ad costs'!T108=0), ".", 'Predicted PPIs'!D107*('Summary, hourly ad costs'!D108/'Summary, hourly ad costs'!T108)/('Summary, hourly ad costs'!D107/'Summary, hourly ad costs'!T107)), 'Summary, PPI''s'!T108))</f>
        <v>.</v>
      </c>
      <c r="E108" s="10">
        <f>IF(E107=".", ".", IF('Summary, PPI''s'!U108=".",IF(OR('Summary, hourly ad costs'!U108=-9999,'Summary, hourly ad costs'!U108=0), ".", 'Predicted PPIs'!E107*('Summary, hourly ad costs'!E108/'Summary, hourly ad costs'!U108)/('Summary, hourly ad costs'!E107/'Summary, hourly ad costs'!U107)), 'Summary, PPI''s'!U108))</f>
        <v>1.1048570286209087</v>
      </c>
      <c r="F108" s="10">
        <f>IF(F107=".", ".", IF('Summary, PPI''s'!V108=".",IF(OR('Summary, hourly ad costs'!V108=-9999,'Summary, hourly ad costs'!V108=0), ".", 'Predicted PPIs'!F107*('Summary, hourly ad costs'!F108/'Summary, hourly ad costs'!V108)/('Summary, hourly ad costs'!F107/'Summary, hourly ad costs'!V107)), 'Summary, PPI''s'!V108))</f>
        <v>1.2392169496190719</v>
      </c>
      <c r="G108" s="10" t="str">
        <f>IF(G107=".", ".", IF('Summary, PPI''s'!W108=".",IF(OR('Summary, hourly ad costs'!W108=-9999,'Summary, hourly ad costs'!W108=0), ".", 'Predicted PPIs'!G107*('Summary, hourly ad costs'!G108/'Summary, hourly ad costs'!W108)/('Summary, hourly ad costs'!G107/'Summary, hourly ad costs'!W107)), 'Summary, PPI''s'!W108))</f>
        <v>.</v>
      </c>
      <c r="H108" s="10">
        <f>IF(H107=".", ".", IF('Summary, PPI''s'!X108=".",IF(OR('Summary, hourly ad costs'!X108=-9999,'Summary, hourly ad costs'!X108=0), ".", 'Predicted PPIs'!H107*('Summary, hourly ad costs'!H108/'Summary, hourly ad costs'!X108)/('Summary, hourly ad costs'!H107/'Summary, hourly ad costs'!X107)), 'Summary, PPI''s'!X108))</f>
        <v>0.95653431221355134</v>
      </c>
      <c r="I108" s="10" t="str">
        <f>IF(I107=".", ".", IF('Summary, PPI''s'!Y108=".",IF(OR('Summary, hourly ad costs'!Y108=-9999,'Summary, hourly ad costs'!Y108=0), ".", 'Predicted PPIs'!I107*('Summary, hourly ad costs'!I108/'Summary, hourly ad costs'!Y108)/('Summary, hourly ad costs'!I107/'Summary, hourly ad costs'!Y107)), 'Summary, PPI''s'!Y108))</f>
        <v>.</v>
      </c>
      <c r="J108" s="10" t="str">
        <f>IF(J107=".", ".", IF('Summary, PPI''s'!Z108=".",IF(OR('Summary, hourly ad costs'!Z108=-9999,'Summary, hourly ad costs'!Z108=0), ".", 'Predicted PPIs'!J107*('Summary, hourly ad costs'!J108/'Summary, hourly ad costs'!Z108)/('Summary, hourly ad costs'!J107/'Summary, hourly ad costs'!Z107)), 'Summary, PPI''s'!Z108))</f>
        <v>.</v>
      </c>
      <c r="K108" s="10" t="str">
        <f>IF(K107=".", ".", IF('Summary, PPI''s'!AA108=".",IF(OR('Summary, hourly ad costs'!AA108=-9999,'Summary, hourly ad costs'!AA108=0), ".", 'Predicted PPIs'!K107*('Summary, hourly ad costs'!K108/'Summary, hourly ad costs'!AA108)/('Summary, hourly ad costs'!K107/'Summary, hourly ad costs'!AA107)), 'Summary, PPI''s'!AA108))</f>
        <v>.</v>
      </c>
      <c r="L108" s="10" t="str">
        <f>IF(L107=".", ".", IF('Summary, PPI''s'!AB108=".",IF(OR('Summary, hourly ad costs'!AB108=-9999,'Summary, hourly ad costs'!AB108=0), ".", 'Predicted PPIs'!L107*('Summary, hourly ad costs'!L108/'Summary, hourly ad costs'!AB108)/('Summary, hourly ad costs'!L107/'Summary, hourly ad costs'!AB107)), 'Summary, PPI''s'!AB108))</f>
        <v>.</v>
      </c>
      <c r="M108" s="10" t="str">
        <f>IF(M107=".", ".", IF('Summary, PPI''s'!AC108=".",IF(OR('Summary, hourly ad costs'!AC108=-9999,'Summary, hourly ad costs'!AC108=0), ".", 'Predicted PPIs'!M107*('Summary, hourly ad costs'!M108/'Summary, hourly ad costs'!AC108)/('Summary, hourly ad costs'!M107/'Summary, hourly ad costs'!AC107)), 'Summary, PPI''s'!AC108))</f>
        <v>.</v>
      </c>
      <c r="N108" s="10" t="str">
        <f>IF(N107=".", ".", IF('Summary, PPI''s'!AD108=".",IF(OR('Summary, hourly ad costs'!AD108=-9999,'Summary, hourly ad costs'!AD108=0), ".", 'Predicted PPIs'!N107*('Summary, hourly ad costs'!N108/'Summary, hourly ad costs'!AD108)/('Summary, hourly ad costs'!N107/'Summary, hourly ad costs'!AD107)), 'Summary, PPI''s'!AD108))</f>
        <v>.</v>
      </c>
      <c r="O108" s="10" t="str">
        <f>IF(O107=".", ".", IF('Summary, PPI''s'!AE108=".",IF(OR('Summary, hourly ad costs'!AE108=-9999,'Summary, hourly ad costs'!AE108=0), ".", 'Predicted PPIs'!O107*('Summary, hourly ad costs'!O108/'Summary, hourly ad costs'!AE108)/('Summary, hourly ad costs'!O107/'Summary, hourly ad costs'!AE107)), 'Summary, PPI''s'!AE108))</f>
        <v>.</v>
      </c>
      <c r="P108" s="10" t="str">
        <f>IF(P107=".", ".", IF('Summary, PPI''s'!AF108=".",IF(OR('Summary, hourly ad costs'!AF108=-9999,'Summary, hourly ad costs'!AF108=0), ".", 'Predicted PPIs'!P107*('Summary, hourly ad costs'!P108/'Summary, hourly ad costs'!AF108)/('Summary, hourly ad costs'!P107/'Summary, hourly ad costs'!AF107)), 'Summary, PPI''s'!AF108))</f>
        <v>.</v>
      </c>
      <c r="R108" s="1">
        <f>IF(E$26=".", 0, 'Summary, PPI''s'!E108)+IF(F$26=".", 0, 'Summary, PPI''s'!F108)+IF(G$26=".", 0, 'Summary, PPI''s'!G108)+IF(H$26=".", 0, 'Summary, PPI''s'!H108)+IF(I$26=".", 0, 'Summary, PPI''s'!I108)+IF(J$26=".", 0, 'Summary, PPI''s'!J108)+IF(K$26=".", 0, 'Summary, PPI''s'!K108)+IF(L$26=".", 0, 'Summary, PPI''s'!L108)+IF(M$26=".", 0, 'Summary, PPI''s'!M108)+IF(B$26=".", 0, 'Summary, PPI''s'!B108)+IF(C$26=".", 0, 'Summary, PPI''s'!C108)+IF(D$26=".", 0, 'Summary, PPI''s'!D108)+IF(N$26=".", 0, 'Summary, PPI''s'!N108)+IF(O$26=".", 0, 'Summary, PPI''s'!O108)+IF(P$26=".", 0, 'Summary, PPI''s'!P108)</f>
        <v>819943.24222057126</v>
      </c>
      <c r="S108" s="1">
        <f>IF(E$36=".", 0, 'Summary, PPI''s'!E108)+IF(F$36=".", 0, 'Summary, PPI''s'!F108)+IF(G$36=".", 0, 'Summary, PPI''s'!G108)+IF(H$36=".", 0, 'Summary, PPI''s'!H108)+IF(I$36=".", 0, 'Summary, PPI''s'!I108)+IF(J$36=".", 0, 'Summary, PPI''s'!J108)+IF(K$36=".", 0, 'Summary, PPI''s'!K108)+IF(L$36=".", 0, 'Summary, PPI''s'!L108)+IF(M$36=".", 0, 'Summary, PPI''s'!M108)+IF(B$36=".", 0, 'Summary, PPI''s'!B108)+IF(C$36=".", 0, 'Summary, PPI''s'!C108)+IF(D$36=".", 0, 'Summary, PPI''s'!D108)+IF(N$36=".", 0, 'Summary, PPI''s'!N108)+IF(O$36=".", 0, 'Summary, PPI''s'!O108)+IF(P$36=".", 0, 'Summary, PPI''s'!P108)</f>
        <v>819943.24222057126</v>
      </c>
      <c r="T108" s="1">
        <f>IF(E$46=".", 0, 'Summary, PPI''s'!E108)+IF(F$46=".", 0, 'Summary, PPI''s'!F108)+IF(G$46=".", 0, 'Summary, PPI''s'!G108)+IF(H$46=".", 0, 'Summary, PPI''s'!H108)+IF(I$46=".", 0, 'Summary, PPI''s'!I108)+IF(J$46=".", 0, 'Summary, PPI''s'!J108)+IF(K$46=".", 0, 'Summary, PPI''s'!K108)+IF(L$46=".", 0, 'Summary, PPI''s'!L108)+IF(M$46=".", 0, 'Summary, PPI''s'!M108)+IF(B$46=".", 0, 'Summary, PPI''s'!B108)+IF(C$46=".", 0, 'Summary, PPI''s'!C108)+IF(D$46=".", 0, 'Summary, PPI''s'!D108)+IF(N$46=".", 0, 'Summary, PPI''s'!N108)+IF(O$46=".", 0, 'Summary, PPI''s'!O108)+IF(P$46=".", 0, 'Summary, PPI''s'!P108)</f>
        <v>732813.03253488371</v>
      </c>
      <c r="U108" s="1">
        <f>IF(E$60=".", 0, 'Summary, PPI''s'!E108)+IF(F$60=".", 0, 'Summary, PPI''s'!F108)+IF(G$60=".", 0, 'Summary, PPI''s'!G108)+IF(H$60=".", 0, 'Summary, PPI''s'!H108)+IF(I$60=".", 0, 'Summary, PPI''s'!I108)+IF(J$60=".", 0, 'Summary, PPI''s'!J108)+IF(K$60=".", 0, 'Summary, PPI''s'!K108)+IF(L$60=".", 0, 'Summary, PPI''s'!L108)+IF(M$60=".", 0, 'Summary, PPI''s'!M108)+IF(B$60=".", 0, 'Summary, PPI''s'!B108)+IF(C$60=".", 0, 'Summary, PPI''s'!C108)+IF(D$60=".", 0, 'Summary, PPI''s'!D108)+IF(N$60=".", 0, 'Summary, PPI''s'!N108)+IF(O$60=".", 0, 'Summary, PPI''s'!O108)+IF(P$60=".", 0, 'Summary, PPI''s'!P108)</f>
        <v>693423.04298636783</v>
      </c>
      <c r="V108" s="1">
        <f>IF(E$73=".", 0, 'Summary, PPI''s'!E108)+IF(F$73=".", 0, 'Summary, PPI''s'!F108)+IF(G$73=".", 0, 'Summary, PPI''s'!G108)+IF(H$73=".", 0, 'Summary, PPI''s'!H108)+IF(I$73=".", 0, 'Summary, PPI''s'!I108)+IF(J$73=".", 0, 'Summary, PPI''s'!J108)+IF(K$73=".", 0, 'Summary, PPI''s'!K108)+IF(L$73=".", 0, 'Summary, PPI''s'!L108)+IF(M$73=".", 0, 'Summary, PPI''s'!M108)+IF(B$73=".", 0, 'Summary, PPI''s'!B108)+IF(C$73=".", 0, 'Summary, PPI''s'!C108)+IF(D$73=".", 0, 'Summary, PPI''s'!D108)+IF(N$73=".", 0, 'Summary, PPI''s'!N108)+IF(O$73=".", 0, 'Summary, PPI''s'!O108)+IF(P$73=".", 0, 'Summary, PPI''s'!P108)</f>
        <v>501338.87677553826</v>
      </c>
      <c r="W108" s="1">
        <f>IF(E$94=".",0,'Summary, PPI''s'!E108)+IF(F$94=".",0,'Summary, PPI''s'!F108)+IF(G$94=".",0,'Summary, PPI''s'!G108)+IF(H$94=".",0,'Summary, PPI''s'!H108)+IF(I$94=".",0,'Summary, PPI''s'!I108)+IF(J$94=".",0,'Summary, PPI''s'!J108)+IF(K$94=".",0,'Summary, PPI''s'!K108)+IF(L$94=".",0,'Summary, PPI''s'!L108)+IF(M$94=".",0,'Summary, PPI''s'!M108)+IF(B$94=".",0,'Summary, PPI''s'!B108)+IF(C$94=".",0,'Summary, PPI''s'!C108)+IF(D$94=".",0,'Summary, PPI''s'!D108)+IF(N$94=".",0,'Summary, PPI''s'!N108)+IF(O$94=".",0,'Summary, PPI''s'!O108)+IF(P$94=".",0,'Summary, PPI''s'!P108)</f>
        <v>501338.87677553826</v>
      </c>
      <c r="X108" s="1">
        <f>IF(E$123=".", 0, 'Summary, PPI''s'!E108)+IF(F$123=".", 0, 'Summary, PPI''s'!F108)+IF(G$123=".", 0, 'Summary, PPI''s'!G108)+IF(H$123=".", 0, 'Summary, PPI''s'!H108)+IF(I$123=".", 0, 'Summary, PPI''s'!I108)+IF(J$123=".", 0, 'Summary, PPI''s'!J108)+IF(K$123=".", 0, 'Summary, PPI''s'!K108)+IF(L$123=".", 0, 'Summary, PPI''s'!L108)+IF(M$123=".", 0, 'Summary, PPI''s'!M108)+IF(B$123=".", 0, 'Summary, PPI''s'!B108)+IF(C$123=".", 0, 'Summary, PPI''s'!C108)+IF(D$123=".", 0, 'Summary, PPI''s'!D108)+IF(N$123=".", 0, 'Summary, PPI''s'!N108)+IF(O$123=".", 0, 'Summary, PPI''s'!O108)+IF(P$123=".", 0, 'Summary, PPI''s'!P108)</f>
        <v>501338.87677553826</v>
      </c>
      <c r="Z108" s="4" t="e">
        <f>Z107*IF(E$26=".", 1, (E108/E107)^(('Summary, PPI''s'!$E108+'Summary, PPI''s'!$E107)/('Predicted PPIs'!R108+'Predicted PPIs'!R107)))*IF(F$26=".", 1, (F108/F107)^(('Summary, PPI''s'!$F108+'Summary, PPI''s'!$F107)/('Predicted PPIs'!R108+'Predicted PPIs'!R107)))*IF(G$26=".", 1, (G108/G107)^(('Summary, PPI''s'!$G108+'Summary, PPI''s'!$G107)/('Predicted PPIs'!R108+'Predicted PPIs'!R107)))*IF(H$26=".", 1, (H108/H107)^(('Summary, PPI''s'!$H108+'Summary, PPI''s'!$H107)/('Predicted PPIs'!R108+'Predicted PPIs'!R107)))*IF(I$26=".", 1, (I108/I107)^(('Summary, PPI''s'!$I108+'Summary, PPI''s'!$I107)/('Predicted PPIs'!R108+'Predicted PPIs'!R107)))*IF(J$26=".", 1, (J108/J107)^(('Summary, PPI''s'!$J108+'Summary, PPI''s'!$J107)/('Predicted PPIs'!R108+'Predicted PPIs'!R107)))*IF(K$26=".", 1, (K108/K107)^(('Summary, PPI''s'!$K108+'Summary, PPI''s'!$K107)/('Predicted PPIs'!R108+'Predicted PPIs'!R107)))*IF(L$26=".", 1, (L108/L107)^(('Summary, PPI''s'!$L108+'Summary, PPI''s'!$L107)/('Predicted PPIs'!R108+'Predicted PPIs'!R107)))*IF(M$26=".", 1, (M108/M107)^(('Summary, PPI''s'!$M108+'Summary, PPI''s'!$M107)/('Predicted PPIs'!R108+'Predicted PPIs'!R107)))*IF(B$26=".", 1, (B108/B107)^(('Summary, PPI''s'!$B108+'Summary, PPI''s'!$B107)/('Predicted PPIs'!R108+'Predicted PPIs'!R107)))*IF(C$26=".", 1, (C108/C107)^(('Summary, PPI''s'!$C108+'Summary, PPI''s'!$C107)/('Predicted PPIs'!R108+'Predicted PPIs'!R107)))*IF(D$26=".", 1, (D108/D107)^(('Summary, PPI''s'!$D108+'Summary, PPI''s'!$D107)/('Predicted PPIs'!R108+'Predicted PPIs'!R107)))*IF(N$26=".", 1, (N108/N107)^(('Summary, PPI''s'!$N108+'Summary, PPI''s'!$N107)/('Predicted PPIs'!R108+'Predicted PPIs'!R107)))*IF(O$26=".", 1, (O108/O107)^(('Summary, PPI''s'!$O108+'Summary, PPI''s'!$O107)/('Predicted PPIs'!R108+'Predicted PPIs'!R107)))*IF(P$26=".", 1, (P108/P107)^(('Summary, PPI''s'!$P108+'Summary, PPI''s'!$P107)/('Predicted PPIs'!R108+'Predicted PPIs'!R107)))</f>
        <v>#VALUE!</v>
      </c>
      <c r="AA108" s="4" t="e">
        <f>AA107*IF(E$36=".", 1, (E108/E107)^(('Summary, PPI''s'!$E108+'Summary, PPI''s'!$E107)/('Predicted PPIs'!S108+'Predicted PPIs'!S107)))*IF(F$36=".", 1, (F108/F107)^(('Summary, PPI''s'!$F108+'Summary, PPI''s'!$F107)/('Predicted PPIs'!S108+'Predicted PPIs'!S107)))*IF(G$36=".", 1, (G108/G107)^(('Summary, PPI''s'!$G108+'Summary, PPI''s'!$G107)/('Predicted PPIs'!S108+'Predicted PPIs'!S107)))*IF(H$36=".", 1, (H108/H107)^(('Summary, PPI''s'!$H108+'Summary, PPI''s'!$H107)/('Predicted PPIs'!S108+'Predicted PPIs'!S107)))*IF(I$36=".", 1, (I108/I107)^(('Summary, PPI''s'!$I108+'Summary, PPI''s'!$I107)/('Predicted PPIs'!S108+'Predicted PPIs'!S107)))*IF(J$36=".", 1, (J108/J107)^(('Summary, PPI''s'!$J108+'Summary, PPI''s'!$J107)/('Predicted PPIs'!S108+'Predicted PPIs'!S107)))*IF(K$36=".", 1, (K108/K107)^(('Summary, PPI''s'!$K108+'Summary, PPI''s'!$K107)/('Predicted PPIs'!S108+'Predicted PPIs'!S107)))*IF(L$36=".", 1, (L108/L107)^(('Summary, PPI''s'!$L108+'Summary, PPI''s'!$L107)/('Predicted PPIs'!S108+'Predicted PPIs'!S107)))*IF(M$36=".", 1, (M108/M107)^(('Summary, PPI''s'!$M108+'Summary, PPI''s'!$M107)/('Predicted PPIs'!S108+'Predicted PPIs'!S107)))*IF(B$36=".", 1, (B108/B107)^(('Summary, PPI''s'!$B108+'Summary, PPI''s'!$B107)/('Predicted PPIs'!S108+'Predicted PPIs'!S107)))*IF(C$36=".", 1, (C108/C107)^(('Summary, PPI''s'!$C108+'Summary, PPI''s'!$C107)/('Predicted PPIs'!S108+'Predicted PPIs'!S107)))*IF(D$36=".", 1, (D108/D107)^(('Summary, PPI''s'!$D108+'Summary, PPI''s'!$D107)/('Predicted PPIs'!S108+'Predicted PPIs'!S107)))*IF(N$36=".", 1, (N108/N107)^(('Summary, PPI''s'!$N108+'Summary, PPI''s'!$N107)/('Predicted PPIs'!S108+'Predicted PPIs'!S107)))*IF(O$36=".", 1, (O108/O107)^(('Summary, PPI''s'!$O108+'Summary, PPI''s'!$O107)/('Predicted PPIs'!S108+'Predicted PPIs'!S107)))*IF(P$36=".", 1, (P108/P107)^(('Summary, PPI''s'!$P108+'Summary, PPI''s'!$P107)/('Predicted PPIs'!S108+'Predicted PPIs'!S107)))</f>
        <v>#VALUE!</v>
      </c>
      <c r="AB108" s="4" t="e">
        <f>AB107*IF(E$46=".", 1, (E108/E107)^(('Summary, PPI''s'!$E108+'Summary, PPI''s'!$E107)/('Predicted PPIs'!T108+'Predicted PPIs'!T107)))*IF(F$46=".", 1, (F108/F107)^(('Summary, PPI''s'!$F108+'Summary, PPI''s'!$F107)/('Predicted PPIs'!T108+'Predicted PPIs'!T107)))*IF(G$46=".", 1, (G108/G107)^(('Summary, PPI''s'!$G108+'Summary, PPI''s'!$G107)/('Predicted PPIs'!T108+'Predicted PPIs'!T107)))*IF(H$46=".", 1, (H108/H107)^(('Summary, PPI''s'!$H108+'Summary, PPI''s'!$H107)/('Predicted PPIs'!T108+'Predicted PPIs'!T107)))*IF(I$46=".", 1, (I108/I107)^(('Summary, PPI''s'!$I108+'Summary, PPI''s'!$I107)/('Predicted PPIs'!T108+'Predicted PPIs'!T107)))*IF(J$46=".", 1, (J108/J107)^(('Summary, PPI''s'!$J108+'Summary, PPI''s'!$J107)/('Predicted PPIs'!T108+'Predicted PPIs'!T107)))*IF(K$46=".", 1, (K108/K107)^(('Summary, PPI''s'!$K108+'Summary, PPI''s'!$K107)/('Predicted PPIs'!T108+'Predicted PPIs'!T107)))*IF(L$46=".", 1, (L108/L107)^(('Summary, PPI''s'!$L108+'Summary, PPI''s'!$L107)/('Predicted PPIs'!T108+'Predicted PPIs'!T107)))*IF(M$46=".", 1, (M108/M107)^(('Summary, PPI''s'!$M108+'Summary, PPI''s'!$M107)/('Predicted PPIs'!T108+'Predicted PPIs'!T107)))*IF(B$46=".", 1, (B108/B107)^(('Summary, PPI''s'!$B108+'Summary, PPI''s'!$B107)/('Predicted PPIs'!T108+'Predicted PPIs'!T107)))*IF(C$46=".", 1, (C108/C107)^(('Summary, PPI''s'!$C108+'Summary, PPI''s'!$C107)/('Predicted PPIs'!T108+'Predicted PPIs'!T107)))*IF(D$46=".", 1, (D108/D107)^(('Summary, PPI''s'!$D108+'Summary, PPI''s'!$D107)/('Predicted PPIs'!T108+'Predicted PPIs'!T107)))*IF(N$46=".", 1, (N108/N107)^(('Summary, PPI''s'!$N108+'Summary, PPI''s'!$N107)/('Predicted PPIs'!T108+'Predicted PPIs'!T107)))*IF(O$46=".", 1, (O108/O107)^(('Summary, PPI''s'!$O108+'Summary, PPI''s'!$O107)/('Predicted PPIs'!T108+'Predicted PPIs'!T107)))*IF(P$46=".", 1, (P108/P107)^(('Summary, PPI''s'!$P108+'Summary, PPI''s'!$P107)/('Predicted PPIs'!T108+'Predicted PPIs'!T107)))</f>
        <v>#VALUE!</v>
      </c>
      <c r="AC108" s="4" t="e">
        <f>AC107*IF(E$60=".",1,(E108/E107)^(('Summary, PPI''s'!$E108+'Summary, PPI''s'!$E107)/('Predicted PPIs'!U108+'Predicted PPIs'!U107)))*IF(F$60=".",1,(F108/F107)^(('Summary, PPI''s'!$F108+'Summary, PPI''s'!$F107)/('Predicted PPIs'!U108+'Predicted PPIs'!U107)))*IF(G$60=".",1,(G108/G107)^(('Summary, PPI''s'!$G108+'Summary, PPI''s'!$G107)/('Predicted PPIs'!U108+'Predicted PPIs'!U107)))*IF(H$60=".",1,(H108/H107)^(('Summary, PPI''s'!$H108+'Summary, PPI''s'!$H107)/('Predicted PPIs'!U108+'Predicted PPIs'!U107)))*IF(I$60=".",1,(I108/I107)^(('Summary, PPI''s'!$I108+'Summary, PPI''s'!$I107)/('Predicted PPIs'!U108+'Predicted PPIs'!U107)))*IF(J$60=".",1,(J108/J107)^(('Summary, PPI''s'!$J108+'Summary, PPI''s'!$J107)/('Predicted PPIs'!U108+'Predicted PPIs'!U107)))*IF(K$60=".",1,(K108/K107)^(('Summary, PPI''s'!$K108+'Summary, PPI''s'!$K107)/('Predicted PPIs'!U108+'Predicted PPIs'!U107)))*IF(L$60=".",1,(L108/L107)^(('Summary, PPI''s'!$L108+'Summary, PPI''s'!$L107)/('Predicted PPIs'!U108+'Predicted PPIs'!U107)))*IF(M$60=".",1,(M108/M107)^(('Summary, PPI''s'!$M108+'Summary, PPI''s'!$M107)/('Predicted PPIs'!U108+'Predicted PPIs'!U107)))*IF(B$60=".",1,(B108/B107)^(('Summary, PPI''s'!$B108+'Summary, PPI''s'!$B107)/('Predicted PPIs'!U108+'Predicted PPIs'!U107)))*IF(C$60=".",1,(C108/C107)^(('Summary, PPI''s'!$C108+'Summary, PPI''s'!$C107)/('Predicted PPIs'!U108+'Predicted PPIs'!U107)))*IF(D$60=".",1,(D108/D107)^(('Summary, PPI''s'!$D108+'Summary, PPI''s'!$D107)/('Predicted PPIs'!U108+'Predicted PPIs'!U107)))*IF(N$60=".",1,(N108/N107)^(('Summary, PPI''s'!$N108+'Summary, PPI''s'!$N107)/('Predicted PPIs'!U108+'Predicted PPIs'!U107)))*IF(O$60=".",1,(O108/O107)^(('Summary, PPI''s'!$O108+'Summary, PPI''s'!$O107)/('Predicted PPIs'!U108+'Predicted PPIs'!U107)))*IF(P$60=".",1,(P108/P107)^(('Summary, PPI''s'!$P108+'Summary, PPI''s'!$P107)/('Predicted PPIs'!U108+'Predicted PPIs'!U107)))</f>
        <v>#VALUE!</v>
      </c>
      <c r="AD108" s="4" t="e">
        <f>AD107*IF(E$73=".", 1, (E108/E107)^(('Summary, PPI''s'!$E108+'Summary, PPI''s'!$E107)/('Predicted PPIs'!V108+'Predicted PPIs'!V107)))*IF(F$73=".", 1, (F108/F107)^(('Summary, PPI''s'!$F108+'Summary, PPI''s'!$F107)/('Predicted PPIs'!V108+'Predicted PPIs'!V107)))*IF(G$73=".", 1, (G108/G107)^(('Summary, PPI''s'!$G108+'Summary, PPI''s'!$G107)/('Predicted PPIs'!V108+'Predicted PPIs'!V107)))*IF(H$73=".", 1, (H108/H107)^(('Summary, PPI''s'!$H108+'Summary, PPI''s'!$H107)/('Predicted PPIs'!V108+'Predicted PPIs'!V107)))*IF(I$73=".", 1, (I108/I107)^(('Summary, PPI''s'!$I108+'Summary, PPI''s'!$I107)/('Predicted PPIs'!V108+'Predicted PPIs'!V107)))*IF(J$73=".", 1, (J108/J107)^(('Summary, PPI''s'!$J108+'Summary, PPI''s'!$J107)/('Predicted PPIs'!V108+'Predicted PPIs'!V107)))*IF(K$73=".", 1, (K108/K107)^(('Summary, PPI''s'!$K108+'Summary, PPI''s'!$K107)/('Predicted PPIs'!V108+'Predicted PPIs'!V107)))*IF(L$73=".", 1, (L108/L107)^(('Summary, PPI''s'!$L108+'Summary, PPI''s'!$L107)/('Predicted PPIs'!V108+'Predicted PPIs'!V107)))*IF(M$73=".", 1, (M108/M107)^(('Summary, PPI''s'!$M108+'Summary, PPI''s'!$M107)/('Predicted PPIs'!V108+'Predicted PPIs'!V107)))*IF(B$73=".", 1, (B108/B107)^(('Summary, PPI''s'!$B108+'Summary, PPI''s'!$B107)/('Predicted PPIs'!V108+'Predicted PPIs'!V107)))*IF(C$73=".", 1, (C108/C107)^(('Summary, PPI''s'!$C108+'Summary, PPI''s'!$C107)/('Predicted PPIs'!V108+'Predicted PPIs'!V107)))*IF(D$73=".", 1, (D108/D107)^(('Summary, PPI''s'!$D108+'Summary, PPI''s'!$D107)/('Predicted PPIs'!V108+'Predicted PPIs'!V107)))*IF(N$73=".", 1, (N108/N107)^(('Summary, PPI''s'!$N108+'Summary, PPI''s'!$N107)/('Predicted PPIs'!V108+'Predicted PPIs'!V107)))*IF(O$73=".", 1, (O108/O107)^(('Summary, PPI''s'!$O108+'Summary, PPI''s'!$O107)/('Predicted PPIs'!V108+'Predicted PPIs'!V107)))*IF(P$73=".", 1, (P108/P107)^(('Summary, PPI''s'!$P108+'Summary, PPI''s'!$P107)/('Predicted PPIs'!V108+'Predicted PPIs'!V107)))</f>
        <v>#VALUE!</v>
      </c>
      <c r="AE108" s="4" t="e">
        <f>AE107*IF(E$94=".", 1, (E108/E107)^(('Summary, PPI''s'!$E108+'Summary, PPI''s'!$E107)/('Predicted PPIs'!W108+'Predicted PPIs'!W107)))*IF(F$94=".", 1, (F108/F107)^(('Summary, PPI''s'!$F108+'Summary, PPI''s'!$F107)/('Predicted PPIs'!W108+'Predicted PPIs'!W107)))*IF(G$94=".", 1, (G108/G107)^(('Summary, PPI''s'!$G108+'Summary, PPI''s'!$G107)/('Predicted PPIs'!W108+'Predicted PPIs'!W107)))*IF(H$94=".", 1, (H108/H107)^(('Summary, PPI''s'!$H108+'Summary, PPI''s'!$H107)/('Predicted PPIs'!W108+'Predicted PPIs'!W107)))*IF(I$94=".", 1, (I108/I107)^(('Summary, PPI''s'!$I108+'Summary, PPI''s'!$I107)/('Predicted PPIs'!W108+'Predicted PPIs'!W107)))*IF(J$94=".", 1, (J108/J107)^(('Summary, PPI''s'!$J108+'Summary, PPI''s'!$J107)/('Predicted PPIs'!W108+'Predicted PPIs'!W107)))*IF(K$94=".", 1, (K108/K107)^(('Summary, PPI''s'!$K108+'Summary, PPI''s'!$K107)/('Predicted PPIs'!W108+'Predicted PPIs'!W107)))*IF(L$94=".", 1, (L108/L107)^(('Summary, PPI''s'!$L108+'Summary, PPI''s'!$L107)/('Predicted PPIs'!W108+'Predicted PPIs'!W107)))*IF(M$94=".", 1, (M108/M107)^(('Summary, PPI''s'!$M108+'Summary, PPI''s'!$M107)/('Predicted PPIs'!W108+'Predicted PPIs'!W107)))*IF(B$94=".", 1, (B108/B107)^(('Summary, PPI''s'!$B108+'Summary, PPI''s'!$B107)/('Predicted PPIs'!W108+'Predicted PPIs'!W107)))*IF(C$94=".", 1, (C108/C107)^(('Summary, PPI''s'!$C108+'Summary, PPI''s'!$C107)/('Predicted PPIs'!W108+'Predicted PPIs'!W107)))*IF(D$94=".", 1, (D108/D107)^(('Summary, PPI''s'!$D108+'Summary, PPI''s'!$D107)/('Predicted PPIs'!W108+'Predicted PPIs'!W107)))*IF(N$94=".", 1, (N108/N107)^(('Summary, PPI''s'!$N108+'Summary, PPI''s'!$N107)/('Predicted PPIs'!W108+'Predicted PPIs'!W107)))*IF(O$94=".", 1, (O108/O107)^(('Summary, PPI''s'!$O108+'Summary, PPI''s'!$O107)/('Predicted PPIs'!W108+'Predicted PPIs'!W107)))*IF(P$94=".", 1, (P108/P107)^(('Summary, PPI''s'!$P108+'Summary, PPI''s'!$P107)/('Predicted PPIs'!W108+'Predicted PPIs'!W107)))</f>
        <v>#VALUE!</v>
      </c>
      <c r="AF108" s="4">
        <f>AF107*IF(E$123=".", 1, (E108/E107)^(('Summary, PPI''s'!$E108+'Summary, PPI''s'!$E107)/('Predicted PPIs'!X108+'Predicted PPIs'!X107)))*IF(F$123=".", 1, (F108/F107)^(('Summary, PPI''s'!$F108+'Summary, PPI''s'!$F107)/('Predicted PPIs'!X108+'Predicted PPIs'!X107)))*IF(G$123=".", 1, (G108/G107)^(('Summary, PPI''s'!$G108+'Summary, PPI''s'!$G107)/('Predicted PPIs'!X108+'Predicted PPIs'!X107)))*IF(H$123=".", 1, (H108/H107)^(('Summary, PPI''s'!$H108+'Summary, PPI''s'!$H107)/('Predicted PPIs'!X108+'Predicted PPIs'!X107)))*IF(I$123=".", 1, (I108/I107)^(('Summary, PPI''s'!$I108+'Summary, PPI''s'!$I107)/('Predicted PPIs'!X108+'Predicted PPIs'!X107)))*IF(J$123=".", 1, (J108/J107)^(('Summary, PPI''s'!$J108+'Summary, PPI''s'!$J107)/('Predicted PPIs'!X108+'Predicted PPIs'!X107)))*IF(K$123=".", 1, (K108/K107)^(('Summary, PPI''s'!$K108+'Summary, PPI''s'!$K107)/('Predicted PPIs'!X108+'Predicted PPIs'!X107)))*IF(L$123=".", 1, (L108/L107)^(('Summary, PPI''s'!$L108+'Summary, PPI''s'!$L107)/('Predicted PPIs'!X108+'Predicted PPIs'!X107)))*IF(M$123=".", 1, (M108/M107)^(('Summary, PPI''s'!$M108+'Summary, PPI''s'!$M107)/('Predicted PPIs'!X108+'Predicted PPIs'!X107)))*IF(B$123=".", 1, (B108/B107)^(('Summary, PPI''s'!$B108+'Summary, PPI''s'!$B107)/('Predicted PPIs'!X108+'Predicted PPIs'!X107)))*IF(C$123=".", 1, (C108/C107)^(('Summary, PPI''s'!$C108+'Summary, PPI''s'!$C107)/('Predicted PPIs'!X108+'Predicted PPIs'!X107)))*IF(D$123=".", 1, (D108/D107)^(('Summary, PPI''s'!$D108+'Summary, PPI''s'!$D107)/('Predicted PPIs'!X108+'Predicted PPIs'!X107)))*IF(N$123=".", 1, (N108/N107)^(('Summary, PPI''s'!$N108+'Summary, PPI''s'!$N107)/('Predicted PPIs'!X108+'Predicted PPIs'!X107)))*IF(O$123=".", 1, (O108/O107)^(('Summary, PPI''s'!$O108+'Summary, PPI''s'!$O107)/('Predicted PPIs'!X108+'Predicted PPIs'!X107)))*IF(P$123=".", 1, (P108/P107)^(('Summary, PPI''s'!$P108+'Summary, PPI''s'!$P107)/('Predicted PPIs'!X108+'Predicted PPIs'!X107)))</f>
        <v>2.4052383946448868</v>
      </c>
      <c r="AH108" s="13">
        <f t="shared" si="212"/>
        <v>3.4348173346925135</v>
      </c>
      <c r="AJ108" s="4">
        <f t="shared" si="207"/>
        <v>27.261121335881239</v>
      </c>
      <c r="AK108" s="4">
        <f t="shared" si="191"/>
        <v>-0.60333722026310777</v>
      </c>
      <c r="AL108" s="4">
        <f t="shared" si="192"/>
        <v>-2.0667733849993679</v>
      </c>
      <c r="AM108" s="4">
        <f t="shared" si="193"/>
        <v>-0.32156852428500732</v>
      </c>
      <c r="AN108" s="4">
        <f t="shared" si="176"/>
        <v>36.353774530060285</v>
      </c>
      <c r="AO108" s="4">
        <v>5</v>
      </c>
      <c r="AP108" s="4">
        <f t="shared" si="177"/>
        <v>-0.46256684491978611</v>
      </c>
      <c r="AQ108" s="4">
        <f t="shared" si="178"/>
        <v>-0.87446524064171083</v>
      </c>
      <c r="AR108" s="4">
        <f t="shared" si="210"/>
        <v>-3.2313987997544563E-5</v>
      </c>
      <c r="AS108" s="4">
        <f t="shared" si="208"/>
        <v>-6.6424569412741233E-2</v>
      </c>
      <c r="AT108" s="4">
        <f t="shared" si="194"/>
        <v>4.5312386473429971</v>
      </c>
      <c r="AU108" s="4">
        <f t="shared" si="195"/>
        <v>7.461238164251208</v>
      </c>
      <c r="AV108" s="4">
        <f t="shared" si="196"/>
        <v>5.8029685990338171</v>
      </c>
      <c r="AW108" s="4">
        <f t="shared" si="197"/>
        <v>3.2448855072463778</v>
      </c>
      <c r="AX108" s="4">
        <f t="shared" si="198"/>
        <v>4.3161390221529219</v>
      </c>
      <c r="AY108" s="4">
        <f t="shared" si="199"/>
        <v>5.075221256038648</v>
      </c>
      <c r="AZ108" s="4">
        <f t="shared" si="200"/>
        <v>1.7347975845410633</v>
      </c>
      <c r="BA108" s="4">
        <f t="shared" si="201"/>
        <v>4.6994053140096606</v>
      </c>
      <c r="BB108" s="4">
        <f t="shared" si="202"/>
        <v>26.879439987764567</v>
      </c>
      <c r="BC108" s="4">
        <f t="shared" si="203"/>
        <v>4.4049917874396147</v>
      </c>
      <c r="BD108" s="5">
        <f>'[2]Ordinary Experience'!$AD$318</f>
        <v>100.9</v>
      </c>
      <c r="BE108" s="5">
        <f>'[2]Ordinary Experience'!$AC$318</f>
        <v>0.93498783904724292</v>
      </c>
      <c r="BG108" s="4">
        <f t="shared" si="172"/>
        <v>6.1105103064515092</v>
      </c>
      <c r="BI108" s="4">
        <f>BI$13*'[2]Ordinary Experience'!$D$318/'[2]Ordinary Experience'!$D$413</f>
        <v>98969990.458678126</v>
      </c>
      <c r="BJ108" s="4">
        <f>'[2]Ordinary Experience'!$E$318</f>
        <v>31.949647885383641</v>
      </c>
      <c r="BL108" s="4">
        <f t="shared" si="211"/>
        <v>22.891766330709792</v>
      </c>
      <c r="BM108" s="4">
        <f t="shared" si="153"/>
        <v>-3.2553384722721179E-2</v>
      </c>
      <c r="BO108" s="4" t="str">
        <f>IF(OR('Summary, hourly ad costs'!R108=-9999,'Summary, PPI''s'!R108="."),".",(('Summary, hourly ad costs'!B108/'Summary, hourly ad costs'!R108)*100/('Summary, hourly ad costs'!B$11/'Summary, hourly ad costs'!R$11))/('Summary, PPI''s'!R108))</f>
        <v>.</v>
      </c>
      <c r="BP108" s="4" t="str">
        <f>IF(OR('Summary, hourly ad costs'!S108=-9999,'Summary, PPI''s'!S108="."),".",(('Summary, hourly ad costs'!C108/'Summary, hourly ad costs'!S108)*100/('Summary, hourly ad costs'!C$11/'Summary, hourly ad costs'!S$11))/('Summary, PPI''s'!S108))</f>
        <v>.</v>
      </c>
      <c r="BQ108" s="4" t="str">
        <f>IF(OR('Summary, hourly ad costs'!T108=-9999,'Summary, PPI''s'!T108="."),".",(('Summary, hourly ad costs'!D108/'Summary, hourly ad costs'!T108)*100/('Summary, hourly ad costs'!D$11/'Summary, hourly ad costs'!T$11))/('Summary, PPI''s'!T108))</f>
        <v>.</v>
      </c>
      <c r="BR108" s="4" t="str">
        <f>IF(OR('Summary, hourly ad costs'!U108=-9999,'Summary, PPI''s'!U108="."),".",(('Summary, hourly ad costs'!E108/'Summary, hourly ad costs'!U108)*100/('Summary, hourly ad costs'!E$11/'Summary, hourly ad costs'!U$11))/('Summary, PPI''s'!U108))</f>
        <v>.</v>
      </c>
      <c r="BS108" s="4" t="str">
        <f>IF(OR('Summary, hourly ad costs'!V108=-9999,'Summary, PPI''s'!V108="."),".",(('Summary, hourly ad costs'!F108/'Summary, hourly ad costs'!V108)*100/('Summary, hourly ad costs'!F$11/'Summary, hourly ad costs'!V$11))/('Summary, PPI''s'!V108))</f>
        <v>.</v>
      </c>
      <c r="BT108" s="4" t="str">
        <f>IF(OR('Summary, hourly ad costs'!W108=-9999,'Summary, PPI''s'!W108="."),".",(('Summary, hourly ad costs'!G108/'Summary, hourly ad costs'!W108)*100/('Summary, hourly ad costs'!G$11/'Summary, hourly ad costs'!W$11))/('Summary, PPI''s'!W108))</f>
        <v>.</v>
      </c>
      <c r="BU108" s="4" t="str">
        <f>IF(OR('Summary, hourly ad costs'!X108=-9999,'Summary, PPI''s'!X108="."),".",(('Summary, hourly ad costs'!H108/'Summary, hourly ad costs'!X108)*100/('Summary, hourly ad costs'!H$11/'Summary, hourly ad costs'!X$11))/('Summary, PPI''s'!X108))</f>
        <v>.</v>
      </c>
      <c r="BV108" s="4" t="str">
        <f>IF(OR('Summary, hourly ad costs'!Y108=-9999,'Summary, PPI''s'!Y108="."),".",(('Summary, hourly ad costs'!I108/'Summary, hourly ad costs'!Y108)*100/('Summary, hourly ad costs'!I$11/'Summary, hourly ad costs'!Y$11))/('Summary, PPI''s'!Y108))</f>
        <v>.</v>
      </c>
      <c r="BW108" s="4" t="str">
        <f>IF(OR('Summary, hourly ad costs'!Z108=-9999,'Summary, PPI''s'!Z108="."),".",(('Summary, hourly ad costs'!J108/'Summary, hourly ad costs'!Z108)*100/('Summary, hourly ad costs'!J$11/'Summary, hourly ad costs'!Z$11))/('Summary, PPI''s'!Z108))</f>
        <v>.</v>
      </c>
      <c r="BX108" s="4" t="str">
        <f>IF(OR('Summary, hourly ad costs'!AA108=-9999,'Summary, PPI''s'!AA108="."),".",(('Summary, hourly ad costs'!K108/'Summary, hourly ad costs'!AA108)*100/('Summary, hourly ad costs'!K$11/'Summary, hourly ad costs'!AA$11))/('Summary, PPI''s'!AA108))</f>
        <v>.</v>
      </c>
      <c r="BY108" s="4" t="str">
        <f>IF(OR('Summary, hourly ad costs'!AB108=-9999,'Summary, PPI''s'!AB108="."),".",(('Summary, hourly ad costs'!L108/'Summary, hourly ad costs'!AB108)*100/('Summary, hourly ad costs'!L$11/'Summary, hourly ad costs'!AB$11))/('Summary, PPI''s'!AB108))</f>
        <v>.</v>
      </c>
      <c r="BZ108" s="4" t="str">
        <f>IF(OR('Summary, hourly ad costs'!AC108=-9999,'Summary, PPI''s'!AC108="."),".",(('Summary, hourly ad costs'!M108/'Summary, hourly ad costs'!AC108)*100/('Summary, hourly ad costs'!M$11/'Summary, hourly ad costs'!AC$11))/('Summary, PPI''s'!AC108))</f>
        <v>.</v>
      </c>
      <c r="CA108" s="4" t="str">
        <f>IF(OR('Summary, hourly ad costs'!AD108=-9999,'Summary, PPI''s'!AD108="."),".",(('Summary, hourly ad costs'!N108/'Summary, hourly ad costs'!AD108)*100/('Summary, hourly ad costs'!N$11/'Summary, hourly ad costs'!AD$11))/('Summary, PPI''s'!AD108))</f>
        <v>.</v>
      </c>
      <c r="CB108" s="4" t="str">
        <f>IF(OR('Summary, hourly ad costs'!AE108=-9999,'Summary, PPI''s'!AE108="."),".",(('Summary, hourly ad costs'!O108/'Summary, hourly ad costs'!AE108)*100/('Summary, hourly ad costs'!O$11/'Summary, hourly ad costs'!AE$11))/('Summary, PPI''s'!AE108))</f>
        <v>.</v>
      </c>
      <c r="CC108" s="4" t="str">
        <f>IF(OR('Summary, hourly ad costs'!AF108=-9999,'Summary, PPI''s'!AF108="."),".",(('Summary, hourly ad costs'!P108/'Summary, hourly ad costs'!AF108)*100/('Summary, hourly ad costs'!P$11/'Summary, hourly ad costs'!AF$11))/('Summary, PPI''s'!AF108))</f>
        <v>.</v>
      </c>
      <c r="CE108" s="4">
        <f t="shared" si="183"/>
        <v>-6.2693134250971352E-2</v>
      </c>
      <c r="CF108" s="4" t="str">
        <f t="shared" si="184"/>
        <v>.</v>
      </c>
      <c r="CG108" s="4" t="str">
        <f t="shared" si="185"/>
        <v>.</v>
      </c>
      <c r="CH108" s="4">
        <f t="shared" si="145"/>
        <v>-6.3285799693995004E-2</v>
      </c>
      <c r="CI108" s="4">
        <f t="shared" si="145"/>
        <v>-7.0171239411707262E-2</v>
      </c>
      <c r="CJ108" s="4" t="str">
        <f t="shared" si="209"/>
        <v>.</v>
      </c>
      <c r="CK108" s="4">
        <f t="shared" si="149"/>
        <v>6.3810294674763127E-3</v>
      </c>
      <c r="CL108" s="4">
        <f t="shared" si="130"/>
        <v>-4.9331615003784468E-2</v>
      </c>
      <c r="CM108" s="4">
        <f t="shared" si="130"/>
        <v>-3.4492099268101026E-3</v>
      </c>
      <c r="CN108" s="4">
        <f t="shared" si="204"/>
        <v>-6.4157536889763112E-2</v>
      </c>
      <c r="CO108" s="4">
        <f t="shared" si="180"/>
        <v>-0.21973272833450611</v>
      </c>
      <c r="CP108" s="4">
        <f t="shared" si="180"/>
        <v>0.27709135690293679</v>
      </c>
      <c r="CQ108" s="4" t="str">
        <f t="shared" si="173"/>
        <v>.</v>
      </c>
      <c r="CR108" s="4" t="str">
        <f t="shared" si="174"/>
        <v>.</v>
      </c>
      <c r="CS108" s="4" t="str">
        <f t="shared" si="175"/>
        <v>.</v>
      </c>
      <c r="CU108" s="5">
        <f>IF(CU107=".", ".", IF('Summary, PPI''s'!R108=".",IF(OR('Summary, hourly ad costs'!R108=-9999,'Summary, hourly ad costs'!R108=0), ".", 'Predicted PPIs'!CU107*('Summary, hourly ad costs'!B108/'Summary, hourly ad costs'!R108)/('Summary, hourly ad costs'!B107/'Summary, hourly ad costs'!R107)/(1-CE107)), 'Summary, PPI''s'!R108))</f>
        <v>23.876869690037989</v>
      </c>
      <c r="CV108" s="5" t="str">
        <f>IF(CV107=".", ".", IF('Summary, PPI''s'!S108=".",IF(OR('Summary, hourly ad costs'!S108=-9999,'Summary, hourly ad costs'!S108=0), ".", 'Predicted PPIs'!CV107*('Summary, hourly ad costs'!C108/'Summary, hourly ad costs'!S108)/('Summary, hourly ad costs'!C107/'Summary, hourly ad costs'!S107)/(1-CF107)), 'Summary, PPI''s'!S108))</f>
        <v>.</v>
      </c>
      <c r="CW108" s="5" t="str">
        <f>IF(CW107=".", ".", IF('Summary, PPI''s'!T108=".",IF(OR('Summary, hourly ad costs'!T108=-9999,'Summary, hourly ad costs'!T108=0), ".", 'Predicted PPIs'!CW107*('Summary, hourly ad costs'!D108/'Summary, hourly ad costs'!T108)/('Summary, hourly ad costs'!D107/'Summary, hourly ad costs'!T107)/(1-CG107)), 'Summary, PPI''s'!T108))</f>
        <v>.</v>
      </c>
      <c r="CX108" s="5">
        <f>IF(CX107=".", ".", IF('Summary, PPI''s'!U108=".",IF(OR('Summary, hourly ad costs'!U108=-9999,'Summary, hourly ad costs'!U108=0), ".", 'Predicted PPIs'!CX107*('Summary, hourly ad costs'!E108/'Summary, hourly ad costs'!U108)/('Summary, hourly ad costs'!E107/'Summary, hourly ad costs'!U107)/(1-CH107)), 'Summary, PPI''s'!U108))</f>
        <v>1.1399921018911261</v>
      </c>
      <c r="CY108" s="5">
        <f>IF(CY107=".", ".", IF('Summary, PPI''s'!V108=".",IF(OR('Summary, hourly ad costs'!V108=-9999,'Summary, hourly ad costs'!V108=0), ".", 'Predicted PPIs'!CY107*('Summary, hourly ad costs'!F108/'Summary, hourly ad costs'!V108)/('Summary, hourly ad costs'!F107/'Summary, hourly ad costs'!V107)/(1-CI107)), 'Summary, PPI''s'!V108))</f>
        <v>1.4240311646050108</v>
      </c>
      <c r="CZ108" s="5" t="str">
        <f>IF(CZ107=".", ".", IF('Summary, PPI''s'!W108=".",IF(OR('Summary, hourly ad costs'!W108=-9999,'Summary, hourly ad costs'!W108=0), ".", 'Predicted PPIs'!CZ107*('Summary, hourly ad costs'!G108/'Summary, hourly ad costs'!W108)/('Summary, hourly ad costs'!G107/'Summary, hourly ad costs'!W107)/(1-CJ107)), 'Summary, PPI''s'!W108))</f>
        <v>.</v>
      </c>
      <c r="DA108" s="5">
        <f>IF(DA107=".", ".", IF('Summary, PPI''s'!X108=".",IF(OR('Summary, hourly ad costs'!X108=-9999,'Summary, hourly ad costs'!X108=0), ".", 'Predicted PPIs'!DA107*('Summary, hourly ad costs'!H108/'Summary, hourly ad costs'!X108)/('Summary, hourly ad costs'!H107/'Summary, hourly ad costs'!X107)/(1-CK107)), 'Summary, PPI''s'!X108))</f>
        <v>1.1267505625157566</v>
      </c>
      <c r="DB108" s="5" t="str">
        <f>IF(DB107=".", ".", IF('Summary, PPI''s'!Y108=".",IF(OR('Summary, hourly ad costs'!Y108=-9999,'Summary, hourly ad costs'!Y108=0), ".", 'Predicted PPIs'!DB107*('Summary, hourly ad costs'!I108/'Summary, hourly ad costs'!Y108)/('Summary, hourly ad costs'!I107/'Summary, hourly ad costs'!Y107)/(1-CL107)), 'Summary, PPI''s'!Y108))</f>
        <v>.</v>
      </c>
      <c r="DC108" s="5" t="str">
        <f>IF(DC107=".", ".", IF('Summary, PPI''s'!Z108=".",IF(OR('Summary, hourly ad costs'!Z108=-9999,'Summary, hourly ad costs'!Z108=0), ".", 'Predicted PPIs'!DC107*('Summary, hourly ad costs'!J108/'Summary, hourly ad costs'!Z108)/('Summary, hourly ad costs'!J107/'Summary, hourly ad costs'!Z107)/(1-CM107)), 'Summary, PPI''s'!Z108))</f>
        <v>.</v>
      </c>
      <c r="DD108" s="5" t="str">
        <f>IF(DD107=".", ".", IF('Summary, PPI''s'!AA108=".",IF(OR('Summary, hourly ad costs'!AA108=-9999,'Summary, hourly ad costs'!AA108=0), ".", 'Predicted PPIs'!DD107*('Summary, hourly ad costs'!K108/'Summary, hourly ad costs'!AA108)/('Summary, hourly ad costs'!K107/'Summary, hourly ad costs'!AA107)/(1-CN107)), 'Summary, PPI''s'!AA108))</f>
        <v>.</v>
      </c>
      <c r="DE108" s="5" t="str">
        <f>IF(DE107=".", ".", IF('Summary, PPI''s'!AB108=".",IF(OR('Summary, hourly ad costs'!AB108=-9999,'Summary, hourly ad costs'!AB108=0), ".", 'Predicted PPIs'!DE107*('Summary, hourly ad costs'!L108/'Summary, hourly ad costs'!AB108)/('Summary, hourly ad costs'!L107/'Summary, hourly ad costs'!AB107)/(1-CO107)), 'Summary, PPI''s'!AB108))</f>
        <v>.</v>
      </c>
      <c r="DF108" s="5" t="str">
        <f>IF(DF107=".", ".", IF('Summary, PPI''s'!AC108=".",IF(OR('Summary, hourly ad costs'!AC108=-9999,'Summary, hourly ad costs'!AC108=0), ".", 'Predicted PPIs'!DF107*('Summary, hourly ad costs'!M108/'Summary, hourly ad costs'!AC108)/('Summary, hourly ad costs'!M107/'Summary, hourly ad costs'!AC107)/(1-CP107)), 'Summary, PPI''s'!AC108))</f>
        <v>.</v>
      </c>
      <c r="DG108" s="5" t="str">
        <f>IF(DG107=".", ".", IF('Summary, PPI''s'!AD108=".",IF(OR('Summary, hourly ad costs'!AD108=-9999,'Summary, hourly ad costs'!AD108=0), ".", 'Predicted PPIs'!DG107*('Summary, hourly ad costs'!N108/'Summary, hourly ad costs'!AD108)/('Summary, hourly ad costs'!N107/'Summary, hourly ad costs'!AD107)/(1-CQ107)), 'Summary, PPI''s'!AD108))</f>
        <v>.</v>
      </c>
      <c r="DH108" s="5" t="str">
        <f>IF(DH107=".", ".", IF('Summary, PPI''s'!AE108=".",IF(OR('Summary, hourly ad costs'!AE108=-9999,'Summary, hourly ad costs'!AE108=0), ".", 'Predicted PPIs'!DH107*('Summary, hourly ad costs'!O108/'Summary, hourly ad costs'!AE108)/('Summary, hourly ad costs'!O107/'Summary, hourly ad costs'!AE107)/(1-CR107)), 'Summary, PPI''s'!AE108))</f>
        <v>.</v>
      </c>
      <c r="DI108" s="5" t="str">
        <f>IF(DI107=".", ".", IF('Summary, PPI''s'!AF108=".",IF(OR('Summary, hourly ad costs'!AF108=-9999,'Summary, hourly ad costs'!AF108=0), ".", 'Predicted PPIs'!DI107*('Summary, hourly ad costs'!P108/'Summary, hourly ad costs'!AF108)/('Summary, hourly ad costs'!P107/'Summary, hourly ad costs'!AF107)/(1-CS107)), 'Summary, PPI''s'!AF108))</f>
        <v>.</v>
      </c>
      <c r="DK108" s="4">
        <f t="shared" si="205"/>
        <v>1.1955824561403507</v>
      </c>
      <c r="DM108" s="5">
        <f t="shared" si="186"/>
        <v>0.12863129929576367</v>
      </c>
      <c r="DN108" s="4">
        <f t="shared" si="187"/>
        <v>-1.3337523031292639E-2</v>
      </c>
      <c r="DO108" s="4">
        <f t="shared" si="181"/>
        <v>-2.3068814860857149E-2</v>
      </c>
      <c r="DP108" s="5">
        <f t="shared" si="188"/>
        <v>4.7214277548856431E-2</v>
      </c>
      <c r="DQ108" s="5">
        <f t="shared" si="189"/>
        <v>0.36972316403739369</v>
      </c>
      <c r="DR108" s="4">
        <f t="shared" si="146"/>
        <v>-1.5794098610129943E-2</v>
      </c>
      <c r="DS108" s="5">
        <f t="shared" si="190"/>
        <v>2.6324404434144855E-2</v>
      </c>
      <c r="DT108" s="4">
        <f t="shared" si="206"/>
        <v>3.4158088808781961E-2</v>
      </c>
      <c r="DU108" s="4">
        <f t="shared" si="171"/>
        <v>-4.43000683088626E-2</v>
      </c>
      <c r="DV108" s="4">
        <f t="shared" si="131"/>
        <v>2.0665780758707068E-3</v>
      </c>
      <c r="DW108" s="4">
        <f t="shared" si="182"/>
        <v>7.6421831266854451E-2</v>
      </c>
      <c r="DX108" s="4">
        <f t="shared" si="182"/>
        <v>-0.31766438751751414</v>
      </c>
      <c r="DY108" s="4">
        <f t="shared" si="228"/>
        <v>-2.4362840795684366E-2</v>
      </c>
      <c r="DZ108" s="4">
        <f t="shared" si="132"/>
        <v>-1.8366055014900691E-2</v>
      </c>
      <c r="EA108" s="4">
        <f t="shared" si="229"/>
        <v>-1.4608218781808489E-2</v>
      </c>
      <c r="EC108" s="1">
        <f t="shared" si="213"/>
        <v>23.876869690037989</v>
      </c>
      <c r="ED108" s="1">
        <f t="shared" si="214"/>
        <v>1.3153678018170811</v>
      </c>
      <c r="EE108" s="1">
        <f t="shared" si="215"/>
        <v>0.72126178807731878</v>
      </c>
      <c r="EF108" s="1">
        <f t="shared" si="216"/>
        <v>1.1399921018911261</v>
      </c>
      <c r="EG108" s="1">
        <f t="shared" si="217"/>
        <v>1.4240311646050108</v>
      </c>
      <c r="EH108" s="1">
        <f t="shared" si="218"/>
        <v>1.018050966910486</v>
      </c>
      <c r="EI108" s="1">
        <f t="shared" si="219"/>
        <v>1.1267505625157566</v>
      </c>
      <c r="EJ108" s="1">
        <f t="shared" si="220"/>
        <v>1.6855905257194368</v>
      </c>
      <c r="EK108" s="1">
        <f t="shared" si="221"/>
        <v>2.4021759892762384</v>
      </c>
      <c r="EL108" s="1">
        <f t="shared" si="222"/>
        <v>0.98985458408371774</v>
      </c>
      <c r="EM108" s="1">
        <f t="shared" si="223"/>
        <v>6.3680185426462976E-2</v>
      </c>
      <c r="EN108" s="1">
        <f t="shared" si="224"/>
        <v>0.60350963178863559</v>
      </c>
      <c r="EO108" s="1">
        <f t="shared" si="225"/>
        <v>0.53231896693751057</v>
      </c>
      <c r="EP108" s="1">
        <f t="shared" si="226"/>
        <v>0.95809272159043235</v>
      </c>
      <c r="EQ108" s="1">
        <f t="shared" si="227"/>
        <v>0.7667926840097119</v>
      </c>
      <c r="ES108" s="1">
        <f>IF(EF$26=".", 0, 'Summary, PPI''s'!E108)+IF(EG$26=".", 0, 'Summary, PPI''s'!F108)+IF(EH$26=".", 0, 'Summary, PPI''s'!G108)+IF(EI$26=".", 0, 'Summary, PPI''s'!H108)+IF(EJ$26=".", 0, 'Summary, PPI''s'!I108)+IF(EK$26=".", 0, 'Summary, PPI''s'!J108)+IF(EL$26=".", 0, 'Summary, PPI''s'!K108)+IF(EM$26=".", 0, 'Summary, PPI''s'!L108)+IF(EN$26=".", 0, 'Summary, PPI''s'!M108)+IF(EC$26=".", 0, 'Summary, PPI''s'!B108)+IF(ED$26=".", 0, 'Summary, PPI''s'!C108)+IF(EE$26=".", 0, 'Summary, PPI''s'!D108)+IF(EO$26=".", 0, 'Summary, PPI''s'!N108)+IF(EP$26=".", 0, 'Summary, PPI''s'!O108)+IF(EQ$26=".", 0, 'Summary, PPI''s'!P108)</f>
        <v>819943.24222057126</v>
      </c>
      <c r="ET108" s="1">
        <f>'Summary, hourly ad costs'!E108+'Summary, hourly ad costs'!F108+'Summary, hourly ad costs'!H108+'Summary, hourly ad costs'!I108+'Summary, hourly ad costs'!J108+'Summary, hourly ad costs'!K108+'Summary, hourly ad costs'!L108+'Summary, hourly ad costs'!M108+'Summary, hourly ad costs'!B108</f>
        <v>501338.87677553826</v>
      </c>
      <c r="EV108" s="13">
        <f>EV107*IF(EF$26=".", 1, (EF108/EF107)^(('Summary, PPI''s'!$E108+'Summary, PPI''s'!$E107)/('Predicted PPIs'!ES108+'Predicted PPIs'!ES107)))*IF(EG$26=".", 1, (EG108/EG107)^(('Summary, PPI''s'!$F108+'Summary, PPI''s'!$F107)/('Predicted PPIs'!ES108+'Predicted PPIs'!ES107)))*IF(EH$26=".", 1, (EH108/EH107)^(('Summary, PPI''s'!$G108+'Summary, PPI''s'!$G107)/('Predicted PPIs'!ES108+'Predicted PPIs'!ES107)))*IF(EI$26=".", 1, (EI108/EI107)^(('Summary, PPI''s'!$H108+'Summary, PPI''s'!$H107)/('Predicted PPIs'!ES108+'Predicted PPIs'!ES107)))*IF(EJ$26=".", 1, (EJ108/EJ107)^(('Summary, PPI''s'!$I108+'Summary, PPI''s'!$I107)/('Predicted PPIs'!ES108+'Predicted PPIs'!ES107)))*IF(EK$26=".", 1, (EK108/EK107)^(('Summary, PPI''s'!$J108+'Summary, PPI''s'!$J107)/('Predicted PPIs'!ES108+'Predicted PPIs'!ES107)))*IF(EL$26=".", 1, (EL108/EL107)^(('Summary, PPI''s'!$K108+'Summary, PPI''s'!$K107)/('Predicted PPIs'!ES108+'Predicted PPIs'!ES107)))*IF(EM$26=".", 1, (EM108/EM107)^(('Summary, PPI''s'!$L108+'Summary, PPI''s'!$L107)/('Predicted PPIs'!ES108+'Predicted PPIs'!ES107)))*IF(EN$26=".", 1, (EN108/EN107)^(('Summary, PPI''s'!$M108+'Summary, PPI''s'!$M107)/('Predicted PPIs'!ES108+'Predicted PPIs'!ES107)))*IF(EC$26=".", 1, (EC108/EC107)^(('Summary, PPI''s'!$B108+'Summary, PPI''s'!$B107)/('Predicted PPIs'!ES108+'Predicted PPIs'!ES107)))*IF(ED$26=".", 1, (ED108/ED107)^(('Summary, PPI''s'!$C108+'Summary, PPI''s'!$C107)/('Predicted PPIs'!ES108+'Predicted PPIs'!ES107)))*IF(EE$26=".", 1, (EE108/EE107)^(('Summary, PPI''s'!$D108+'Summary, PPI''s'!$D107)/('Predicted PPIs'!ES108+'Predicted PPIs'!ES107)))*IF(EO$26=".", 1, (EO108/EO107)^(('Summary, PPI''s'!$N108+'Summary, PPI''s'!$N107)/('Predicted PPIs'!ES108+'Predicted PPIs'!ES107)))*IF(EP$26=".", 1, (EP108/EP107)^(('Summary, PPI''s'!$O108+'Summary, PPI''s'!$O107)/('Predicted PPIs'!ES108+'Predicted PPIs'!ES107)))*IF(EQ$26=".", 1, (EQ108/EQ107)^(('Summary, PPI''s'!$P108+'Summary, PPI''s'!$P107)/('Predicted PPIs'!ES108+'Predicted PPIs'!ES107)))</f>
        <v>1.8495307880672365</v>
      </c>
      <c r="EW108" s="13">
        <f>EW107*IF(EF$26=".", 1, (EF108/EF107)^(('Summary, PPI''s'!$E108+'Summary, PPI''s'!$E107)/('Predicted PPIs'!ET108+'Predicted PPIs'!ET107)))*IF(EG$26=".", 1, (EG108/EG107)^(('Summary, PPI''s'!$F108+'Summary, PPI''s'!$F107)/('Predicted PPIs'!ET108+'Predicted PPIs'!ET107)))*IF(EH$26=".", 1, (EH108/EH107)^(('Summary, PPI''s'!$G108+'Summary, PPI''s'!$G107)/('Predicted PPIs'!ET108+'Predicted PPIs'!ET107)))*IF(EK$26=".", 1, (EK108/EK107)^(('Summary, PPI''s'!$J108+'Summary, PPI''s'!$J107)/('Predicted PPIs'!ET108+'Predicted PPIs'!ET107)))*IF(EL$26=".", 1, (EL108/EL107)^(('Summary, PPI''s'!$K108+'Summary, PPI''s'!$K107)/('Predicted PPIs'!ET108+'Predicted PPIs'!ET107)))*IF(EM$26=".", 1, (EM108/EM107)^(('Summary, PPI''s'!$L108+'Summary, PPI''s'!$L107)/('Predicted PPIs'!ET108+'Predicted PPIs'!ET107)))*IF(EN$26=".", 1, (EN108/EN107)^(('Summary, PPI''s'!$M108+'Summary, PPI''s'!$M107)/('Predicted PPIs'!ET108+'Predicted PPIs'!ET107)))*IF(EC$26=".", 1, (EC108/EC107)^(('Summary, PPI''s'!$B108+'Summary, PPI''s'!$B107)/('Predicted PPIs'!ET108+'Predicted PPIs'!ET107)))</f>
        <v>3.851069433889553</v>
      </c>
      <c r="EY108" s="2"/>
    </row>
    <row r="109" spans="1:155" x14ac:dyDescent="0.3">
      <c r="A109" s="4">
        <v>1914</v>
      </c>
      <c r="B109" s="10">
        <f>IF(B108=".", ".", IF('Summary, PPI''s'!R109=".",IF(OR('Summary, hourly ad costs'!R109=-9999,'Summary, hourly ad costs'!R109=0), ".", 'Predicted PPIs'!B108*('Summary, hourly ad costs'!B109/'Summary, hourly ad costs'!R109)/('Summary, hourly ad costs'!B108/'Summary, hourly ad costs'!R108)), 'Summary, PPI''s'!R109))</f>
        <v>49.590812777113712</v>
      </c>
      <c r="C109" s="10" t="str">
        <f>IF(C108=".", ".", IF('Summary, PPI''s'!S109=".",IF(OR('Summary, hourly ad costs'!S109=-9999,'Summary, hourly ad costs'!S109=0), ".", 'Predicted PPIs'!C108*('Summary, hourly ad costs'!C109/'Summary, hourly ad costs'!S109)/('Summary, hourly ad costs'!C108/'Summary, hourly ad costs'!S108)), 'Summary, PPI''s'!S109))</f>
        <v>.</v>
      </c>
      <c r="D109" s="10" t="str">
        <f>IF(D108=".", ".", IF('Summary, PPI''s'!T109=".",IF(OR('Summary, hourly ad costs'!T109=-9999,'Summary, hourly ad costs'!T109=0), ".", 'Predicted PPIs'!D108*('Summary, hourly ad costs'!D109/'Summary, hourly ad costs'!T109)/('Summary, hourly ad costs'!D108/'Summary, hourly ad costs'!T108)), 'Summary, PPI''s'!T109))</f>
        <v>.</v>
      </c>
      <c r="E109" s="10">
        <f>IF(E108=".", ".", IF('Summary, PPI''s'!U109=".",IF(OR('Summary, hourly ad costs'!U109=-9999,'Summary, hourly ad costs'!U109=0), ".", 'Predicted PPIs'!E108*('Summary, hourly ad costs'!E109/'Summary, hourly ad costs'!U109)/('Summary, hourly ad costs'!E108/'Summary, hourly ad costs'!U108)), 'Summary, PPI''s'!U109))</f>
        <v>1.1288797296969706</v>
      </c>
      <c r="F109" s="10">
        <f>IF(F108=".", ".", IF('Summary, PPI''s'!V109=".",IF(OR('Summary, hourly ad costs'!V109=-9999,'Summary, hourly ad costs'!V109=0), ".", 'Predicted PPIs'!F108*('Summary, hourly ad costs'!F109/'Summary, hourly ad costs'!V109)/('Summary, hourly ad costs'!F108/'Summary, hourly ad costs'!V108)), 'Summary, PPI''s'!V109))</f>
        <v>0.9743050479217471</v>
      </c>
      <c r="G109" s="10" t="str">
        <f>IF(G108=".", ".", IF('Summary, PPI''s'!W109=".",IF(OR('Summary, hourly ad costs'!W109=-9999,'Summary, hourly ad costs'!W109=0), ".", 'Predicted PPIs'!G108*('Summary, hourly ad costs'!G109/'Summary, hourly ad costs'!W109)/('Summary, hourly ad costs'!G108/'Summary, hourly ad costs'!W108)), 'Summary, PPI''s'!W109))</f>
        <v>.</v>
      </c>
      <c r="H109" s="10">
        <f>IF(H108=".", ".", IF('Summary, PPI''s'!X109=".",IF(OR('Summary, hourly ad costs'!X109=-9999,'Summary, hourly ad costs'!X109=0), ".", 'Predicted PPIs'!H108*('Summary, hourly ad costs'!H109/'Summary, hourly ad costs'!X109)/('Summary, hourly ad costs'!H108/'Summary, hourly ad costs'!X108)), 'Summary, PPI''s'!X109))</f>
        <v>0.93188625263223068</v>
      </c>
      <c r="I109" s="10" t="str">
        <f>IF(I108=".", ".", IF('Summary, PPI''s'!Y109=".",IF(OR('Summary, hourly ad costs'!Y109=-9999,'Summary, hourly ad costs'!Y109=0), ".", 'Predicted PPIs'!I108*('Summary, hourly ad costs'!I109/'Summary, hourly ad costs'!Y109)/('Summary, hourly ad costs'!I108/'Summary, hourly ad costs'!Y108)), 'Summary, PPI''s'!Y109))</f>
        <v>.</v>
      </c>
      <c r="J109" s="10" t="str">
        <f>IF(J108=".", ".", IF('Summary, PPI''s'!Z109=".",IF(OR('Summary, hourly ad costs'!Z109=-9999,'Summary, hourly ad costs'!Z109=0), ".", 'Predicted PPIs'!J108*('Summary, hourly ad costs'!J109/'Summary, hourly ad costs'!Z109)/('Summary, hourly ad costs'!J108/'Summary, hourly ad costs'!Z108)), 'Summary, PPI''s'!Z109))</f>
        <v>.</v>
      </c>
      <c r="K109" s="10" t="str">
        <f>IF(K108=".", ".", IF('Summary, PPI''s'!AA109=".",IF(OR('Summary, hourly ad costs'!AA109=-9999,'Summary, hourly ad costs'!AA109=0), ".", 'Predicted PPIs'!K108*('Summary, hourly ad costs'!K109/'Summary, hourly ad costs'!AA109)/('Summary, hourly ad costs'!K108/'Summary, hourly ad costs'!AA108)), 'Summary, PPI''s'!AA109))</f>
        <v>.</v>
      </c>
      <c r="L109" s="10" t="str">
        <f>IF(L108=".", ".", IF('Summary, PPI''s'!AB109=".",IF(OR('Summary, hourly ad costs'!AB109=-9999,'Summary, hourly ad costs'!AB109=0), ".", 'Predicted PPIs'!L108*('Summary, hourly ad costs'!L109/'Summary, hourly ad costs'!AB109)/('Summary, hourly ad costs'!L108/'Summary, hourly ad costs'!AB108)), 'Summary, PPI''s'!AB109))</f>
        <v>.</v>
      </c>
      <c r="M109" s="10" t="str">
        <f>IF(M108=".", ".", IF('Summary, PPI''s'!AC109=".",IF(OR('Summary, hourly ad costs'!AC109=-9999,'Summary, hourly ad costs'!AC109=0), ".", 'Predicted PPIs'!M108*('Summary, hourly ad costs'!M109/'Summary, hourly ad costs'!AC109)/('Summary, hourly ad costs'!M108/'Summary, hourly ad costs'!AC108)), 'Summary, PPI''s'!AC109))</f>
        <v>.</v>
      </c>
      <c r="N109" s="10" t="str">
        <f>IF(N108=".", ".", IF('Summary, PPI''s'!AD109=".",IF(OR('Summary, hourly ad costs'!AD109=-9999,'Summary, hourly ad costs'!AD109=0), ".", 'Predicted PPIs'!N108*('Summary, hourly ad costs'!N109/'Summary, hourly ad costs'!AD109)/('Summary, hourly ad costs'!N108/'Summary, hourly ad costs'!AD108)), 'Summary, PPI''s'!AD109))</f>
        <v>.</v>
      </c>
      <c r="O109" s="10" t="str">
        <f>IF(O108=".", ".", IF('Summary, PPI''s'!AE109=".",IF(OR('Summary, hourly ad costs'!AE109=-9999,'Summary, hourly ad costs'!AE109=0), ".", 'Predicted PPIs'!O108*('Summary, hourly ad costs'!O109/'Summary, hourly ad costs'!AE109)/('Summary, hourly ad costs'!O108/'Summary, hourly ad costs'!AE108)), 'Summary, PPI''s'!AE109))</f>
        <v>.</v>
      </c>
      <c r="P109" s="10" t="str">
        <f>IF(P108=".", ".", IF('Summary, PPI''s'!AF109=".",IF(OR('Summary, hourly ad costs'!AF109=-9999,'Summary, hourly ad costs'!AF109=0), ".", 'Predicted PPIs'!P108*('Summary, hourly ad costs'!P109/'Summary, hourly ad costs'!AF109)/('Summary, hourly ad costs'!P108/'Summary, hourly ad costs'!AF108)), 'Summary, PPI''s'!AF109))</f>
        <v>.</v>
      </c>
      <c r="R109" s="1">
        <f>IF(E$26=".", 0, 'Summary, PPI''s'!E109)+IF(F$26=".", 0, 'Summary, PPI''s'!F109)+IF(G$26=".", 0, 'Summary, PPI''s'!G109)+IF(H$26=".", 0, 'Summary, PPI''s'!H109)+IF(I$26=".", 0, 'Summary, PPI''s'!I109)+IF(J$26=".", 0, 'Summary, PPI''s'!J109)+IF(K$26=".", 0, 'Summary, PPI''s'!K109)+IF(L$26=".", 0, 'Summary, PPI''s'!L109)+IF(M$26=".", 0, 'Summary, PPI''s'!M109)+IF(B$26=".", 0, 'Summary, PPI''s'!B109)+IF(C$26=".", 0, 'Summary, PPI''s'!C109)+IF(D$26=".", 0, 'Summary, PPI''s'!D109)+IF(N$26=".", 0, 'Summary, PPI''s'!N109)+IF(O$26=".", 0, 'Summary, PPI''s'!O109)+IF(P$26=".", 0, 'Summary, PPI''s'!P109)</f>
        <v>809241.68079214916</v>
      </c>
      <c r="S109" s="1">
        <f>IF(E$36=".", 0, 'Summary, PPI''s'!E109)+IF(F$36=".", 0, 'Summary, PPI''s'!F109)+IF(G$36=".", 0, 'Summary, PPI''s'!G109)+IF(H$36=".", 0, 'Summary, PPI''s'!H109)+IF(I$36=".", 0, 'Summary, PPI''s'!I109)+IF(J$36=".", 0, 'Summary, PPI''s'!J109)+IF(K$36=".", 0, 'Summary, PPI''s'!K109)+IF(L$36=".", 0, 'Summary, PPI''s'!L109)+IF(M$36=".", 0, 'Summary, PPI''s'!M109)+IF(B$36=".", 0, 'Summary, PPI''s'!B109)+IF(C$36=".", 0, 'Summary, PPI''s'!C109)+IF(D$36=".", 0, 'Summary, PPI''s'!D109)+IF(N$36=".", 0, 'Summary, PPI''s'!N109)+IF(O$36=".", 0, 'Summary, PPI''s'!O109)+IF(P$36=".", 0, 'Summary, PPI''s'!P109)</f>
        <v>809241.68079214916</v>
      </c>
      <c r="T109" s="1">
        <f>IF(E$46=".", 0, 'Summary, PPI''s'!E109)+IF(F$46=".", 0, 'Summary, PPI''s'!F109)+IF(G$46=".", 0, 'Summary, PPI''s'!G109)+IF(H$46=".", 0, 'Summary, PPI''s'!H109)+IF(I$46=".", 0, 'Summary, PPI''s'!I109)+IF(J$46=".", 0, 'Summary, PPI''s'!J109)+IF(K$46=".", 0, 'Summary, PPI''s'!K109)+IF(L$46=".", 0, 'Summary, PPI''s'!L109)+IF(M$46=".", 0, 'Summary, PPI''s'!M109)+IF(B$46=".", 0, 'Summary, PPI''s'!B109)+IF(C$46=".", 0, 'Summary, PPI''s'!C109)+IF(D$46=".", 0, 'Summary, PPI''s'!D109)+IF(N$46=".", 0, 'Summary, PPI''s'!N109)+IF(O$46=".", 0, 'Summary, PPI''s'!O109)+IF(P$46=".", 0, 'Summary, PPI''s'!P109)</f>
        <v>725375.56862324476</v>
      </c>
      <c r="U109" s="1">
        <f>IF(E$60=".", 0, 'Summary, PPI''s'!E109)+IF(F$60=".", 0, 'Summary, PPI''s'!F109)+IF(G$60=".", 0, 'Summary, PPI''s'!G109)+IF(H$60=".", 0, 'Summary, PPI''s'!H109)+IF(I$60=".", 0, 'Summary, PPI''s'!I109)+IF(J$60=".", 0, 'Summary, PPI''s'!J109)+IF(K$60=".", 0, 'Summary, PPI''s'!K109)+IF(L$60=".", 0, 'Summary, PPI''s'!L109)+IF(M$60=".", 0, 'Summary, PPI''s'!M109)+IF(B$60=".", 0, 'Summary, PPI''s'!B109)+IF(C$60=".", 0, 'Summary, PPI''s'!C109)+IF(D$60=".", 0, 'Summary, PPI''s'!D109)+IF(N$60=".", 0, 'Summary, PPI''s'!N109)+IF(O$60=".", 0, 'Summary, PPI''s'!O109)+IF(P$60=".", 0, 'Summary, PPI''s'!P109)</f>
        <v>686600.97179600969</v>
      </c>
      <c r="V109" s="1">
        <f>IF(E$73=".", 0, 'Summary, PPI''s'!E109)+IF(F$73=".", 0, 'Summary, PPI''s'!F109)+IF(G$73=".", 0, 'Summary, PPI''s'!G109)+IF(H$73=".", 0, 'Summary, PPI''s'!H109)+IF(I$73=".", 0, 'Summary, PPI''s'!I109)+IF(J$73=".", 0, 'Summary, PPI''s'!J109)+IF(K$73=".", 0, 'Summary, PPI''s'!K109)+IF(L$73=".", 0, 'Summary, PPI''s'!L109)+IF(M$73=".", 0, 'Summary, PPI''s'!M109)+IF(B$73=".", 0, 'Summary, PPI''s'!B109)+IF(C$73=".", 0, 'Summary, PPI''s'!C109)+IF(D$73=".", 0, 'Summary, PPI''s'!D109)+IF(N$73=".", 0, 'Summary, PPI''s'!N109)+IF(O$73=".", 0, 'Summary, PPI''s'!O109)+IF(P$73=".", 0, 'Summary, PPI''s'!P109)</f>
        <v>492648.12196860043</v>
      </c>
      <c r="W109" s="1">
        <f>IF(E$94=".",0,'Summary, PPI''s'!E109)+IF(F$94=".",0,'Summary, PPI''s'!F109)+IF(G$94=".",0,'Summary, PPI''s'!G109)+IF(H$94=".",0,'Summary, PPI''s'!H109)+IF(I$94=".",0,'Summary, PPI''s'!I109)+IF(J$94=".",0,'Summary, PPI''s'!J109)+IF(K$94=".",0,'Summary, PPI''s'!K109)+IF(L$94=".",0,'Summary, PPI''s'!L109)+IF(M$94=".",0,'Summary, PPI''s'!M109)+IF(B$94=".",0,'Summary, PPI''s'!B109)+IF(C$94=".",0,'Summary, PPI''s'!C109)+IF(D$94=".",0,'Summary, PPI''s'!D109)+IF(N$94=".",0,'Summary, PPI''s'!N109)+IF(O$94=".",0,'Summary, PPI''s'!O109)+IF(P$94=".",0,'Summary, PPI''s'!P109)</f>
        <v>492648.12196860043</v>
      </c>
      <c r="X109" s="1">
        <f>IF(E$123=".", 0, 'Summary, PPI''s'!E109)+IF(F$123=".", 0, 'Summary, PPI''s'!F109)+IF(G$123=".", 0, 'Summary, PPI''s'!G109)+IF(H$123=".", 0, 'Summary, PPI''s'!H109)+IF(I$123=".", 0, 'Summary, PPI''s'!I109)+IF(J$123=".", 0, 'Summary, PPI''s'!J109)+IF(K$123=".", 0, 'Summary, PPI''s'!K109)+IF(L$123=".", 0, 'Summary, PPI''s'!L109)+IF(M$123=".", 0, 'Summary, PPI''s'!M109)+IF(B$123=".", 0, 'Summary, PPI''s'!B109)+IF(C$123=".", 0, 'Summary, PPI''s'!C109)+IF(D$123=".", 0, 'Summary, PPI''s'!D109)+IF(N$123=".", 0, 'Summary, PPI''s'!N109)+IF(O$123=".", 0, 'Summary, PPI''s'!O109)+IF(P$123=".", 0, 'Summary, PPI''s'!P109)</f>
        <v>492648.12196860043</v>
      </c>
      <c r="Z109" s="4" t="e">
        <f>Z108*IF(E$26=".", 1, (E109/E108)^(('Summary, PPI''s'!$E109+'Summary, PPI''s'!$E108)/('Predicted PPIs'!R109+'Predicted PPIs'!R108)))*IF(F$26=".", 1, (F109/F108)^(('Summary, PPI''s'!$F109+'Summary, PPI''s'!$F108)/('Predicted PPIs'!R109+'Predicted PPIs'!R108)))*IF(G$26=".", 1, (G109/G108)^(('Summary, PPI''s'!$G109+'Summary, PPI''s'!$G108)/('Predicted PPIs'!R109+'Predicted PPIs'!R108)))*IF(H$26=".", 1, (H109/H108)^(('Summary, PPI''s'!$H109+'Summary, PPI''s'!$H108)/('Predicted PPIs'!R109+'Predicted PPIs'!R108)))*IF(I$26=".", 1, (I109/I108)^(('Summary, PPI''s'!$I109+'Summary, PPI''s'!$I108)/('Predicted PPIs'!R109+'Predicted PPIs'!R108)))*IF(J$26=".", 1, (J109/J108)^(('Summary, PPI''s'!$J109+'Summary, PPI''s'!$J108)/('Predicted PPIs'!R109+'Predicted PPIs'!R108)))*IF(K$26=".", 1, (K109/K108)^(('Summary, PPI''s'!$K109+'Summary, PPI''s'!$K108)/('Predicted PPIs'!R109+'Predicted PPIs'!R108)))*IF(L$26=".", 1, (L109/L108)^(('Summary, PPI''s'!$L109+'Summary, PPI''s'!$L108)/('Predicted PPIs'!R109+'Predicted PPIs'!R108)))*IF(M$26=".", 1, (M109/M108)^(('Summary, PPI''s'!$M109+'Summary, PPI''s'!$M108)/('Predicted PPIs'!R109+'Predicted PPIs'!R108)))*IF(B$26=".", 1, (B109/B108)^(('Summary, PPI''s'!$B109+'Summary, PPI''s'!$B108)/('Predicted PPIs'!R109+'Predicted PPIs'!R108)))*IF(C$26=".", 1, (C109/C108)^(('Summary, PPI''s'!$C109+'Summary, PPI''s'!$C108)/('Predicted PPIs'!R109+'Predicted PPIs'!R108)))*IF(D$26=".", 1, (D109/D108)^(('Summary, PPI''s'!$D109+'Summary, PPI''s'!$D108)/('Predicted PPIs'!R109+'Predicted PPIs'!R108)))*IF(N$26=".", 1, (N109/N108)^(('Summary, PPI''s'!$N109+'Summary, PPI''s'!$N108)/('Predicted PPIs'!R109+'Predicted PPIs'!R108)))*IF(O$26=".", 1, (O109/O108)^(('Summary, PPI''s'!$O109+'Summary, PPI''s'!$O108)/('Predicted PPIs'!R109+'Predicted PPIs'!R108)))*IF(P$26=".", 1, (P109/P108)^(('Summary, PPI''s'!$P109+'Summary, PPI''s'!$P108)/('Predicted PPIs'!R109+'Predicted PPIs'!R108)))</f>
        <v>#VALUE!</v>
      </c>
      <c r="AA109" s="4" t="e">
        <f>AA108*IF(E$36=".", 1, (E109/E108)^(('Summary, PPI''s'!$E109+'Summary, PPI''s'!$E108)/('Predicted PPIs'!S109+'Predicted PPIs'!S108)))*IF(F$36=".", 1, (F109/F108)^(('Summary, PPI''s'!$F109+'Summary, PPI''s'!$F108)/('Predicted PPIs'!S109+'Predicted PPIs'!S108)))*IF(G$36=".", 1, (G109/G108)^(('Summary, PPI''s'!$G109+'Summary, PPI''s'!$G108)/('Predicted PPIs'!S109+'Predicted PPIs'!S108)))*IF(H$36=".", 1, (H109/H108)^(('Summary, PPI''s'!$H109+'Summary, PPI''s'!$H108)/('Predicted PPIs'!S109+'Predicted PPIs'!S108)))*IF(I$36=".", 1, (I109/I108)^(('Summary, PPI''s'!$I109+'Summary, PPI''s'!$I108)/('Predicted PPIs'!S109+'Predicted PPIs'!S108)))*IF(J$36=".", 1, (J109/J108)^(('Summary, PPI''s'!$J109+'Summary, PPI''s'!$J108)/('Predicted PPIs'!S109+'Predicted PPIs'!S108)))*IF(K$36=".", 1, (K109/K108)^(('Summary, PPI''s'!$K109+'Summary, PPI''s'!$K108)/('Predicted PPIs'!S109+'Predicted PPIs'!S108)))*IF(L$36=".", 1, (L109/L108)^(('Summary, PPI''s'!$L109+'Summary, PPI''s'!$L108)/('Predicted PPIs'!S109+'Predicted PPIs'!S108)))*IF(M$36=".", 1, (M109/M108)^(('Summary, PPI''s'!$M109+'Summary, PPI''s'!$M108)/('Predicted PPIs'!S109+'Predicted PPIs'!S108)))*IF(B$36=".", 1, (B109/B108)^(('Summary, PPI''s'!$B109+'Summary, PPI''s'!$B108)/('Predicted PPIs'!S109+'Predicted PPIs'!S108)))*IF(C$36=".", 1, (C109/C108)^(('Summary, PPI''s'!$C109+'Summary, PPI''s'!$C108)/('Predicted PPIs'!S109+'Predicted PPIs'!S108)))*IF(D$36=".", 1, (D109/D108)^(('Summary, PPI''s'!$D109+'Summary, PPI''s'!$D108)/('Predicted PPIs'!S109+'Predicted PPIs'!S108)))*IF(N$36=".", 1, (N109/N108)^(('Summary, PPI''s'!$N109+'Summary, PPI''s'!$N108)/('Predicted PPIs'!S109+'Predicted PPIs'!S108)))*IF(O$36=".", 1, (O109/O108)^(('Summary, PPI''s'!$O109+'Summary, PPI''s'!$O108)/('Predicted PPIs'!S109+'Predicted PPIs'!S108)))*IF(P$36=".", 1, (P109/P108)^(('Summary, PPI''s'!$P109+'Summary, PPI''s'!$P108)/('Predicted PPIs'!S109+'Predicted PPIs'!S108)))</f>
        <v>#VALUE!</v>
      </c>
      <c r="AB109" s="4" t="e">
        <f>AB108*IF(E$46=".", 1, (E109/E108)^(('Summary, PPI''s'!$E109+'Summary, PPI''s'!$E108)/('Predicted PPIs'!T109+'Predicted PPIs'!T108)))*IF(F$46=".", 1, (F109/F108)^(('Summary, PPI''s'!$F109+'Summary, PPI''s'!$F108)/('Predicted PPIs'!T109+'Predicted PPIs'!T108)))*IF(G$46=".", 1, (G109/G108)^(('Summary, PPI''s'!$G109+'Summary, PPI''s'!$G108)/('Predicted PPIs'!T109+'Predicted PPIs'!T108)))*IF(H$46=".", 1, (H109/H108)^(('Summary, PPI''s'!$H109+'Summary, PPI''s'!$H108)/('Predicted PPIs'!T109+'Predicted PPIs'!T108)))*IF(I$46=".", 1, (I109/I108)^(('Summary, PPI''s'!$I109+'Summary, PPI''s'!$I108)/('Predicted PPIs'!T109+'Predicted PPIs'!T108)))*IF(J$46=".", 1, (J109/J108)^(('Summary, PPI''s'!$J109+'Summary, PPI''s'!$J108)/('Predicted PPIs'!T109+'Predicted PPIs'!T108)))*IF(K$46=".", 1, (K109/K108)^(('Summary, PPI''s'!$K109+'Summary, PPI''s'!$K108)/('Predicted PPIs'!T109+'Predicted PPIs'!T108)))*IF(L$46=".", 1, (L109/L108)^(('Summary, PPI''s'!$L109+'Summary, PPI''s'!$L108)/('Predicted PPIs'!T109+'Predicted PPIs'!T108)))*IF(M$46=".", 1, (M109/M108)^(('Summary, PPI''s'!$M109+'Summary, PPI''s'!$M108)/('Predicted PPIs'!T109+'Predicted PPIs'!T108)))*IF(B$46=".", 1, (B109/B108)^(('Summary, PPI''s'!$B109+'Summary, PPI''s'!$B108)/('Predicted PPIs'!T109+'Predicted PPIs'!T108)))*IF(C$46=".", 1, (C109/C108)^(('Summary, PPI''s'!$C109+'Summary, PPI''s'!$C108)/('Predicted PPIs'!T109+'Predicted PPIs'!T108)))*IF(D$46=".", 1, (D109/D108)^(('Summary, PPI''s'!$D109+'Summary, PPI''s'!$D108)/('Predicted PPIs'!T109+'Predicted PPIs'!T108)))*IF(N$46=".", 1, (N109/N108)^(('Summary, PPI''s'!$N109+'Summary, PPI''s'!$N108)/('Predicted PPIs'!T109+'Predicted PPIs'!T108)))*IF(O$46=".", 1, (O109/O108)^(('Summary, PPI''s'!$O109+'Summary, PPI''s'!$O108)/('Predicted PPIs'!T109+'Predicted PPIs'!T108)))*IF(P$46=".", 1, (P109/P108)^(('Summary, PPI''s'!$P109+'Summary, PPI''s'!$P108)/('Predicted PPIs'!T109+'Predicted PPIs'!T108)))</f>
        <v>#VALUE!</v>
      </c>
      <c r="AC109" s="4" t="e">
        <f>AC108*IF(E$60=".",1,(E109/E108)^(('Summary, PPI''s'!$E109+'Summary, PPI''s'!$E108)/('Predicted PPIs'!U109+'Predicted PPIs'!U108)))*IF(F$60=".",1,(F109/F108)^(('Summary, PPI''s'!$F109+'Summary, PPI''s'!$F108)/('Predicted PPIs'!U109+'Predicted PPIs'!U108)))*IF(G$60=".",1,(G109/G108)^(('Summary, PPI''s'!$G109+'Summary, PPI''s'!$G108)/('Predicted PPIs'!U109+'Predicted PPIs'!U108)))*IF(H$60=".",1,(H109/H108)^(('Summary, PPI''s'!$H109+'Summary, PPI''s'!$H108)/('Predicted PPIs'!U109+'Predicted PPIs'!U108)))*IF(I$60=".",1,(I109/I108)^(('Summary, PPI''s'!$I109+'Summary, PPI''s'!$I108)/('Predicted PPIs'!U109+'Predicted PPIs'!U108)))*IF(J$60=".",1,(J109/J108)^(('Summary, PPI''s'!$J109+'Summary, PPI''s'!$J108)/('Predicted PPIs'!U109+'Predicted PPIs'!U108)))*IF(K$60=".",1,(K109/K108)^(('Summary, PPI''s'!$K109+'Summary, PPI''s'!$K108)/('Predicted PPIs'!U109+'Predicted PPIs'!U108)))*IF(L$60=".",1,(L109/L108)^(('Summary, PPI''s'!$L109+'Summary, PPI''s'!$L108)/('Predicted PPIs'!U109+'Predicted PPIs'!U108)))*IF(M$60=".",1,(M109/M108)^(('Summary, PPI''s'!$M109+'Summary, PPI''s'!$M108)/('Predicted PPIs'!U109+'Predicted PPIs'!U108)))*IF(B$60=".",1,(B109/B108)^(('Summary, PPI''s'!$B109+'Summary, PPI''s'!$B108)/('Predicted PPIs'!U109+'Predicted PPIs'!U108)))*IF(C$60=".",1,(C109/C108)^(('Summary, PPI''s'!$C109+'Summary, PPI''s'!$C108)/('Predicted PPIs'!U109+'Predicted PPIs'!U108)))*IF(D$60=".",1,(D109/D108)^(('Summary, PPI''s'!$D109+'Summary, PPI''s'!$D108)/('Predicted PPIs'!U109+'Predicted PPIs'!U108)))*IF(N$60=".",1,(N109/N108)^(('Summary, PPI''s'!$N109+'Summary, PPI''s'!$N108)/('Predicted PPIs'!U109+'Predicted PPIs'!U108)))*IF(O$60=".",1,(O109/O108)^(('Summary, PPI''s'!$O109+'Summary, PPI''s'!$O108)/('Predicted PPIs'!U109+'Predicted PPIs'!U108)))*IF(P$60=".",1,(P109/P108)^(('Summary, PPI''s'!$P109+'Summary, PPI''s'!$P108)/('Predicted PPIs'!U109+'Predicted PPIs'!U108)))</f>
        <v>#VALUE!</v>
      </c>
      <c r="AD109" s="4" t="e">
        <f>AD108*IF(E$73=".", 1, (E109/E108)^(('Summary, PPI''s'!$E109+'Summary, PPI''s'!$E108)/('Predicted PPIs'!V109+'Predicted PPIs'!V108)))*IF(F$73=".", 1, (F109/F108)^(('Summary, PPI''s'!$F109+'Summary, PPI''s'!$F108)/('Predicted PPIs'!V109+'Predicted PPIs'!V108)))*IF(G$73=".", 1, (G109/G108)^(('Summary, PPI''s'!$G109+'Summary, PPI''s'!$G108)/('Predicted PPIs'!V109+'Predicted PPIs'!V108)))*IF(H$73=".", 1, (H109/H108)^(('Summary, PPI''s'!$H109+'Summary, PPI''s'!$H108)/('Predicted PPIs'!V109+'Predicted PPIs'!V108)))*IF(I$73=".", 1, (I109/I108)^(('Summary, PPI''s'!$I109+'Summary, PPI''s'!$I108)/('Predicted PPIs'!V109+'Predicted PPIs'!V108)))*IF(J$73=".", 1, (J109/J108)^(('Summary, PPI''s'!$J109+'Summary, PPI''s'!$J108)/('Predicted PPIs'!V109+'Predicted PPIs'!V108)))*IF(K$73=".", 1, (K109/K108)^(('Summary, PPI''s'!$K109+'Summary, PPI''s'!$K108)/('Predicted PPIs'!V109+'Predicted PPIs'!V108)))*IF(L$73=".", 1, (L109/L108)^(('Summary, PPI''s'!$L109+'Summary, PPI''s'!$L108)/('Predicted PPIs'!V109+'Predicted PPIs'!V108)))*IF(M$73=".", 1, (M109/M108)^(('Summary, PPI''s'!$M109+'Summary, PPI''s'!$M108)/('Predicted PPIs'!V109+'Predicted PPIs'!V108)))*IF(B$73=".", 1, (B109/B108)^(('Summary, PPI''s'!$B109+'Summary, PPI''s'!$B108)/('Predicted PPIs'!V109+'Predicted PPIs'!V108)))*IF(C$73=".", 1, (C109/C108)^(('Summary, PPI''s'!$C109+'Summary, PPI''s'!$C108)/('Predicted PPIs'!V109+'Predicted PPIs'!V108)))*IF(D$73=".", 1, (D109/D108)^(('Summary, PPI''s'!$D109+'Summary, PPI''s'!$D108)/('Predicted PPIs'!V109+'Predicted PPIs'!V108)))*IF(N$73=".", 1, (N109/N108)^(('Summary, PPI''s'!$N109+'Summary, PPI''s'!$N108)/('Predicted PPIs'!V109+'Predicted PPIs'!V108)))*IF(O$73=".", 1, (O109/O108)^(('Summary, PPI''s'!$O109+'Summary, PPI''s'!$O108)/('Predicted PPIs'!V109+'Predicted PPIs'!V108)))*IF(P$73=".", 1, (P109/P108)^(('Summary, PPI''s'!$P109+'Summary, PPI''s'!$P108)/('Predicted PPIs'!V109+'Predicted PPIs'!V108)))</f>
        <v>#VALUE!</v>
      </c>
      <c r="AE109" s="4" t="e">
        <f>AE108*IF(E$94=".", 1, (E109/E108)^(('Summary, PPI''s'!$E109+'Summary, PPI''s'!$E108)/('Predicted PPIs'!W109+'Predicted PPIs'!W108)))*IF(F$94=".", 1, (F109/F108)^(('Summary, PPI''s'!$F109+'Summary, PPI''s'!$F108)/('Predicted PPIs'!W109+'Predicted PPIs'!W108)))*IF(G$94=".", 1, (G109/G108)^(('Summary, PPI''s'!$G109+'Summary, PPI''s'!$G108)/('Predicted PPIs'!W109+'Predicted PPIs'!W108)))*IF(H$94=".", 1, (H109/H108)^(('Summary, PPI''s'!$H109+'Summary, PPI''s'!$H108)/('Predicted PPIs'!W109+'Predicted PPIs'!W108)))*IF(I$94=".", 1, (I109/I108)^(('Summary, PPI''s'!$I109+'Summary, PPI''s'!$I108)/('Predicted PPIs'!W109+'Predicted PPIs'!W108)))*IF(J$94=".", 1, (J109/J108)^(('Summary, PPI''s'!$J109+'Summary, PPI''s'!$J108)/('Predicted PPIs'!W109+'Predicted PPIs'!W108)))*IF(K$94=".", 1, (K109/K108)^(('Summary, PPI''s'!$K109+'Summary, PPI''s'!$K108)/('Predicted PPIs'!W109+'Predicted PPIs'!W108)))*IF(L$94=".", 1, (L109/L108)^(('Summary, PPI''s'!$L109+'Summary, PPI''s'!$L108)/('Predicted PPIs'!W109+'Predicted PPIs'!W108)))*IF(M$94=".", 1, (M109/M108)^(('Summary, PPI''s'!$M109+'Summary, PPI''s'!$M108)/('Predicted PPIs'!W109+'Predicted PPIs'!W108)))*IF(B$94=".", 1, (B109/B108)^(('Summary, PPI''s'!$B109+'Summary, PPI''s'!$B108)/('Predicted PPIs'!W109+'Predicted PPIs'!W108)))*IF(C$94=".", 1, (C109/C108)^(('Summary, PPI''s'!$C109+'Summary, PPI''s'!$C108)/('Predicted PPIs'!W109+'Predicted PPIs'!W108)))*IF(D$94=".", 1, (D109/D108)^(('Summary, PPI''s'!$D109+'Summary, PPI''s'!$D108)/('Predicted PPIs'!W109+'Predicted PPIs'!W108)))*IF(N$94=".", 1, (N109/N108)^(('Summary, PPI''s'!$N109+'Summary, PPI''s'!$N108)/('Predicted PPIs'!W109+'Predicted PPIs'!W108)))*IF(O$94=".", 1, (O109/O108)^(('Summary, PPI''s'!$O109+'Summary, PPI''s'!$O108)/('Predicted PPIs'!W109+'Predicted PPIs'!W108)))*IF(P$94=".", 1, (P109/P108)^(('Summary, PPI''s'!$P109+'Summary, PPI''s'!$P108)/('Predicted PPIs'!W109+'Predicted PPIs'!W108)))</f>
        <v>#VALUE!</v>
      </c>
      <c r="AF109" s="4">
        <f>AF108*IF(E$123=".", 1, (E109/E108)^(('Summary, PPI''s'!$E109+'Summary, PPI''s'!$E108)/('Predicted PPIs'!X109+'Predicted PPIs'!X108)))*IF(F$123=".", 1, (F109/F108)^(('Summary, PPI''s'!$F109+'Summary, PPI''s'!$F108)/('Predicted PPIs'!X109+'Predicted PPIs'!X108)))*IF(G$123=".", 1, (G109/G108)^(('Summary, PPI''s'!$G109+'Summary, PPI''s'!$G108)/('Predicted PPIs'!X109+'Predicted PPIs'!X108)))*IF(H$123=".", 1, (H109/H108)^(('Summary, PPI''s'!$H109+'Summary, PPI''s'!$H108)/('Predicted PPIs'!X109+'Predicted PPIs'!X108)))*IF(I$123=".", 1, (I109/I108)^(('Summary, PPI''s'!$I109+'Summary, PPI''s'!$I108)/('Predicted PPIs'!X109+'Predicted PPIs'!X108)))*IF(J$123=".", 1, (J109/J108)^(('Summary, PPI''s'!$J109+'Summary, PPI''s'!$J108)/('Predicted PPIs'!X109+'Predicted PPIs'!X108)))*IF(K$123=".", 1, (K109/K108)^(('Summary, PPI''s'!$K109+'Summary, PPI''s'!$K108)/('Predicted PPIs'!X109+'Predicted PPIs'!X108)))*IF(L$123=".", 1, (L109/L108)^(('Summary, PPI''s'!$L109+'Summary, PPI''s'!$L108)/('Predicted PPIs'!X109+'Predicted PPIs'!X108)))*IF(M$123=".", 1, (M109/M108)^(('Summary, PPI''s'!$M109+'Summary, PPI''s'!$M108)/('Predicted PPIs'!X109+'Predicted PPIs'!X108)))*IF(B$123=".", 1, (B109/B108)^(('Summary, PPI''s'!$B109+'Summary, PPI''s'!$B108)/('Predicted PPIs'!X109+'Predicted PPIs'!X108)))*IF(C$123=".", 1, (C109/C108)^(('Summary, PPI''s'!$C109+'Summary, PPI''s'!$C108)/('Predicted PPIs'!X109+'Predicted PPIs'!X108)))*IF(D$123=".", 1, (D109/D108)^(('Summary, PPI''s'!$D109+'Summary, PPI''s'!$D108)/('Predicted PPIs'!X109+'Predicted PPIs'!X108)))*IF(N$123=".", 1, (N109/N108)^(('Summary, PPI''s'!$N109+'Summary, PPI''s'!$N108)/('Predicted PPIs'!X109+'Predicted PPIs'!X108)))*IF(O$123=".", 1, (O109/O108)^(('Summary, PPI''s'!$O109+'Summary, PPI''s'!$O108)/('Predicted PPIs'!X109+'Predicted PPIs'!X108)))*IF(P$123=".", 1, (P109/P108)^(('Summary, PPI''s'!$P109+'Summary, PPI''s'!$P108)/('Predicted PPIs'!X109+'Predicted PPIs'!X108)))</f>
        <v>2.3264502875562543</v>
      </c>
      <c r="AH109" s="13">
        <f t="shared" si="212"/>
        <v>3.3223034331191101</v>
      </c>
      <c r="AJ109" s="4">
        <f t="shared" si="207"/>
        <v>27.041224982106879</v>
      </c>
      <c r="AK109" s="4">
        <f t="shared" si="191"/>
        <v>-0.59847052189081473</v>
      </c>
      <c r="AL109" s="4">
        <f t="shared" si="192"/>
        <v>-2.0501021730620561</v>
      </c>
      <c r="AM109" s="4">
        <f t="shared" si="193"/>
        <v>-0.31897465644268186</v>
      </c>
      <c r="AN109" s="4">
        <f t="shared" si="176"/>
        <v>36.060534117584162</v>
      </c>
      <c r="AO109" s="4">
        <v>5</v>
      </c>
      <c r="AP109" s="4">
        <f t="shared" si="177"/>
        <v>-0.46256684491978611</v>
      </c>
      <c r="AQ109" s="4">
        <f t="shared" si="178"/>
        <v>-0.87446524064171083</v>
      </c>
      <c r="AR109" s="4">
        <f t="shared" si="210"/>
        <v>-2.4480293937533763E-5</v>
      </c>
      <c r="AS109" s="4">
        <f t="shared" si="208"/>
        <v>-5.0321643494500932E-2</v>
      </c>
      <c r="AT109" s="4">
        <f t="shared" si="194"/>
        <v>4.4144772946859918</v>
      </c>
      <c r="AU109" s="4">
        <f t="shared" si="195"/>
        <v>7.2689763285024149</v>
      </c>
      <c r="AV109" s="4">
        <f t="shared" si="196"/>
        <v>5.6534371980676328</v>
      </c>
      <c r="AW109" s="4">
        <f t="shared" si="197"/>
        <v>3.1612710144927543</v>
      </c>
      <c r="AX109" s="4">
        <f t="shared" si="198"/>
        <v>4.2049203753977427</v>
      </c>
      <c r="AY109" s="4">
        <f t="shared" si="199"/>
        <v>4.9444425120772948</v>
      </c>
      <c r="AZ109" s="4">
        <f t="shared" si="200"/>
        <v>1.690095169082126</v>
      </c>
      <c r="BA109" s="4">
        <f t="shared" si="201"/>
        <v>4.578310628019322</v>
      </c>
      <c r="BB109" s="4">
        <f t="shared" si="202"/>
        <v>26.186808233867758</v>
      </c>
      <c r="BC109" s="4">
        <f t="shared" si="203"/>
        <v>4.2914835748792282</v>
      </c>
      <c r="BD109" s="5">
        <f>'[2]Ordinary Experience'!$AD$317</f>
        <v>98.3</v>
      </c>
      <c r="BE109" s="5">
        <f>'[2]Ordinary Experience'!$AC$317</f>
        <v>0.94087752622234366</v>
      </c>
      <c r="BG109" s="4">
        <f t="shared" si="172"/>
        <v>6.2259550991926771</v>
      </c>
      <c r="BI109" s="4">
        <f>BI$13*'[2]Ordinary Experience'!$D$317/'[2]Ordinary Experience'!$D$413</f>
        <v>97600182.884714827</v>
      </c>
      <c r="BJ109" s="4">
        <f>'[2]Ordinary Experience'!$E$317</f>
        <v>31.979661864143058</v>
      </c>
      <c r="BL109" s="4">
        <f t="shared" si="211"/>
        <v>23.662046018062515</v>
      </c>
      <c r="BM109" s="4">
        <f t="shared" si="153"/>
        <v>1.4924784677890379E-2</v>
      </c>
      <c r="BO109" s="4" t="str">
        <f>IF(OR('Summary, hourly ad costs'!R109=-9999,'Summary, PPI''s'!R109="."),".",(('Summary, hourly ad costs'!B109/'Summary, hourly ad costs'!R109)*100/('Summary, hourly ad costs'!B$11/'Summary, hourly ad costs'!R$11))/('Summary, PPI''s'!R109))</f>
        <v>.</v>
      </c>
      <c r="BP109" s="4" t="str">
        <f>IF(OR('Summary, hourly ad costs'!S109=-9999,'Summary, PPI''s'!S109="."),".",(('Summary, hourly ad costs'!C109/'Summary, hourly ad costs'!S109)*100/('Summary, hourly ad costs'!C$11/'Summary, hourly ad costs'!S$11))/('Summary, PPI''s'!S109))</f>
        <v>.</v>
      </c>
      <c r="BQ109" s="4" t="str">
        <f>IF(OR('Summary, hourly ad costs'!T109=-9999,'Summary, PPI''s'!T109="."),".",(('Summary, hourly ad costs'!D109/'Summary, hourly ad costs'!T109)*100/('Summary, hourly ad costs'!D$11/'Summary, hourly ad costs'!T$11))/('Summary, PPI''s'!T109))</f>
        <v>.</v>
      </c>
      <c r="BR109" s="4" t="str">
        <f>IF(OR('Summary, hourly ad costs'!U109=-9999,'Summary, PPI''s'!U109="."),".",(('Summary, hourly ad costs'!E109/'Summary, hourly ad costs'!U109)*100/('Summary, hourly ad costs'!E$11/'Summary, hourly ad costs'!U$11))/('Summary, PPI''s'!U109))</f>
        <v>.</v>
      </c>
      <c r="BS109" s="4" t="str">
        <f>IF(OR('Summary, hourly ad costs'!V109=-9999,'Summary, PPI''s'!V109="."),".",(('Summary, hourly ad costs'!F109/'Summary, hourly ad costs'!V109)*100/('Summary, hourly ad costs'!F$11/'Summary, hourly ad costs'!V$11))/('Summary, PPI''s'!V109))</f>
        <v>.</v>
      </c>
      <c r="BT109" s="4" t="str">
        <f>IF(OR('Summary, hourly ad costs'!W109=-9999,'Summary, PPI''s'!W109="."),".",(('Summary, hourly ad costs'!G109/'Summary, hourly ad costs'!W109)*100/('Summary, hourly ad costs'!G$11/'Summary, hourly ad costs'!W$11))/('Summary, PPI''s'!W109))</f>
        <v>.</v>
      </c>
      <c r="BU109" s="4" t="str">
        <f>IF(OR('Summary, hourly ad costs'!X109=-9999,'Summary, PPI''s'!X109="."),".",(('Summary, hourly ad costs'!H109/'Summary, hourly ad costs'!X109)*100/('Summary, hourly ad costs'!H$11/'Summary, hourly ad costs'!X$11))/('Summary, PPI''s'!X109))</f>
        <v>.</v>
      </c>
      <c r="BV109" s="4" t="str">
        <f>IF(OR('Summary, hourly ad costs'!Y109=-9999,'Summary, PPI''s'!Y109="."),".",(('Summary, hourly ad costs'!I109/'Summary, hourly ad costs'!Y109)*100/('Summary, hourly ad costs'!I$11/'Summary, hourly ad costs'!Y$11))/('Summary, PPI''s'!Y109))</f>
        <v>.</v>
      </c>
      <c r="BW109" s="4" t="str">
        <f>IF(OR('Summary, hourly ad costs'!Z109=-9999,'Summary, PPI''s'!Z109="."),".",(('Summary, hourly ad costs'!J109/'Summary, hourly ad costs'!Z109)*100/('Summary, hourly ad costs'!J$11/'Summary, hourly ad costs'!Z$11))/('Summary, PPI''s'!Z109))</f>
        <v>.</v>
      </c>
      <c r="BX109" s="4" t="str">
        <f>IF(OR('Summary, hourly ad costs'!AA109=-9999,'Summary, PPI''s'!AA109="."),".",(('Summary, hourly ad costs'!K109/'Summary, hourly ad costs'!AA109)*100/('Summary, hourly ad costs'!K$11/'Summary, hourly ad costs'!AA$11))/('Summary, PPI''s'!AA109))</f>
        <v>.</v>
      </c>
      <c r="BY109" s="4" t="str">
        <f>IF(OR('Summary, hourly ad costs'!AB109=-9999,'Summary, PPI''s'!AB109="."),".",(('Summary, hourly ad costs'!L109/'Summary, hourly ad costs'!AB109)*100/('Summary, hourly ad costs'!L$11/'Summary, hourly ad costs'!AB$11))/('Summary, PPI''s'!AB109))</f>
        <v>.</v>
      </c>
      <c r="BZ109" s="4" t="str">
        <f>IF(OR('Summary, hourly ad costs'!AC109=-9999,'Summary, PPI''s'!AC109="."),".",(('Summary, hourly ad costs'!M109/'Summary, hourly ad costs'!AC109)*100/('Summary, hourly ad costs'!M$11/'Summary, hourly ad costs'!AC$11))/('Summary, PPI''s'!AC109))</f>
        <v>.</v>
      </c>
      <c r="CA109" s="4" t="str">
        <f>IF(OR('Summary, hourly ad costs'!AD109=-9999,'Summary, PPI''s'!AD109="."),".",(('Summary, hourly ad costs'!N109/'Summary, hourly ad costs'!AD109)*100/('Summary, hourly ad costs'!N$11/'Summary, hourly ad costs'!AD$11))/('Summary, PPI''s'!AD109))</f>
        <v>.</v>
      </c>
      <c r="CB109" s="4" t="str">
        <f>IF(OR('Summary, hourly ad costs'!AE109=-9999,'Summary, PPI''s'!AE109="."),".",(('Summary, hourly ad costs'!O109/'Summary, hourly ad costs'!AE109)*100/('Summary, hourly ad costs'!O$11/'Summary, hourly ad costs'!AE$11))/('Summary, PPI''s'!AE109))</f>
        <v>.</v>
      </c>
      <c r="CC109" s="4" t="str">
        <f>IF(OR('Summary, hourly ad costs'!AF109=-9999,'Summary, PPI''s'!AF109="."),".",(('Summary, hourly ad costs'!P109/'Summary, hourly ad costs'!AF109)*100/('Summary, hourly ad costs'!P$11/'Summary, hourly ad costs'!AF$11))/('Summary, PPI''s'!AF109))</f>
        <v>.</v>
      </c>
      <c r="CE109" s="4">
        <f t="shared" si="183"/>
        <v>-1.7794120054044578E-2</v>
      </c>
      <c r="CF109" s="4" t="str">
        <f t="shared" si="184"/>
        <v>.</v>
      </c>
      <c r="CG109" s="4" t="str">
        <f t="shared" si="185"/>
        <v>.</v>
      </c>
      <c r="CH109" s="4">
        <f t="shared" si="145"/>
        <v>-1.9337306668855518E-3</v>
      </c>
      <c r="CI109" s="4">
        <f t="shared" si="145"/>
        <v>-4.9209251628899026E-4</v>
      </c>
      <c r="CJ109" s="4" t="str">
        <f t="shared" si="209"/>
        <v>.</v>
      </c>
      <c r="CK109" s="4">
        <f t="shared" si="149"/>
        <v>3.6930554994717888E-3</v>
      </c>
      <c r="CL109" s="4">
        <f t="shared" si="130"/>
        <v>-6.2365461995593334E-4</v>
      </c>
      <c r="CM109" s="4">
        <f t="shared" si="130"/>
        <v>1.6108053408768995E-2</v>
      </c>
      <c r="CN109" s="4">
        <f t="shared" si="204"/>
        <v>-1.5023666009710534E-2</v>
      </c>
      <c r="CO109" s="4">
        <f t="shared" si="180"/>
        <v>9.2206436037175238E-2</v>
      </c>
      <c r="CP109" s="4">
        <f t="shared" si="180"/>
        <v>0.15136992729683285</v>
      </c>
      <c r="CQ109" s="4" t="str">
        <f t="shared" ref="CQ109:CQ123" si="230">IF(OR(CA109=".",CA110="."), ".", CA109/CA110-1)</f>
        <v>.</v>
      </c>
      <c r="CR109" s="4" t="str">
        <f t="shared" ref="CR109:CR123" si="231">IF(OR(CB109=".",CB110="."), ".", CB109/CB110-1)</f>
        <v>.</v>
      </c>
      <c r="CS109" s="4" t="str">
        <f t="shared" ref="CS109:CS123" si="232">IF(OR(CC109=".",CC110="."), ".", CC109/CC110-1)</f>
        <v>.</v>
      </c>
      <c r="CU109" s="5">
        <f>IF(CU108=".", ".", IF('Summary, PPI''s'!R109=".",IF(OR('Summary, hourly ad costs'!R109=-9999,'Summary, hourly ad costs'!R109=0), ".", 'Predicted PPIs'!CU108*('Summary, hourly ad costs'!B109/'Summary, hourly ad costs'!R109)/('Summary, hourly ad costs'!B108/'Summary, hourly ad costs'!R108)/(1-CE108)), 'Summary, PPI''s'!R109))</f>
        <v>21.28886128126415</v>
      </c>
      <c r="CV109" s="5" t="str">
        <f>IF(CV108=".", ".", IF('Summary, PPI''s'!S109=".",IF(OR('Summary, hourly ad costs'!S109=-9999,'Summary, hourly ad costs'!S109=0), ".", 'Predicted PPIs'!CV108*('Summary, hourly ad costs'!C109/'Summary, hourly ad costs'!S109)/('Summary, hourly ad costs'!C108/'Summary, hourly ad costs'!S108)/(1-CF108)), 'Summary, PPI''s'!S109))</f>
        <v>.</v>
      </c>
      <c r="CW109" s="5" t="str">
        <f>IF(CW108=".", ".", IF('Summary, PPI''s'!T109=".",IF(OR('Summary, hourly ad costs'!T109=-9999,'Summary, hourly ad costs'!T109=0), ".", 'Predicted PPIs'!CW108*('Summary, hourly ad costs'!D109/'Summary, hourly ad costs'!T109)/('Summary, hourly ad costs'!D108/'Summary, hourly ad costs'!T108)/(1-CG108)), 'Summary, PPI''s'!T109))</f>
        <v>.</v>
      </c>
      <c r="CX109" s="5">
        <f>IF(CX108=".", ".", IF('Summary, PPI''s'!U109=".",IF(OR('Summary, hourly ad costs'!U109=-9999,'Summary, hourly ad costs'!U109=0), ".", 'Predicted PPIs'!CX108*('Summary, hourly ad costs'!E109/'Summary, hourly ad costs'!U109)/('Summary, hourly ad costs'!E108/'Summary, hourly ad costs'!U108)/(1-CH108)), 'Summary, PPI''s'!U109))</f>
        <v>1.0954521716286896</v>
      </c>
      <c r="CY109" s="5">
        <f>IF(CY108=".", ".", IF('Summary, PPI''s'!V109=".",IF(OR('Summary, hourly ad costs'!V109=-9999,'Summary, hourly ad costs'!V109=0), ".", 'Predicted PPIs'!CY108*('Summary, hourly ad costs'!F109/'Summary, hourly ad costs'!V109)/('Summary, hourly ad costs'!F108/'Summary, hourly ad costs'!V108)/(1-CI108)), 'Summary, PPI''s'!V109))</f>
        <v>1.0461978575537325</v>
      </c>
      <c r="CZ109" s="5" t="str">
        <f>IF(CZ108=".", ".", IF('Summary, PPI''s'!W109=".",IF(OR('Summary, hourly ad costs'!W109=-9999,'Summary, hourly ad costs'!W109=0), ".", 'Predicted PPIs'!CZ108*('Summary, hourly ad costs'!G109/'Summary, hourly ad costs'!W109)/('Summary, hourly ad costs'!G108/'Summary, hourly ad costs'!W108)/(1-CJ108)), 'Summary, PPI''s'!W109))</f>
        <v>.</v>
      </c>
      <c r="DA109" s="5">
        <f>IF(DA108=".", ".", IF('Summary, PPI''s'!X109=".",IF(OR('Summary, hourly ad costs'!X109=-9999,'Summary, hourly ad costs'!X109=0), ".", 'Predicted PPIs'!DA108*('Summary, hourly ad costs'!H109/'Summary, hourly ad costs'!X109)/('Summary, hourly ad costs'!H108/'Summary, hourly ad costs'!X108)/(1-CK108)), 'Summary, PPI''s'!X109))</f>
        <v>1.1047658995106679</v>
      </c>
      <c r="DB109" s="5" t="str">
        <f>IF(DB108=".", ".", IF('Summary, PPI''s'!Y109=".",IF(OR('Summary, hourly ad costs'!Y109=-9999,'Summary, hourly ad costs'!Y109=0), ".", 'Predicted PPIs'!DB108*('Summary, hourly ad costs'!I109/'Summary, hourly ad costs'!Y109)/('Summary, hourly ad costs'!I108/'Summary, hourly ad costs'!Y108)/(1-CL108)), 'Summary, PPI''s'!Y109))</f>
        <v>.</v>
      </c>
      <c r="DC109" s="5" t="str">
        <f>IF(DC108=".", ".", IF('Summary, PPI''s'!Z109=".",IF(OR('Summary, hourly ad costs'!Z109=-9999,'Summary, hourly ad costs'!Z109=0), ".", 'Predicted PPIs'!DC108*('Summary, hourly ad costs'!J109/'Summary, hourly ad costs'!Z109)/('Summary, hourly ad costs'!J108/'Summary, hourly ad costs'!Z108)/(1-CM108)), 'Summary, PPI''s'!Z109))</f>
        <v>.</v>
      </c>
      <c r="DD109" s="5" t="str">
        <f>IF(DD108=".", ".", IF('Summary, PPI''s'!AA109=".",IF(OR('Summary, hourly ad costs'!AA109=-9999,'Summary, hourly ad costs'!AA109=0), ".", 'Predicted PPIs'!DD108*('Summary, hourly ad costs'!K109/'Summary, hourly ad costs'!AA109)/('Summary, hourly ad costs'!K108/'Summary, hourly ad costs'!AA108)/(1-CN108)), 'Summary, PPI''s'!AA109))</f>
        <v>.</v>
      </c>
      <c r="DE109" s="5" t="str">
        <f>IF(DE108=".", ".", IF('Summary, PPI''s'!AB109=".",IF(OR('Summary, hourly ad costs'!AB109=-9999,'Summary, hourly ad costs'!AB109=0), ".", 'Predicted PPIs'!DE108*('Summary, hourly ad costs'!L109/'Summary, hourly ad costs'!AB109)/('Summary, hourly ad costs'!L108/'Summary, hourly ad costs'!AB108)/(1-CO108)), 'Summary, PPI''s'!AB109))</f>
        <v>.</v>
      </c>
      <c r="DF109" s="5" t="str">
        <f>IF(DF108=".", ".", IF('Summary, PPI''s'!AC109=".",IF(OR('Summary, hourly ad costs'!AC109=-9999,'Summary, hourly ad costs'!AC109=0), ".", 'Predicted PPIs'!DF108*('Summary, hourly ad costs'!M109/'Summary, hourly ad costs'!AC109)/('Summary, hourly ad costs'!M108/'Summary, hourly ad costs'!AC108)/(1-CP108)), 'Summary, PPI''s'!AC109))</f>
        <v>.</v>
      </c>
      <c r="DG109" s="5" t="str">
        <f>IF(DG108=".", ".", IF('Summary, PPI''s'!AD109=".",IF(OR('Summary, hourly ad costs'!AD109=-9999,'Summary, hourly ad costs'!AD109=0), ".", 'Predicted PPIs'!DG108*('Summary, hourly ad costs'!N109/'Summary, hourly ad costs'!AD109)/('Summary, hourly ad costs'!N108/'Summary, hourly ad costs'!AD108)/(1-CQ108)), 'Summary, PPI''s'!AD109))</f>
        <v>.</v>
      </c>
      <c r="DH109" s="5" t="str">
        <f>IF(DH108=".", ".", IF('Summary, PPI''s'!AE109=".",IF(OR('Summary, hourly ad costs'!AE109=-9999,'Summary, hourly ad costs'!AE109=0), ".", 'Predicted PPIs'!DH108*('Summary, hourly ad costs'!O109/'Summary, hourly ad costs'!AE109)/('Summary, hourly ad costs'!O108/'Summary, hourly ad costs'!AE108)/(1-CR108)), 'Summary, PPI''s'!AE109))</f>
        <v>.</v>
      </c>
      <c r="DI109" s="5" t="str">
        <f>IF(DI108=".", ".", IF('Summary, PPI''s'!AF109=".",IF(OR('Summary, hourly ad costs'!AF109=-9999,'Summary, hourly ad costs'!AF109=0), ".", 'Predicted PPIs'!DI108*('Summary, hourly ad costs'!P109/'Summary, hourly ad costs'!AF109)/('Summary, hourly ad costs'!P108/'Summary, hourly ad costs'!AF108)/(1-CS108)), 'Summary, PPI''s'!AF109))</f>
        <v>.</v>
      </c>
      <c r="DK109" s="4">
        <f t="shared" si="205"/>
        <v>1.2031136842105263</v>
      </c>
      <c r="DM109" s="5">
        <f t="shared" si="186"/>
        <v>-7.643147513401316E-2</v>
      </c>
      <c r="DN109" s="4">
        <f t="shared" si="187"/>
        <v>-2.2537030639400334E-2</v>
      </c>
      <c r="DO109" s="4">
        <f t="shared" si="181"/>
        <v>-2.2741428949032156E-2</v>
      </c>
      <c r="DP109" s="5">
        <f t="shared" si="188"/>
        <v>1.9072974311090674E-2</v>
      </c>
      <c r="DQ109" s="5">
        <f t="shared" si="189"/>
        <v>2.6106147058842843E-2</v>
      </c>
      <c r="DR109" s="4">
        <f t="shared" si="146"/>
        <v>-9.22265303826743E-3</v>
      </c>
      <c r="DS109" s="5">
        <f t="shared" si="190"/>
        <v>-2.9826233428694948E-2</v>
      </c>
      <c r="DT109" s="4">
        <f t="shared" si="206"/>
        <v>-1.4160690870716232E-4</v>
      </c>
      <c r="DU109" s="4">
        <f t="shared" si="171"/>
        <v>-2.519806107071559E-2</v>
      </c>
      <c r="DV109" s="4">
        <f t="shared" si="131"/>
        <v>2.9518076146204276E-4</v>
      </c>
      <c r="DW109" s="4">
        <f t="shared" si="182"/>
        <v>-6.1314465939127309E-2</v>
      </c>
      <c r="DX109" s="4">
        <f t="shared" si="182"/>
        <v>-6.2125319823139138E-2</v>
      </c>
      <c r="DY109" s="4">
        <f t="shared" si="228"/>
        <v>-1.8257177517812324E-2</v>
      </c>
      <c r="DZ109" s="4">
        <f t="shared" si="132"/>
        <v>-1.1707934927770548E-2</v>
      </c>
      <c r="EA109" s="4">
        <f t="shared" si="229"/>
        <v>-1.0793506507172639E-2</v>
      </c>
      <c r="EC109" s="1">
        <f t="shared" si="213"/>
        <v>21.28886128126415</v>
      </c>
      <c r="ED109" s="1">
        <f t="shared" si="214"/>
        <v>1.3062316880226439</v>
      </c>
      <c r="EE109" s="1">
        <f t="shared" si="215"/>
        <v>0.70943924678053216</v>
      </c>
      <c r="EF109" s="1">
        <f t="shared" si="216"/>
        <v>1.0954521716286896</v>
      </c>
      <c r="EG109" s="1">
        <f t="shared" si="217"/>
        <v>1.0461978575537325</v>
      </c>
      <c r="EH109" s="1">
        <f t="shared" si="218"/>
        <v>1.0085349853762886</v>
      </c>
      <c r="EI109" s="1">
        <f t="shared" si="219"/>
        <v>1.1047658995106679</v>
      </c>
      <c r="EJ109" s="1">
        <f t="shared" si="220"/>
        <v>1.7561967431117396</v>
      </c>
      <c r="EK109" s="1">
        <f t="shared" si="221"/>
        <v>2.3147636200446731</v>
      </c>
      <c r="EL109" s="1">
        <f t="shared" si="222"/>
        <v>0.99815264893104005</v>
      </c>
      <c r="EM109" s="1">
        <f t="shared" si="223"/>
        <v>6.9383753993092462E-2</v>
      </c>
      <c r="EN109" s="1">
        <f t="shared" si="224"/>
        <v>0.46089981107302053</v>
      </c>
      <c r="EO109" s="1">
        <f t="shared" si="225"/>
        <v>0.52293204707067975</v>
      </c>
      <c r="EP109" s="1">
        <f t="shared" si="226"/>
        <v>0.94674007110206282</v>
      </c>
      <c r="EQ109" s="1">
        <f t="shared" si="227"/>
        <v>0.76051313192756997</v>
      </c>
      <c r="ES109" s="1">
        <f>IF(EF$26=".", 0, 'Summary, PPI''s'!E109)+IF(EG$26=".", 0, 'Summary, PPI''s'!F109)+IF(EH$26=".", 0, 'Summary, PPI''s'!G109)+IF(EI$26=".", 0, 'Summary, PPI''s'!H109)+IF(EJ$26=".", 0, 'Summary, PPI''s'!I109)+IF(EK$26=".", 0, 'Summary, PPI''s'!J109)+IF(EL$26=".", 0, 'Summary, PPI''s'!K109)+IF(EM$26=".", 0, 'Summary, PPI''s'!L109)+IF(EN$26=".", 0, 'Summary, PPI''s'!M109)+IF(EC$26=".", 0, 'Summary, PPI''s'!B109)+IF(ED$26=".", 0, 'Summary, PPI''s'!C109)+IF(EE$26=".", 0, 'Summary, PPI''s'!D109)+IF(EO$26=".", 0, 'Summary, PPI''s'!N109)+IF(EP$26=".", 0, 'Summary, PPI''s'!O109)+IF(EQ$26=".", 0, 'Summary, PPI''s'!P109)</f>
        <v>809241.68079214916</v>
      </c>
      <c r="ET109" s="1">
        <f>'Summary, hourly ad costs'!E109+'Summary, hourly ad costs'!F109+'Summary, hourly ad costs'!H109+'Summary, hourly ad costs'!I109+'Summary, hourly ad costs'!J109+'Summary, hourly ad costs'!K109+'Summary, hourly ad costs'!L109+'Summary, hourly ad costs'!M109+'Summary, hourly ad costs'!B109</f>
        <v>492648.12196860043</v>
      </c>
      <c r="EV109" s="13">
        <f>EV108*IF(EF$26=".", 1, (EF109/EF108)^(('Summary, PPI''s'!$E109+'Summary, PPI''s'!$E108)/('Predicted PPIs'!ES109+'Predicted PPIs'!ES108)))*IF(EG$26=".", 1, (EG109/EG108)^(('Summary, PPI''s'!$F109+'Summary, PPI''s'!$F108)/('Predicted PPIs'!ES109+'Predicted PPIs'!ES108)))*IF(EH$26=".", 1, (EH109/EH108)^(('Summary, PPI''s'!$G109+'Summary, PPI''s'!$G108)/('Predicted PPIs'!ES109+'Predicted PPIs'!ES108)))*IF(EI$26=".", 1, (EI109/EI108)^(('Summary, PPI''s'!$H109+'Summary, PPI''s'!$H108)/('Predicted PPIs'!ES109+'Predicted PPIs'!ES108)))*IF(EJ$26=".", 1, (EJ109/EJ108)^(('Summary, PPI''s'!$I109+'Summary, PPI''s'!$I108)/('Predicted PPIs'!ES109+'Predicted PPIs'!ES108)))*IF(EK$26=".", 1, (EK109/EK108)^(('Summary, PPI''s'!$J109+'Summary, PPI''s'!$J108)/('Predicted PPIs'!ES109+'Predicted PPIs'!ES108)))*IF(EL$26=".", 1, (EL109/EL108)^(('Summary, PPI''s'!$K109+'Summary, PPI''s'!$K108)/('Predicted PPIs'!ES109+'Predicted PPIs'!ES108)))*IF(EM$26=".", 1, (EM109/EM108)^(('Summary, PPI''s'!$L109+'Summary, PPI''s'!$L108)/('Predicted PPIs'!ES109+'Predicted PPIs'!ES108)))*IF(EN$26=".", 1, (EN109/EN108)^(('Summary, PPI''s'!$M109+'Summary, PPI''s'!$M108)/('Predicted PPIs'!ES109+'Predicted PPIs'!ES108)))*IF(EC$26=".", 1, (EC109/EC108)^(('Summary, PPI''s'!$B109+'Summary, PPI''s'!$B108)/('Predicted PPIs'!ES109+'Predicted PPIs'!ES108)))*IF(ED$26=".", 1, (ED109/ED108)^(('Summary, PPI''s'!$C109+'Summary, PPI''s'!$C108)/('Predicted PPIs'!ES109+'Predicted PPIs'!ES108)))*IF(EE$26=".", 1, (EE109/EE108)^(('Summary, PPI''s'!$D109+'Summary, PPI''s'!$D108)/('Predicted PPIs'!ES109+'Predicted PPIs'!ES108)))*IF(EO$26=".", 1, (EO109/EO108)^(('Summary, PPI''s'!$N109+'Summary, PPI''s'!$N108)/('Predicted PPIs'!ES109+'Predicted PPIs'!ES108)))*IF(EP$26=".", 1, (EP109/EP108)^(('Summary, PPI''s'!$O109+'Summary, PPI''s'!$O108)/('Predicted PPIs'!ES109+'Predicted PPIs'!ES108)))*IF(EQ$26=".", 1, (EQ109/EQ108)^(('Summary, PPI''s'!$P109+'Summary, PPI''s'!$P108)/('Predicted PPIs'!ES109+'Predicted PPIs'!ES108)))</f>
        <v>1.7380490958761103</v>
      </c>
      <c r="EW109" s="13">
        <f>EW108*IF(EF$26=".", 1, (EF109/EF108)^(('Summary, PPI''s'!$E109+'Summary, PPI''s'!$E108)/('Predicted PPIs'!ET109+'Predicted PPIs'!ET108)))*IF(EG$26=".", 1, (EG109/EG108)^(('Summary, PPI''s'!$F109+'Summary, PPI''s'!$F108)/('Predicted PPIs'!ET109+'Predicted PPIs'!ET108)))*IF(EH$26=".", 1, (EH109/EH108)^(('Summary, PPI''s'!$G109+'Summary, PPI''s'!$G108)/('Predicted PPIs'!ET109+'Predicted PPIs'!ET108)))*IF(EK$26=".", 1, (EK109/EK108)^(('Summary, PPI''s'!$J109+'Summary, PPI''s'!$J108)/('Predicted PPIs'!ET109+'Predicted PPIs'!ET108)))*IF(EL$26=".", 1, (EL109/EL108)^(('Summary, PPI''s'!$K109+'Summary, PPI''s'!$K108)/('Predicted PPIs'!ET109+'Predicted PPIs'!ET108)))*IF(EM$26=".", 1, (EM109/EM108)^(('Summary, PPI''s'!$L109+'Summary, PPI''s'!$L108)/('Predicted PPIs'!ET109+'Predicted PPIs'!ET108)))*IF(EN$26=".", 1, (EN109/EN108)^(('Summary, PPI''s'!$M109+'Summary, PPI''s'!$M108)/('Predicted PPIs'!ET109+'Predicted PPIs'!ET108)))*IF(EC$26=".", 1, (EC109/EC108)^(('Summary, PPI''s'!$B109+'Summary, PPI''s'!$B108)/('Predicted PPIs'!ET109+'Predicted PPIs'!ET108)))</f>
        <v>3.5020252005393973</v>
      </c>
      <c r="EY109" s="2"/>
    </row>
    <row r="110" spans="1:155" x14ac:dyDescent="0.3">
      <c r="A110" s="4">
        <v>1913</v>
      </c>
      <c r="B110" s="10">
        <f>IF(B109=".", ".", IF('Summary, PPI''s'!R110=".",IF(OR('Summary, hourly ad costs'!R110=-9999,'Summary, hourly ad costs'!R110=0), ".", 'Predicted PPIs'!B109*('Summary, hourly ad costs'!B110/'Summary, hourly ad costs'!R110)/('Summary, hourly ad costs'!B109/'Summary, hourly ad costs'!R109)), 'Summary, PPI''s'!R110))</f>
        <v>54.137088037281693</v>
      </c>
      <c r="C110" s="10" t="str">
        <f>IF(C109=".", ".", IF('Summary, PPI''s'!S110=".",IF(OR('Summary, hourly ad costs'!S110=-9999,'Summary, hourly ad costs'!S110=0), ".", 'Predicted PPIs'!C109*('Summary, hourly ad costs'!C110/'Summary, hourly ad costs'!S110)/('Summary, hourly ad costs'!C109/'Summary, hourly ad costs'!S109)), 'Summary, PPI''s'!S110))</f>
        <v>.</v>
      </c>
      <c r="D110" s="10" t="str">
        <f>IF(D109=".", ".", IF('Summary, PPI''s'!T110=".",IF(OR('Summary, hourly ad costs'!T110=-9999,'Summary, hourly ad costs'!T110=0), ".", 'Predicted PPIs'!D109*('Summary, hourly ad costs'!D110/'Summary, hourly ad costs'!T110)/('Summary, hourly ad costs'!D109/'Summary, hourly ad costs'!T109)), 'Summary, PPI''s'!T110))</f>
        <v>.</v>
      </c>
      <c r="E110" s="10">
        <f>IF(E109=".", ".", IF('Summary, PPI''s'!U110=".",IF(OR('Summary, hourly ad costs'!U110=-9999,'Summary, hourly ad costs'!U110=0), ".", 'Predicted PPIs'!E109*('Summary, hourly ad costs'!E110/'Summary, hourly ad costs'!U110)/('Summary, hourly ad costs'!E109/'Summary, hourly ad costs'!U109)), 'Summary, PPI''s'!U110))</f>
        <v>1.0994721677919215</v>
      </c>
      <c r="F110" s="10">
        <f>IF(F109=".", ".", IF('Summary, PPI''s'!V110=".",IF(OR('Summary, hourly ad costs'!V110=-9999,'Summary, hourly ad costs'!V110=0), ".", 'Predicted PPIs'!F109*('Summary, hourly ad costs'!F110/'Summary, hourly ad costs'!V110)/('Summary, hourly ad costs'!F109/'Summary, hourly ad costs'!V109)), 'Summary, PPI''s'!V110))</f>
        <v>0.94106403401358174</v>
      </c>
      <c r="G110" s="10" t="str">
        <f>IF(G109=".", ".", IF('Summary, PPI''s'!W110=".",IF(OR('Summary, hourly ad costs'!W110=-9999,'Summary, hourly ad costs'!W110=0), ".", 'Predicted PPIs'!G109*('Summary, hourly ad costs'!G110/'Summary, hourly ad costs'!W110)/('Summary, hourly ad costs'!G109/'Summary, hourly ad costs'!W109)), 'Summary, PPI''s'!W110))</f>
        <v>.</v>
      </c>
      <c r="H110" s="10">
        <f>IF(H109=".", ".", IF('Summary, PPI''s'!X110=".",IF(OR('Summary, hourly ad costs'!X110=-9999,'Summary, hourly ad costs'!X110=0), ".", 'Predicted PPIs'!H109*('Summary, hourly ad costs'!H110/'Summary, hourly ad costs'!X110)/('Summary, hourly ad costs'!H109/'Summary, hourly ad costs'!X109)), 'Summary, PPI''s'!X110))</f>
        <v>0.94800229158924831</v>
      </c>
      <c r="I110" s="10" t="str">
        <f>IF(I109=".", ".", IF('Summary, PPI''s'!Y110=".",IF(OR('Summary, hourly ad costs'!Y110=-9999,'Summary, hourly ad costs'!Y110=0), ".", 'Predicted PPIs'!I109*('Summary, hourly ad costs'!I110/'Summary, hourly ad costs'!Y110)/('Summary, hourly ad costs'!I109/'Summary, hourly ad costs'!Y109)), 'Summary, PPI''s'!Y110))</f>
        <v>.</v>
      </c>
      <c r="J110" s="10" t="str">
        <f>IF(J109=".", ".", IF('Summary, PPI''s'!Z110=".",IF(OR('Summary, hourly ad costs'!Z110=-9999,'Summary, hourly ad costs'!Z110=0), ".", 'Predicted PPIs'!J109*('Summary, hourly ad costs'!J110/'Summary, hourly ad costs'!Z110)/('Summary, hourly ad costs'!J109/'Summary, hourly ad costs'!Z109)), 'Summary, PPI''s'!Z110))</f>
        <v>.</v>
      </c>
      <c r="K110" s="10" t="str">
        <f>IF(K109=".", ".", IF('Summary, PPI''s'!AA110=".",IF(OR('Summary, hourly ad costs'!AA110=-9999,'Summary, hourly ad costs'!AA110=0), ".", 'Predicted PPIs'!K109*('Summary, hourly ad costs'!K110/'Summary, hourly ad costs'!AA110)/('Summary, hourly ad costs'!K109/'Summary, hourly ad costs'!AA109)), 'Summary, PPI''s'!AA110))</f>
        <v>.</v>
      </c>
      <c r="L110" s="10" t="str">
        <f>IF(L109=".", ".", IF('Summary, PPI''s'!AB110=".",IF(OR('Summary, hourly ad costs'!AB110=-9999,'Summary, hourly ad costs'!AB110=0), ".", 'Predicted PPIs'!L109*('Summary, hourly ad costs'!L110/'Summary, hourly ad costs'!AB110)/('Summary, hourly ad costs'!L109/'Summary, hourly ad costs'!AB109)), 'Summary, PPI''s'!AB110))</f>
        <v>.</v>
      </c>
      <c r="M110" s="10" t="str">
        <f>IF(M109=".", ".", IF('Summary, PPI''s'!AC110=".",IF(OR('Summary, hourly ad costs'!AC110=-9999,'Summary, hourly ad costs'!AC110=0), ".", 'Predicted PPIs'!M109*('Summary, hourly ad costs'!M110/'Summary, hourly ad costs'!AC110)/('Summary, hourly ad costs'!M109/'Summary, hourly ad costs'!AC109)), 'Summary, PPI''s'!AC110))</f>
        <v>.</v>
      </c>
      <c r="N110" s="10" t="str">
        <f>IF(N109=".", ".", IF('Summary, PPI''s'!AD110=".",IF(OR('Summary, hourly ad costs'!AD110=-9999,'Summary, hourly ad costs'!AD110=0), ".", 'Predicted PPIs'!N109*('Summary, hourly ad costs'!N110/'Summary, hourly ad costs'!AD110)/('Summary, hourly ad costs'!N109/'Summary, hourly ad costs'!AD109)), 'Summary, PPI''s'!AD110))</f>
        <v>.</v>
      </c>
      <c r="O110" s="10" t="str">
        <f>IF(O109=".", ".", IF('Summary, PPI''s'!AE110=".",IF(OR('Summary, hourly ad costs'!AE110=-9999,'Summary, hourly ad costs'!AE110=0), ".", 'Predicted PPIs'!O109*('Summary, hourly ad costs'!O110/'Summary, hourly ad costs'!AE110)/('Summary, hourly ad costs'!O109/'Summary, hourly ad costs'!AE109)), 'Summary, PPI''s'!AE110))</f>
        <v>.</v>
      </c>
      <c r="P110" s="10" t="str">
        <f>IF(P109=".", ".", IF('Summary, PPI''s'!AF110=".",IF(OR('Summary, hourly ad costs'!AF110=-9999,'Summary, hourly ad costs'!AF110=0), ".", 'Predicted PPIs'!P109*('Summary, hourly ad costs'!P110/'Summary, hourly ad costs'!AF110)/('Summary, hourly ad costs'!P109/'Summary, hourly ad costs'!AF109)), 'Summary, PPI''s'!AF110))</f>
        <v>.</v>
      </c>
      <c r="R110" s="1">
        <f>IF(E$26=".", 0, 'Summary, PPI''s'!E110)+IF(F$26=".", 0, 'Summary, PPI''s'!F110)+IF(G$26=".", 0, 'Summary, PPI''s'!G110)+IF(H$26=".", 0, 'Summary, PPI''s'!H110)+IF(I$26=".", 0, 'Summary, PPI''s'!I110)+IF(J$26=".", 0, 'Summary, PPI''s'!J110)+IF(K$26=".", 0, 'Summary, PPI''s'!K110)+IF(L$26=".", 0, 'Summary, PPI''s'!L110)+IF(M$26=".", 0, 'Summary, PPI''s'!M110)+IF(B$26=".", 0, 'Summary, PPI''s'!B110)+IF(C$26=".", 0, 'Summary, PPI''s'!C110)+IF(D$26=".", 0, 'Summary, PPI''s'!D110)+IF(N$26=".", 0, 'Summary, PPI''s'!N110)+IF(O$26=".", 0, 'Summary, PPI''s'!O110)+IF(P$26=".", 0, 'Summary, PPI''s'!P110)</f>
        <v>771970.7829992295</v>
      </c>
      <c r="S110" s="1">
        <f>IF(E$36=".", 0, 'Summary, PPI''s'!E110)+IF(F$36=".", 0, 'Summary, PPI''s'!F110)+IF(G$36=".", 0, 'Summary, PPI''s'!G110)+IF(H$36=".", 0, 'Summary, PPI''s'!H110)+IF(I$36=".", 0, 'Summary, PPI''s'!I110)+IF(J$36=".", 0, 'Summary, PPI''s'!J110)+IF(K$36=".", 0, 'Summary, PPI''s'!K110)+IF(L$36=".", 0, 'Summary, PPI''s'!L110)+IF(M$36=".", 0, 'Summary, PPI''s'!M110)+IF(B$36=".", 0, 'Summary, PPI''s'!B110)+IF(C$36=".", 0, 'Summary, PPI''s'!C110)+IF(D$36=".", 0, 'Summary, PPI''s'!D110)+IF(N$36=".", 0, 'Summary, PPI''s'!N110)+IF(O$36=".", 0, 'Summary, PPI''s'!O110)+IF(P$36=".", 0, 'Summary, PPI''s'!P110)</f>
        <v>771970.7829992295</v>
      </c>
      <c r="T110" s="1">
        <f>IF(E$46=".", 0, 'Summary, PPI''s'!E110)+IF(F$46=".", 0, 'Summary, PPI''s'!F110)+IF(G$46=".", 0, 'Summary, PPI''s'!G110)+IF(H$46=".", 0, 'Summary, PPI''s'!H110)+IF(I$46=".", 0, 'Summary, PPI''s'!I110)+IF(J$46=".", 0, 'Summary, PPI''s'!J110)+IF(K$46=".", 0, 'Summary, PPI''s'!K110)+IF(L$46=".", 0, 'Summary, PPI''s'!L110)+IF(M$46=".", 0, 'Summary, PPI''s'!M110)+IF(B$46=".", 0, 'Summary, PPI''s'!B110)+IF(C$46=".", 0, 'Summary, PPI''s'!C110)+IF(D$46=".", 0, 'Summary, PPI''s'!D110)+IF(N$46=".", 0, 'Summary, PPI''s'!N110)+IF(O$46=".", 0, 'Summary, PPI''s'!O110)+IF(P$46=".", 0, 'Summary, PPI''s'!P110)</f>
        <v>693448.6649188411</v>
      </c>
      <c r="U110" s="1">
        <f>IF(E$60=".", 0, 'Summary, PPI''s'!E110)+IF(F$60=".", 0, 'Summary, PPI''s'!F110)+IF(G$60=".", 0, 'Summary, PPI''s'!G110)+IF(H$60=".", 0, 'Summary, PPI''s'!H110)+IF(I$60=".", 0, 'Summary, PPI''s'!I110)+IF(J$60=".", 0, 'Summary, PPI''s'!J110)+IF(K$60=".", 0, 'Summary, PPI''s'!K110)+IF(L$60=".", 0, 'Summary, PPI''s'!L110)+IF(M$60=".", 0, 'Summary, PPI''s'!M110)+IF(B$60=".", 0, 'Summary, PPI''s'!B110)+IF(C$60=".", 0, 'Summary, PPI''s'!C110)+IF(D$60=".", 0, 'Summary, PPI''s'!D110)+IF(N$60=".", 0, 'Summary, PPI''s'!N110)+IF(O$60=".", 0, 'Summary, PPI''s'!O110)+IF(P$60=".", 0, 'Summary, PPI''s'!P110)</f>
        <v>658798.06174886925</v>
      </c>
      <c r="V110" s="1">
        <f>IF(E$73=".", 0, 'Summary, PPI''s'!E110)+IF(F$73=".", 0, 'Summary, PPI''s'!F110)+IF(G$73=".", 0, 'Summary, PPI''s'!G110)+IF(H$73=".", 0, 'Summary, PPI''s'!H110)+IF(I$73=".", 0, 'Summary, PPI''s'!I110)+IF(J$73=".", 0, 'Summary, PPI''s'!J110)+IF(K$73=".", 0, 'Summary, PPI''s'!K110)+IF(L$73=".", 0, 'Summary, PPI''s'!L110)+IF(M$73=".", 0, 'Summary, PPI''s'!M110)+IF(B$73=".", 0, 'Summary, PPI''s'!B110)+IF(C$73=".", 0, 'Summary, PPI''s'!C110)+IF(D$73=".", 0, 'Summary, PPI''s'!D110)+IF(N$73=".", 0, 'Summary, PPI''s'!N110)+IF(O$73=".", 0, 'Summary, PPI''s'!O110)+IF(P$73=".", 0, 'Summary, PPI''s'!P110)</f>
        <v>469612.31646217668</v>
      </c>
      <c r="W110" s="1">
        <f>IF(E$94=".",0,'Summary, PPI''s'!E110)+IF(F$94=".",0,'Summary, PPI''s'!F110)+IF(G$94=".",0,'Summary, PPI''s'!G110)+IF(H$94=".",0,'Summary, PPI''s'!H110)+IF(I$94=".",0,'Summary, PPI''s'!I110)+IF(J$94=".",0,'Summary, PPI''s'!J110)+IF(K$94=".",0,'Summary, PPI''s'!K110)+IF(L$94=".",0,'Summary, PPI''s'!L110)+IF(M$94=".",0,'Summary, PPI''s'!M110)+IF(B$94=".",0,'Summary, PPI''s'!B110)+IF(C$94=".",0,'Summary, PPI''s'!C110)+IF(D$94=".",0,'Summary, PPI''s'!D110)+IF(N$94=".",0,'Summary, PPI''s'!N110)+IF(O$94=".",0,'Summary, PPI''s'!O110)+IF(P$94=".",0,'Summary, PPI''s'!P110)</f>
        <v>469612.31646217668</v>
      </c>
      <c r="X110" s="1">
        <f>IF(E$123=".", 0, 'Summary, PPI''s'!E110)+IF(F$123=".", 0, 'Summary, PPI''s'!F110)+IF(G$123=".", 0, 'Summary, PPI''s'!G110)+IF(H$123=".", 0, 'Summary, PPI''s'!H110)+IF(I$123=".", 0, 'Summary, PPI''s'!I110)+IF(J$123=".", 0, 'Summary, PPI''s'!J110)+IF(K$123=".", 0, 'Summary, PPI''s'!K110)+IF(L$123=".", 0, 'Summary, PPI''s'!L110)+IF(M$123=".", 0, 'Summary, PPI''s'!M110)+IF(B$123=".", 0, 'Summary, PPI''s'!B110)+IF(C$123=".", 0, 'Summary, PPI''s'!C110)+IF(D$123=".", 0, 'Summary, PPI''s'!D110)+IF(N$123=".", 0, 'Summary, PPI''s'!N110)+IF(O$123=".", 0, 'Summary, PPI''s'!O110)+IF(P$123=".", 0, 'Summary, PPI''s'!P110)</f>
        <v>469612.31646217668</v>
      </c>
      <c r="Z110" s="4" t="e">
        <f>Z109*IF(E$26=".", 1, (E110/E109)^(('Summary, PPI''s'!$E110+'Summary, PPI''s'!$E109)/('Predicted PPIs'!R110+'Predicted PPIs'!R109)))*IF(F$26=".", 1, (F110/F109)^(('Summary, PPI''s'!$F110+'Summary, PPI''s'!$F109)/('Predicted PPIs'!R110+'Predicted PPIs'!R109)))*IF(G$26=".", 1, (G110/G109)^(('Summary, PPI''s'!$G110+'Summary, PPI''s'!$G109)/('Predicted PPIs'!R110+'Predicted PPIs'!R109)))*IF(H$26=".", 1, (H110/H109)^(('Summary, PPI''s'!$H110+'Summary, PPI''s'!$H109)/('Predicted PPIs'!R110+'Predicted PPIs'!R109)))*IF(I$26=".", 1, (I110/I109)^(('Summary, PPI''s'!$I110+'Summary, PPI''s'!$I109)/('Predicted PPIs'!R110+'Predicted PPIs'!R109)))*IF(J$26=".", 1, (J110/J109)^(('Summary, PPI''s'!$J110+'Summary, PPI''s'!$J109)/('Predicted PPIs'!R110+'Predicted PPIs'!R109)))*IF(K$26=".", 1, (K110/K109)^(('Summary, PPI''s'!$K110+'Summary, PPI''s'!$K109)/('Predicted PPIs'!R110+'Predicted PPIs'!R109)))*IF(L$26=".", 1, (L110/L109)^(('Summary, PPI''s'!$L110+'Summary, PPI''s'!$L109)/('Predicted PPIs'!R110+'Predicted PPIs'!R109)))*IF(M$26=".", 1, (M110/M109)^(('Summary, PPI''s'!$M110+'Summary, PPI''s'!$M109)/('Predicted PPIs'!R110+'Predicted PPIs'!R109)))*IF(B$26=".", 1, (B110/B109)^(('Summary, PPI''s'!$B110+'Summary, PPI''s'!$B109)/('Predicted PPIs'!R110+'Predicted PPIs'!R109)))*IF(C$26=".", 1, (C110/C109)^(('Summary, PPI''s'!$C110+'Summary, PPI''s'!$C109)/('Predicted PPIs'!R110+'Predicted PPIs'!R109)))*IF(D$26=".", 1, (D110/D109)^(('Summary, PPI''s'!$D110+'Summary, PPI''s'!$D109)/('Predicted PPIs'!R110+'Predicted PPIs'!R109)))*IF(N$26=".", 1, (N110/N109)^(('Summary, PPI''s'!$N110+'Summary, PPI''s'!$N109)/('Predicted PPIs'!R110+'Predicted PPIs'!R109)))*IF(O$26=".", 1, (O110/O109)^(('Summary, PPI''s'!$O110+'Summary, PPI''s'!$O109)/('Predicted PPIs'!R110+'Predicted PPIs'!R109)))*IF(P$26=".", 1, (P110/P109)^(('Summary, PPI''s'!$P110+'Summary, PPI''s'!$P109)/('Predicted PPIs'!R110+'Predicted PPIs'!R109)))</f>
        <v>#VALUE!</v>
      </c>
      <c r="AA110" s="4" t="e">
        <f>AA109*IF(E$36=".", 1, (E110/E109)^(('Summary, PPI''s'!$E110+'Summary, PPI''s'!$E109)/('Predicted PPIs'!S110+'Predicted PPIs'!S109)))*IF(F$36=".", 1, (F110/F109)^(('Summary, PPI''s'!$F110+'Summary, PPI''s'!$F109)/('Predicted PPIs'!S110+'Predicted PPIs'!S109)))*IF(G$36=".", 1, (G110/G109)^(('Summary, PPI''s'!$G110+'Summary, PPI''s'!$G109)/('Predicted PPIs'!S110+'Predicted PPIs'!S109)))*IF(H$36=".", 1, (H110/H109)^(('Summary, PPI''s'!$H110+'Summary, PPI''s'!$H109)/('Predicted PPIs'!S110+'Predicted PPIs'!S109)))*IF(I$36=".", 1, (I110/I109)^(('Summary, PPI''s'!$I110+'Summary, PPI''s'!$I109)/('Predicted PPIs'!S110+'Predicted PPIs'!S109)))*IF(J$36=".", 1, (J110/J109)^(('Summary, PPI''s'!$J110+'Summary, PPI''s'!$J109)/('Predicted PPIs'!S110+'Predicted PPIs'!S109)))*IF(K$36=".", 1, (K110/K109)^(('Summary, PPI''s'!$K110+'Summary, PPI''s'!$K109)/('Predicted PPIs'!S110+'Predicted PPIs'!S109)))*IF(L$36=".", 1, (L110/L109)^(('Summary, PPI''s'!$L110+'Summary, PPI''s'!$L109)/('Predicted PPIs'!S110+'Predicted PPIs'!S109)))*IF(M$36=".", 1, (M110/M109)^(('Summary, PPI''s'!$M110+'Summary, PPI''s'!$M109)/('Predicted PPIs'!S110+'Predicted PPIs'!S109)))*IF(B$36=".", 1, (B110/B109)^(('Summary, PPI''s'!$B110+'Summary, PPI''s'!$B109)/('Predicted PPIs'!S110+'Predicted PPIs'!S109)))*IF(C$36=".", 1, (C110/C109)^(('Summary, PPI''s'!$C110+'Summary, PPI''s'!$C109)/('Predicted PPIs'!S110+'Predicted PPIs'!S109)))*IF(D$36=".", 1, (D110/D109)^(('Summary, PPI''s'!$D110+'Summary, PPI''s'!$D109)/('Predicted PPIs'!S110+'Predicted PPIs'!S109)))*IF(N$36=".", 1, (N110/N109)^(('Summary, PPI''s'!$N110+'Summary, PPI''s'!$N109)/('Predicted PPIs'!S110+'Predicted PPIs'!S109)))*IF(O$36=".", 1, (O110/O109)^(('Summary, PPI''s'!$O110+'Summary, PPI''s'!$O109)/('Predicted PPIs'!S110+'Predicted PPIs'!S109)))*IF(P$36=".", 1, (P110/P109)^(('Summary, PPI''s'!$P110+'Summary, PPI''s'!$P109)/('Predicted PPIs'!S110+'Predicted PPIs'!S109)))</f>
        <v>#VALUE!</v>
      </c>
      <c r="AB110" s="4" t="e">
        <f>AB109*IF(E$46=".", 1, (E110/E109)^(('Summary, PPI''s'!$E110+'Summary, PPI''s'!$E109)/('Predicted PPIs'!T110+'Predicted PPIs'!T109)))*IF(F$46=".", 1, (F110/F109)^(('Summary, PPI''s'!$F110+'Summary, PPI''s'!$F109)/('Predicted PPIs'!T110+'Predicted PPIs'!T109)))*IF(G$46=".", 1, (G110/G109)^(('Summary, PPI''s'!$G110+'Summary, PPI''s'!$G109)/('Predicted PPIs'!T110+'Predicted PPIs'!T109)))*IF(H$46=".", 1, (H110/H109)^(('Summary, PPI''s'!$H110+'Summary, PPI''s'!$H109)/('Predicted PPIs'!T110+'Predicted PPIs'!T109)))*IF(I$46=".", 1, (I110/I109)^(('Summary, PPI''s'!$I110+'Summary, PPI''s'!$I109)/('Predicted PPIs'!T110+'Predicted PPIs'!T109)))*IF(J$46=".", 1, (J110/J109)^(('Summary, PPI''s'!$J110+'Summary, PPI''s'!$J109)/('Predicted PPIs'!T110+'Predicted PPIs'!T109)))*IF(K$46=".", 1, (K110/K109)^(('Summary, PPI''s'!$K110+'Summary, PPI''s'!$K109)/('Predicted PPIs'!T110+'Predicted PPIs'!T109)))*IF(L$46=".", 1, (L110/L109)^(('Summary, PPI''s'!$L110+'Summary, PPI''s'!$L109)/('Predicted PPIs'!T110+'Predicted PPIs'!T109)))*IF(M$46=".", 1, (M110/M109)^(('Summary, PPI''s'!$M110+'Summary, PPI''s'!$M109)/('Predicted PPIs'!T110+'Predicted PPIs'!T109)))*IF(B$46=".", 1, (B110/B109)^(('Summary, PPI''s'!$B110+'Summary, PPI''s'!$B109)/('Predicted PPIs'!T110+'Predicted PPIs'!T109)))*IF(C$46=".", 1, (C110/C109)^(('Summary, PPI''s'!$C110+'Summary, PPI''s'!$C109)/('Predicted PPIs'!T110+'Predicted PPIs'!T109)))*IF(D$46=".", 1, (D110/D109)^(('Summary, PPI''s'!$D110+'Summary, PPI''s'!$D109)/('Predicted PPIs'!T110+'Predicted PPIs'!T109)))*IF(N$46=".", 1, (N110/N109)^(('Summary, PPI''s'!$N110+'Summary, PPI''s'!$N109)/('Predicted PPIs'!T110+'Predicted PPIs'!T109)))*IF(O$46=".", 1, (O110/O109)^(('Summary, PPI''s'!$O110+'Summary, PPI''s'!$O109)/('Predicted PPIs'!T110+'Predicted PPIs'!T109)))*IF(P$46=".", 1, (P110/P109)^(('Summary, PPI''s'!$P110+'Summary, PPI''s'!$P109)/('Predicted PPIs'!T110+'Predicted PPIs'!T109)))</f>
        <v>#VALUE!</v>
      </c>
      <c r="AC110" s="4" t="e">
        <f>AC109*IF(E$60=".",1,(E110/E109)^(('Summary, PPI''s'!$E110+'Summary, PPI''s'!$E109)/('Predicted PPIs'!U110+'Predicted PPIs'!U109)))*IF(F$60=".",1,(F110/F109)^(('Summary, PPI''s'!$F110+'Summary, PPI''s'!$F109)/('Predicted PPIs'!U110+'Predicted PPIs'!U109)))*IF(G$60=".",1,(G110/G109)^(('Summary, PPI''s'!$G110+'Summary, PPI''s'!$G109)/('Predicted PPIs'!U110+'Predicted PPIs'!U109)))*IF(H$60=".",1,(H110/H109)^(('Summary, PPI''s'!$H110+'Summary, PPI''s'!$H109)/('Predicted PPIs'!U110+'Predicted PPIs'!U109)))*IF(I$60=".",1,(I110/I109)^(('Summary, PPI''s'!$I110+'Summary, PPI''s'!$I109)/('Predicted PPIs'!U110+'Predicted PPIs'!U109)))*IF(J$60=".",1,(J110/J109)^(('Summary, PPI''s'!$J110+'Summary, PPI''s'!$J109)/('Predicted PPIs'!U110+'Predicted PPIs'!U109)))*IF(K$60=".",1,(K110/K109)^(('Summary, PPI''s'!$K110+'Summary, PPI''s'!$K109)/('Predicted PPIs'!U110+'Predicted PPIs'!U109)))*IF(L$60=".",1,(L110/L109)^(('Summary, PPI''s'!$L110+'Summary, PPI''s'!$L109)/('Predicted PPIs'!U110+'Predicted PPIs'!U109)))*IF(M$60=".",1,(M110/M109)^(('Summary, PPI''s'!$M110+'Summary, PPI''s'!$M109)/('Predicted PPIs'!U110+'Predicted PPIs'!U109)))*IF(B$60=".",1,(B110/B109)^(('Summary, PPI''s'!$B110+'Summary, PPI''s'!$B109)/('Predicted PPIs'!U110+'Predicted PPIs'!U109)))*IF(C$60=".",1,(C110/C109)^(('Summary, PPI''s'!$C110+'Summary, PPI''s'!$C109)/('Predicted PPIs'!U110+'Predicted PPIs'!U109)))*IF(D$60=".",1,(D110/D109)^(('Summary, PPI''s'!$D110+'Summary, PPI''s'!$D109)/('Predicted PPIs'!U110+'Predicted PPIs'!U109)))*IF(N$60=".",1,(N110/N109)^(('Summary, PPI''s'!$N110+'Summary, PPI''s'!$N109)/('Predicted PPIs'!U110+'Predicted PPIs'!U109)))*IF(O$60=".",1,(O110/O109)^(('Summary, PPI''s'!$O110+'Summary, PPI''s'!$O109)/('Predicted PPIs'!U110+'Predicted PPIs'!U109)))*IF(P$60=".",1,(P110/P109)^(('Summary, PPI''s'!$P110+'Summary, PPI''s'!$P109)/('Predicted PPIs'!U110+'Predicted PPIs'!U109)))</f>
        <v>#VALUE!</v>
      </c>
      <c r="AD110" s="4" t="e">
        <f>AD109*IF(E$73=".", 1, (E110/E109)^(('Summary, PPI''s'!$E110+'Summary, PPI''s'!$E109)/('Predicted PPIs'!V110+'Predicted PPIs'!V109)))*IF(F$73=".", 1, (F110/F109)^(('Summary, PPI''s'!$F110+'Summary, PPI''s'!$F109)/('Predicted PPIs'!V110+'Predicted PPIs'!V109)))*IF(G$73=".", 1, (G110/G109)^(('Summary, PPI''s'!$G110+'Summary, PPI''s'!$G109)/('Predicted PPIs'!V110+'Predicted PPIs'!V109)))*IF(H$73=".", 1, (H110/H109)^(('Summary, PPI''s'!$H110+'Summary, PPI''s'!$H109)/('Predicted PPIs'!V110+'Predicted PPIs'!V109)))*IF(I$73=".", 1, (I110/I109)^(('Summary, PPI''s'!$I110+'Summary, PPI''s'!$I109)/('Predicted PPIs'!V110+'Predicted PPIs'!V109)))*IF(J$73=".", 1, (J110/J109)^(('Summary, PPI''s'!$J110+'Summary, PPI''s'!$J109)/('Predicted PPIs'!V110+'Predicted PPIs'!V109)))*IF(K$73=".", 1, (K110/K109)^(('Summary, PPI''s'!$K110+'Summary, PPI''s'!$K109)/('Predicted PPIs'!V110+'Predicted PPIs'!V109)))*IF(L$73=".", 1, (L110/L109)^(('Summary, PPI''s'!$L110+'Summary, PPI''s'!$L109)/('Predicted PPIs'!V110+'Predicted PPIs'!V109)))*IF(M$73=".", 1, (M110/M109)^(('Summary, PPI''s'!$M110+'Summary, PPI''s'!$M109)/('Predicted PPIs'!V110+'Predicted PPIs'!V109)))*IF(B$73=".", 1, (B110/B109)^(('Summary, PPI''s'!$B110+'Summary, PPI''s'!$B109)/('Predicted PPIs'!V110+'Predicted PPIs'!V109)))*IF(C$73=".", 1, (C110/C109)^(('Summary, PPI''s'!$C110+'Summary, PPI''s'!$C109)/('Predicted PPIs'!V110+'Predicted PPIs'!V109)))*IF(D$73=".", 1, (D110/D109)^(('Summary, PPI''s'!$D110+'Summary, PPI''s'!$D109)/('Predicted PPIs'!V110+'Predicted PPIs'!V109)))*IF(N$73=".", 1, (N110/N109)^(('Summary, PPI''s'!$N110+'Summary, PPI''s'!$N109)/('Predicted PPIs'!V110+'Predicted PPIs'!V109)))*IF(O$73=".", 1, (O110/O109)^(('Summary, PPI''s'!$O110+'Summary, PPI''s'!$O109)/('Predicted PPIs'!V110+'Predicted PPIs'!V109)))*IF(P$73=".", 1, (P110/P109)^(('Summary, PPI''s'!$P110+'Summary, PPI''s'!$P109)/('Predicted PPIs'!V110+'Predicted PPIs'!V109)))</f>
        <v>#VALUE!</v>
      </c>
      <c r="AE110" s="4" t="e">
        <f>AE109*IF(E$94=".", 1, (E110/E109)^(('Summary, PPI''s'!$E110+'Summary, PPI''s'!$E109)/('Predicted PPIs'!W110+'Predicted PPIs'!W109)))*IF(F$94=".", 1, (F110/F109)^(('Summary, PPI''s'!$F110+'Summary, PPI''s'!$F109)/('Predicted PPIs'!W110+'Predicted PPIs'!W109)))*IF(G$94=".", 1, (G110/G109)^(('Summary, PPI''s'!$G110+'Summary, PPI''s'!$G109)/('Predicted PPIs'!W110+'Predicted PPIs'!W109)))*IF(H$94=".", 1, (H110/H109)^(('Summary, PPI''s'!$H110+'Summary, PPI''s'!$H109)/('Predicted PPIs'!W110+'Predicted PPIs'!W109)))*IF(I$94=".", 1, (I110/I109)^(('Summary, PPI''s'!$I110+'Summary, PPI''s'!$I109)/('Predicted PPIs'!W110+'Predicted PPIs'!W109)))*IF(J$94=".", 1, (J110/J109)^(('Summary, PPI''s'!$J110+'Summary, PPI''s'!$J109)/('Predicted PPIs'!W110+'Predicted PPIs'!W109)))*IF(K$94=".", 1, (K110/K109)^(('Summary, PPI''s'!$K110+'Summary, PPI''s'!$K109)/('Predicted PPIs'!W110+'Predicted PPIs'!W109)))*IF(L$94=".", 1, (L110/L109)^(('Summary, PPI''s'!$L110+'Summary, PPI''s'!$L109)/('Predicted PPIs'!W110+'Predicted PPIs'!W109)))*IF(M$94=".", 1, (M110/M109)^(('Summary, PPI''s'!$M110+'Summary, PPI''s'!$M109)/('Predicted PPIs'!W110+'Predicted PPIs'!W109)))*IF(B$94=".", 1, (B110/B109)^(('Summary, PPI''s'!$B110+'Summary, PPI''s'!$B109)/('Predicted PPIs'!W110+'Predicted PPIs'!W109)))*IF(C$94=".", 1, (C110/C109)^(('Summary, PPI''s'!$C110+'Summary, PPI''s'!$C109)/('Predicted PPIs'!W110+'Predicted PPIs'!W109)))*IF(D$94=".", 1, (D110/D109)^(('Summary, PPI''s'!$D110+'Summary, PPI''s'!$D109)/('Predicted PPIs'!W110+'Predicted PPIs'!W109)))*IF(N$94=".", 1, (N110/N109)^(('Summary, PPI''s'!$N110+'Summary, PPI''s'!$N109)/('Predicted PPIs'!W110+'Predicted PPIs'!W109)))*IF(O$94=".", 1, (O110/O109)^(('Summary, PPI''s'!$O110+'Summary, PPI''s'!$O109)/('Predicted PPIs'!W110+'Predicted PPIs'!W109)))*IF(P$94=".", 1, (P110/P109)^(('Summary, PPI''s'!$P110+'Summary, PPI''s'!$P109)/('Predicted PPIs'!W110+'Predicted PPIs'!W109)))</f>
        <v>#VALUE!</v>
      </c>
      <c r="AF110" s="4">
        <f>AF109*IF(E$123=".", 1, (E110/E109)^(('Summary, PPI''s'!$E110+'Summary, PPI''s'!$E109)/('Predicted PPIs'!X110+'Predicted PPIs'!X109)))*IF(F$123=".", 1, (F110/F109)^(('Summary, PPI''s'!$F110+'Summary, PPI''s'!$F109)/('Predicted PPIs'!X110+'Predicted PPIs'!X109)))*IF(G$123=".", 1, (G110/G109)^(('Summary, PPI''s'!$G110+'Summary, PPI''s'!$G109)/('Predicted PPIs'!X110+'Predicted PPIs'!X109)))*IF(H$123=".", 1, (H110/H109)^(('Summary, PPI''s'!$H110+'Summary, PPI''s'!$H109)/('Predicted PPIs'!X110+'Predicted PPIs'!X109)))*IF(I$123=".", 1, (I110/I109)^(('Summary, PPI''s'!$I110+'Summary, PPI''s'!$I109)/('Predicted PPIs'!X110+'Predicted PPIs'!X109)))*IF(J$123=".", 1, (J110/J109)^(('Summary, PPI''s'!$J110+'Summary, PPI''s'!$J109)/('Predicted PPIs'!X110+'Predicted PPIs'!X109)))*IF(K$123=".", 1, (K110/K109)^(('Summary, PPI''s'!$K110+'Summary, PPI''s'!$K109)/('Predicted PPIs'!X110+'Predicted PPIs'!X109)))*IF(L$123=".", 1, (L110/L109)^(('Summary, PPI''s'!$L110+'Summary, PPI''s'!$L109)/('Predicted PPIs'!X110+'Predicted PPIs'!X109)))*IF(M$123=".", 1, (M110/M109)^(('Summary, PPI''s'!$M110+'Summary, PPI''s'!$M109)/('Predicted PPIs'!X110+'Predicted PPIs'!X109)))*IF(B$123=".", 1, (B110/B109)^(('Summary, PPI''s'!$B110+'Summary, PPI''s'!$B109)/('Predicted PPIs'!X110+'Predicted PPIs'!X109)))*IF(C$123=".", 1, (C110/C109)^(('Summary, PPI''s'!$C110+'Summary, PPI''s'!$C109)/('Predicted PPIs'!X110+'Predicted PPIs'!X109)))*IF(D$123=".", 1, (D110/D109)^(('Summary, PPI''s'!$D110+'Summary, PPI''s'!$D109)/('Predicted PPIs'!X110+'Predicted PPIs'!X109)))*IF(N$123=".", 1, (N110/N109)^(('Summary, PPI''s'!$N110+'Summary, PPI''s'!$N109)/('Predicted PPIs'!X110+'Predicted PPIs'!X109)))*IF(O$123=".", 1, (O110/O109)^(('Summary, PPI''s'!$O110+'Summary, PPI''s'!$O109)/('Predicted PPIs'!X110+'Predicted PPIs'!X109)))*IF(P$123=".", 1, (P110/P109)^(('Summary, PPI''s'!$P110+'Summary, PPI''s'!$P109)/('Predicted PPIs'!X110+'Predicted PPIs'!X109)))</f>
        <v>2.3721342671943941</v>
      </c>
      <c r="AH110" s="13">
        <f t="shared" si="212"/>
        <v>3.3875427563929223</v>
      </c>
      <c r="AJ110" s="4">
        <f t="shared" si="207"/>
        <v>26.404896015633408</v>
      </c>
      <c r="AK110" s="4">
        <f t="shared" si="191"/>
        <v>-0.58438742732273907</v>
      </c>
      <c r="AL110" s="4">
        <f t="shared" si="192"/>
        <v>-2.0018595583945324</v>
      </c>
      <c r="AM110" s="4">
        <f t="shared" si="193"/>
        <v>-0.31146860545572735</v>
      </c>
      <c r="AN110" s="4">
        <f t="shared" si="176"/>
        <v>35.211964482861354</v>
      </c>
      <c r="AO110" s="4">
        <v>5.9</v>
      </c>
      <c r="AP110" s="4">
        <f t="shared" si="177"/>
        <v>-0.54582887700534766</v>
      </c>
      <c r="AQ110" s="4">
        <f t="shared" si="178"/>
        <v>-1.0318689839572188</v>
      </c>
      <c r="AR110" s="4">
        <f t="shared" si="210"/>
        <v>-2.888674684628984E-5</v>
      </c>
      <c r="AS110" s="4">
        <f t="shared" si="208"/>
        <v>-5.9379539323511102E-2</v>
      </c>
      <c r="AT110" s="4">
        <f t="shared" si="194"/>
        <v>4.4908212560386485</v>
      </c>
      <c r="AU110" s="4">
        <f t="shared" si="195"/>
        <v>7.3946859903381643</v>
      </c>
      <c r="AV110" s="4">
        <f t="shared" si="196"/>
        <v>5.7512077294685993</v>
      </c>
      <c r="AW110" s="4">
        <f t="shared" si="197"/>
        <v>3.2159420289855079</v>
      </c>
      <c r="AX110" s="4">
        <f t="shared" si="198"/>
        <v>4.2776402598145911</v>
      </c>
      <c r="AY110" s="4">
        <f t="shared" si="199"/>
        <v>5.0299516908212567</v>
      </c>
      <c r="AZ110" s="4">
        <f t="shared" si="200"/>
        <v>1.7193236714975848</v>
      </c>
      <c r="BA110" s="4">
        <f t="shared" si="201"/>
        <v>4.6574879227053128</v>
      </c>
      <c r="BB110" s="4">
        <f t="shared" si="202"/>
        <v>26.639682842184904</v>
      </c>
      <c r="BC110" s="4">
        <f t="shared" si="203"/>
        <v>4.3657004830917883</v>
      </c>
      <c r="BD110" s="5">
        <f>'[2]Ordinary Experience'!$AD$316</f>
        <v>100</v>
      </c>
      <c r="BE110" s="5">
        <f>'[2]Ordinary Experience'!$AC$316</f>
        <v>0.93204299545969249</v>
      </c>
      <c r="BG110" s="4">
        <f t="shared" si="172"/>
        <v>6.0468246424736174</v>
      </c>
      <c r="BI110" s="4">
        <f>BI$13*'[2]Ordinary Experience'!$D$316/'[2]Ordinary Experience'!$D$413</f>
        <v>96249334.318234414</v>
      </c>
      <c r="BJ110" s="4">
        <f>'[2]Ordinary Experience'!$E$316</f>
        <v>32.009704038484607</v>
      </c>
      <c r="BL110" s="4">
        <f t="shared" si="211"/>
        <v>23.314088270661564</v>
      </c>
      <c r="BM110" s="4">
        <f t="shared" si="153"/>
        <v>-4.662211521202364E-2</v>
      </c>
      <c r="BO110" s="4" t="str">
        <f>IF(OR('Summary, hourly ad costs'!R110=-9999,'Summary, PPI''s'!R110="."),".",(('Summary, hourly ad costs'!B110/'Summary, hourly ad costs'!R110)*100/('Summary, hourly ad costs'!B$11/'Summary, hourly ad costs'!R$11))/('Summary, PPI''s'!R110))</f>
        <v>.</v>
      </c>
      <c r="BP110" s="4" t="str">
        <f>IF(OR('Summary, hourly ad costs'!S110=-9999,'Summary, PPI''s'!S110="."),".",(('Summary, hourly ad costs'!C110/'Summary, hourly ad costs'!S110)*100/('Summary, hourly ad costs'!C$11/'Summary, hourly ad costs'!S$11))/('Summary, PPI''s'!S110))</f>
        <v>.</v>
      </c>
      <c r="BQ110" s="4" t="str">
        <f>IF(OR('Summary, hourly ad costs'!T110=-9999,'Summary, PPI''s'!T110="."),".",(('Summary, hourly ad costs'!D110/'Summary, hourly ad costs'!T110)*100/('Summary, hourly ad costs'!D$11/'Summary, hourly ad costs'!T$11))/('Summary, PPI''s'!T110))</f>
        <v>.</v>
      </c>
      <c r="BR110" s="4" t="str">
        <f>IF(OR('Summary, hourly ad costs'!U110=-9999,'Summary, PPI''s'!U110="."),".",(('Summary, hourly ad costs'!E110/'Summary, hourly ad costs'!U110)*100/('Summary, hourly ad costs'!E$11/'Summary, hourly ad costs'!U$11))/('Summary, PPI''s'!U110))</f>
        <v>.</v>
      </c>
      <c r="BS110" s="4" t="str">
        <f>IF(OR('Summary, hourly ad costs'!V110=-9999,'Summary, PPI''s'!V110="."),".",(('Summary, hourly ad costs'!F110/'Summary, hourly ad costs'!V110)*100/('Summary, hourly ad costs'!F$11/'Summary, hourly ad costs'!V$11))/('Summary, PPI''s'!V110))</f>
        <v>.</v>
      </c>
      <c r="BT110" s="4" t="str">
        <f>IF(OR('Summary, hourly ad costs'!W110=-9999,'Summary, PPI''s'!W110="."),".",(('Summary, hourly ad costs'!G110/'Summary, hourly ad costs'!W110)*100/('Summary, hourly ad costs'!G$11/'Summary, hourly ad costs'!W$11))/('Summary, PPI''s'!W110))</f>
        <v>.</v>
      </c>
      <c r="BU110" s="4" t="str">
        <f>IF(OR('Summary, hourly ad costs'!X110=-9999,'Summary, PPI''s'!X110="."),".",(('Summary, hourly ad costs'!H110/'Summary, hourly ad costs'!X110)*100/('Summary, hourly ad costs'!H$11/'Summary, hourly ad costs'!X$11))/('Summary, PPI''s'!X110))</f>
        <v>.</v>
      </c>
      <c r="BV110" s="4" t="str">
        <f>IF(OR('Summary, hourly ad costs'!Y110=-9999,'Summary, PPI''s'!Y110="."),".",(('Summary, hourly ad costs'!I110/'Summary, hourly ad costs'!Y110)*100/('Summary, hourly ad costs'!I$11/'Summary, hourly ad costs'!Y$11))/('Summary, PPI''s'!Y110))</f>
        <v>.</v>
      </c>
      <c r="BW110" s="4" t="str">
        <f>IF(OR('Summary, hourly ad costs'!Z110=-9999,'Summary, PPI''s'!Z110="."),".",(('Summary, hourly ad costs'!J110/'Summary, hourly ad costs'!Z110)*100/('Summary, hourly ad costs'!J$11/'Summary, hourly ad costs'!Z$11))/('Summary, PPI''s'!Z110))</f>
        <v>.</v>
      </c>
      <c r="BX110" s="4" t="str">
        <f>IF(OR('Summary, hourly ad costs'!AA110=-9999,'Summary, PPI''s'!AA110="."),".",(('Summary, hourly ad costs'!K110/'Summary, hourly ad costs'!AA110)*100/('Summary, hourly ad costs'!K$11/'Summary, hourly ad costs'!AA$11))/('Summary, PPI''s'!AA110))</f>
        <v>.</v>
      </c>
      <c r="BY110" s="4" t="str">
        <f>IF(OR('Summary, hourly ad costs'!AB110=-9999,'Summary, PPI''s'!AB110="."),".",(('Summary, hourly ad costs'!L110/'Summary, hourly ad costs'!AB110)*100/('Summary, hourly ad costs'!L$11/'Summary, hourly ad costs'!AB$11))/('Summary, PPI''s'!AB110))</f>
        <v>.</v>
      </c>
      <c r="BZ110" s="4" t="str">
        <f>IF(OR('Summary, hourly ad costs'!AC110=-9999,'Summary, PPI''s'!AC110="."),".",(('Summary, hourly ad costs'!M110/'Summary, hourly ad costs'!AC110)*100/('Summary, hourly ad costs'!M$11/'Summary, hourly ad costs'!AC$11))/('Summary, PPI''s'!AC110))</f>
        <v>.</v>
      </c>
      <c r="CA110" s="4" t="str">
        <f>IF(OR('Summary, hourly ad costs'!AD110=-9999,'Summary, PPI''s'!AD110="."),".",(('Summary, hourly ad costs'!N110/'Summary, hourly ad costs'!AD110)*100/('Summary, hourly ad costs'!N$11/'Summary, hourly ad costs'!AD$11))/('Summary, PPI''s'!AD110))</f>
        <v>.</v>
      </c>
      <c r="CB110" s="4" t="str">
        <f>IF(OR('Summary, hourly ad costs'!AE110=-9999,'Summary, PPI''s'!AE110="."),".",(('Summary, hourly ad costs'!O110/'Summary, hourly ad costs'!AE110)*100/('Summary, hourly ad costs'!O$11/'Summary, hourly ad costs'!AE$11))/('Summary, PPI''s'!AE110))</f>
        <v>.</v>
      </c>
      <c r="CC110" s="4" t="str">
        <f>IF(OR('Summary, hourly ad costs'!AF110=-9999,'Summary, PPI''s'!AF110="."),".",(('Summary, hourly ad costs'!P110/'Summary, hourly ad costs'!AF110)*100/('Summary, hourly ad costs'!P$11/'Summary, hourly ad costs'!AF$11))/('Summary, PPI''s'!AF110))</f>
        <v>.</v>
      </c>
      <c r="CE110" s="4">
        <f t="shared" si="183"/>
        <v>-7.5997609506577801E-2</v>
      </c>
      <c r="CF110" s="4" t="str">
        <f t="shared" si="184"/>
        <v>.</v>
      </c>
      <c r="CG110" s="4" t="str">
        <f t="shared" si="185"/>
        <v>.</v>
      </c>
      <c r="CH110" s="4">
        <f t="shared" si="145"/>
        <v>-8.1465643925570763E-2</v>
      </c>
      <c r="CI110" s="4">
        <f t="shared" si="145"/>
        <v>-9.0818563240151431E-2</v>
      </c>
      <c r="CJ110" s="4" t="str">
        <f t="shared" si="209"/>
        <v>.</v>
      </c>
      <c r="CK110" s="4">
        <f t="shared" si="149"/>
        <v>7.1775298758856871E-3</v>
      </c>
      <c r="CL110" s="4">
        <f t="shared" si="130"/>
        <v>-6.3764757139944381E-2</v>
      </c>
      <c r="CM110" s="4">
        <f t="shared" si="130"/>
        <v>-9.2444179234569719E-3</v>
      </c>
      <c r="CN110" s="4">
        <f t="shared" si="204"/>
        <v>-7.8716884818176347E-2</v>
      </c>
      <c r="CO110" s="4">
        <f t="shared" si="180"/>
        <v>-0.31216653713562803</v>
      </c>
      <c r="CP110" s="4">
        <f t="shared" si="180"/>
        <v>0.31434512915632329</v>
      </c>
      <c r="CQ110" s="4" t="str">
        <f t="shared" si="230"/>
        <v>.</v>
      </c>
      <c r="CR110" s="4" t="str">
        <f t="shared" si="231"/>
        <v>.</v>
      </c>
      <c r="CS110" s="4" t="str">
        <f t="shared" si="232"/>
        <v>.</v>
      </c>
      <c r="CU110" s="5">
        <f>IF(CU109=".", ".", IF('Summary, PPI''s'!R110=".",IF(OR('Summary, hourly ad costs'!R110=-9999,'Summary, hourly ad costs'!R110=0), ".", 'Predicted PPIs'!CU109*('Summary, hourly ad costs'!B110/'Summary, hourly ad costs'!R110)/('Summary, hourly ad costs'!B109/'Summary, hourly ad costs'!R109)/(1-CE109)), 'Summary, PPI''s'!R110))</f>
        <v>22.834218904582691</v>
      </c>
      <c r="CV110" s="5" t="str">
        <f>IF(CV109=".", ".", IF('Summary, PPI''s'!S110=".",IF(OR('Summary, hourly ad costs'!S110=-9999,'Summary, hourly ad costs'!S110=0), ".", 'Predicted PPIs'!CV109*('Summary, hourly ad costs'!C110/'Summary, hourly ad costs'!S110)/('Summary, hourly ad costs'!C109/'Summary, hourly ad costs'!S109)/(1-CF109)), 'Summary, PPI''s'!S110))</f>
        <v>.</v>
      </c>
      <c r="CW110" s="5" t="str">
        <f>IF(CW109=".", ".", IF('Summary, PPI''s'!T110=".",IF(OR('Summary, hourly ad costs'!T110=-9999,'Summary, hourly ad costs'!T110=0), ".", 'Predicted PPIs'!CW109*('Summary, hourly ad costs'!D110/'Summary, hourly ad costs'!T110)/('Summary, hourly ad costs'!D109/'Summary, hourly ad costs'!T109)/(1-CG109)), 'Summary, PPI''s'!T110))</f>
        <v>.</v>
      </c>
      <c r="CX110" s="5">
        <f>IF(CX109=".", ".", IF('Summary, PPI''s'!U110=".",IF(OR('Summary, hourly ad costs'!U110=-9999,'Summary, hourly ad costs'!U110=0), ".", 'Predicted PPIs'!CX109*('Summary, hourly ad costs'!E110/'Summary, hourly ad costs'!U110)/('Summary, hourly ad costs'!E109/'Summary, hourly ad costs'!U109)/(1-CH109)), 'Summary, PPI''s'!U110))</f>
        <v>1.0648562596593649</v>
      </c>
      <c r="CY110" s="5">
        <f>IF(CY109=".", ".", IF('Summary, PPI''s'!V110=".",IF(OR('Summary, hourly ad costs'!V110=-9999,'Summary, hourly ad costs'!V110=0), ".", 'Predicted PPIs'!CY109*('Summary, hourly ad costs'!F110/'Summary, hourly ad costs'!V110)/('Summary, hourly ad costs'!F109/'Summary, hourly ad costs'!V109)/(1-CI109)), 'Summary, PPI''s'!V110))</f>
        <v>1.0100070119088402</v>
      </c>
      <c r="CZ110" s="5" t="str">
        <f>IF(CZ109=".", ".", IF('Summary, PPI''s'!W110=".",IF(OR('Summary, hourly ad costs'!W110=-9999,'Summary, hourly ad costs'!W110=0), ".", 'Predicted PPIs'!CZ109*('Summary, hourly ad costs'!G110/'Summary, hourly ad costs'!W110)/('Summary, hourly ad costs'!G109/'Summary, hourly ad costs'!W109)/(1-CJ109)), 'Summary, PPI''s'!W110))</f>
        <v>.</v>
      </c>
      <c r="DA110" s="5">
        <f>IF(DA109=".", ".", IF('Summary, PPI''s'!X110=".",IF(OR('Summary, hourly ad costs'!X110=-9999,'Summary, hourly ad costs'!X110=0), ".", 'Predicted PPIs'!DA109*('Summary, hourly ad costs'!H110/'Summary, hourly ad costs'!X110)/('Summary, hourly ad costs'!H109/'Summary, hourly ad costs'!X109)/(1-CK109)), 'Summary, PPI''s'!X110))</f>
        <v>1.1280376242810244</v>
      </c>
      <c r="DB110" s="5" t="str">
        <f>IF(DB109=".", ".", IF('Summary, PPI''s'!Y110=".",IF(OR('Summary, hourly ad costs'!Y110=-9999,'Summary, hourly ad costs'!Y110=0), ".", 'Predicted PPIs'!DB109*('Summary, hourly ad costs'!I110/'Summary, hourly ad costs'!Y110)/('Summary, hourly ad costs'!I109/'Summary, hourly ad costs'!Y109)/(1-CL109)), 'Summary, PPI''s'!Y110))</f>
        <v>.</v>
      </c>
      <c r="DC110" s="5" t="str">
        <f>IF(DC109=".", ".", IF('Summary, PPI''s'!Z110=".",IF(OR('Summary, hourly ad costs'!Z110=-9999,'Summary, hourly ad costs'!Z110=0), ".", 'Predicted PPIs'!DC109*('Summary, hourly ad costs'!J110/'Summary, hourly ad costs'!Z110)/('Summary, hourly ad costs'!J109/'Summary, hourly ad costs'!Z109)/(1-CM109)), 'Summary, PPI''s'!Z110))</f>
        <v>.</v>
      </c>
      <c r="DD110" s="5" t="str">
        <f>IF(DD109=".", ".", IF('Summary, PPI''s'!AA110=".",IF(OR('Summary, hourly ad costs'!AA110=-9999,'Summary, hourly ad costs'!AA110=0), ".", 'Predicted PPIs'!DD109*('Summary, hourly ad costs'!K110/'Summary, hourly ad costs'!AA110)/('Summary, hourly ad costs'!K109/'Summary, hourly ad costs'!AA109)/(1-CN109)), 'Summary, PPI''s'!AA110))</f>
        <v>.</v>
      </c>
      <c r="DE110" s="5" t="str">
        <f>IF(DE109=".", ".", IF('Summary, PPI''s'!AB110=".",IF(OR('Summary, hourly ad costs'!AB110=-9999,'Summary, hourly ad costs'!AB110=0), ".", 'Predicted PPIs'!DE109*('Summary, hourly ad costs'!L110/'Summary, hourly ad costs'!AB110)/('Summary, hourly ad costs'!L109/'Summary, hourly ad costs'!AB109)/(1-CO109)), 'Summary, PPI''s'!AB110))</f>
        <v>.</v>
      </c>
      <c r="DF110" s="5" t="str">
        <f>IF(DF109=".", ".", IF('Summary, PPI''s'!AC110=".",IF(OR('Summary, hourly ad costs'!AC110=-9999,'Summary, hourly ad costs'!AC110=0), ".", 'Predicted PPIs'!DF109*('Summary, hourly ad costs'!M110/'Summary, hourly ad costs'!AC110)/('Summary, hourly ad costs'!M109/'Summary, hourly ad costs'!AC109)/(1-CP109)), 'Summary, PPI''s'!AC110))</f>
        <v>.</v>
      </c>
      <c r="DG110" s="5" t="str">
        <f>IF(DG109=".", ".", IF('Summary, PPI''s'!AD110=".",IF(OR('Summary, hourly ad costs'!AD110=-9999,'Summary, hourly ad costs'!AD110=0), ".", 'Predicted PPIs'!DG109*('Summary, hourly ad costs'!N110/'Summary, hourly ad costs'!AD110)/('Summary, hourly ad costs'!N109/'Summary, hourly ad costs'!AD109)/(1-CQ109)), 'Summary, PPI''s'!AD110))</f>
        <v>.</v>
      </c>
      <c r="DH110" s="5" t="str">
        <f>IF(DH109=".", ".", IF('Summary, PPI''s'!AE110=".",IF(OR('Summary, hourly ad costs'!AE110=-9999,'Summary, hourly ad costs'!AE110=0), ".", 'Predicted PPIs'!DH109*('Summary, hourly ad costs'!O110/'Summary, hourly ad costs'!AE110)/('Summary, hourly ad costs'!O109/'Summary, hourly ad costs'!AE109)/(1-CR109)), 'Summary, PPI''s'!AE110))</f>
        <v>.</v>
      </c>
      <c r="DI110" s="5" t="str">
        <f>IF(DI109=".", ".", IF('Summary, PPI''s'!AF110=".",IF(OR('Summary, hourly ad costs'!AF110=-9999,'Summary, hourly ad costs'!AF110=0), ".", 'Predicted PPIs'!DI109*('Summary, hourly ad costs'!P110/'Summary, hourly ad costs'!AF110)/('Summary, hourly ad costs'!P109/'Summary, hourly ad costs'!AF109)/(1-CS109)), 'Summary, PPI''s'!AF110))</f>
        <v>.</v>
      </c>
      <c r="DK110" s="4">
        <f t="shared" si="205"/>
        <v>1.1918168421052631</v>
      </c>
      <c r="DM110" s="5">
        <f t="shared" si="186"/>
        <v>3.6041898351999446E-2</v>
      </c>
      <c r="DN110" s="4">
        <f t="shared" si="187"/>
        <v>-1.0611525066192333E-2</v>
      </c>
      <c r="DO110" s="4">
        <f t="shared" ref="DO110:DO122" si="233">_xlfn.FORECAST.LINEAR($BM110,DO$4:DO$45,$BM$4:$BM$45)</f>
        <v>-2.3165825849646472E-2</v>
      </c>
      <c r="DP110" s="5">
        <f t="shared" si="188"/>
        <v>4.5511332966558848E-2</v>
      </c>
      <c r="DQ110" s="5">
        <f t="shared" si="189"/>
        <v>6.3361371292168789E-2</v>
      </c>
      <c r="DR110" s="4">
        <f t="shared" si="146"/>
        <v>-1.7741349269597511E-2</v>
      </c>
      <c r="DS110" s="5">
        <f t="shared" si="190"/>
        <v>3.9285989686313361E-2</v>
      </c>
      <c r="DT110" s="4">
        <f t="shared" si="206"/>
        <v>4.4321774161575289E-2</v>
      </c>
      <c r="DU110" s="4">
        <f t="shared" si="171"/>
        <v>-4.9960374825118753E-2</v>
      </c>
      <c r="DV110" s="4">
        <f t="shared" si="131"/>
        <v>2.5914785031725365E-3</v>
      </c>
      <c r="DW110" s="4">
        <f t="shared" si="182"/>
        <v>0.11723584891852198</v>
      </c>
      <c r="DX110" s="4">
        <f t="shared" si="182"/>
        <v>-0.39338572046413506</v>
      </c>
      <c r="DY110" s="4">
        <f t="shared" si="228"/>
        <v>-2.6172070852345027E-2</v>
      </c>
      <c r="DZ110" s="4">
        <f t="shared" si="132"/>
        <v>-2.0338989065513825E-2</v>
      </c>
      <c r="EA110" s="4">
        <f t="shared" si="229"/>
        <v>-1.5738594269398252E-2</v>
      </c>
      <c r="EC110" s="1">
        <f t="shared" si="213"/>
        <v>22.834218904582691</v>
      </c>
      <c r="ED110" s="1">
        <f t="shared" si="214"/>
        <v>1.2654471798845304</v>
      </c>
      <c r="EE110" s="1">
        <f t="shared" si="215"/>
        <v>0.68715104865213561</v>
      </c>
      <c r="EF110" s="1">
        <f t="shared" si="216"/>
        <v>1.0648562596593649</v>
      </c>
      <c r="EG110" s="1">
        <f t="shared" si="217"/>
        <v>1.0100070119088402</v>
      </c>
      <c r="EH110" s="1">
        <f t="shared" si="218"/>
        <v>0.9899353431072313</v>
      </c>
      <c r="EI110" s="1">
        <f t="shared" si="219"/>
        <v>1.1280376242810244</v>
      </c>
      <c r="EJ110" s="1">
        <f t="shared" si="220"/>
        <v>1.7394603132500011</v>
      </c>
      <c r="EK110" s="1">
        <f t="shared" si="221"/>
        <v>2.2366690276199463</v>
      </c>
      <c r="EL110" s="1">
        <f t="shared" si="222"/>
        <v>0.98907227869733128</v>
      </c>
      <c r="EM110" s="1">
        <f t="shared" si="223"/>
        <v>6.4761449646736649E-2</v>
      </c>
      <c r="EN110" s="1">
        <f t="shared" si="224"/>
        <v>0.42986651838079976</v>
      </c>
      <c r="EO110" s="1">
        <f t="shared" si="225"/>
        <v>0.50873384292469326</v>
      </c>
      <c r="EP110" s="1">
        <f t="shared" si="226"/>
        <v>0.92699726926289805</v>
      </c>
      <c r="EQ110" s="1">
        <f t="shared" si="227"/>
        <v>0.74532746669095984</v>
      </c>
      <c r="ES110" s="1">
        <f>IF(EF$26=".", 0, 'Summary, PPI''s'!E110)+IF(EG$26=".", 0, 'Summary, PPI''s'!F110)+IF(EH$26=".", 0, 'Summary, PPI''s'!G110)+IF(EI$26=".", 0, 'Summary, PPI''s'!H110)+IF(EJ$26=".", 0, 'Summary, PPI''s'!I110)+IF(EK$26=".", 0, 'Summary, PPI''s'!J110)+IF(EL$26=".", 0, 'Summary, PPI''s'!K110)+IF(EM$26=".", 0, 'Summary, PPI''s'!L110)+IF(EN$26=".", 0, 'Summary, PPI''s'!M110)+IF(EC$26=".", 0, 'Summary, PPI''s'!B110)+IF(ED$26=".", 0, 'Summary, PPI''s'!C110)+IF(EE$26=".", 0, 'Summary, PPI''s'!D110)+IF(EO$26=".", 0, 'Summary, PPI''s'!N110)+IF(EP$26=".", 0, 'Summary, PPI''s'!O110)+IF(EQ$26=".", 0, 'Summary, PPI''s'!P110)</f>
        <v>771970.7829992295</v>
      </c>
      <c r="ET110" s="1">
        <f>'Summary, hourly ad costs'!E110+'Summary, hourly ad costs'!F110+'Summary, hourly ad costs'!H110+'Summary, hourly ad costs'!I110+'Summary, hourly ad costs'!J110+'Summary, hourly ad costs'!K110+'Summary, hourly ad costs'!L110+'Summary, hourly ad costs'!M110+'Summary, hourly ad costs'!B110</f>
        <v>469612.31646217668</v>
      </c>
      <c r="EV110" s="13">
        <f>EV109*IF(EF$26=".", 1, (EF110/EF109)^(('Summary, PPI''s'!$E110+'Summary, PPI''s'!$E109)/('Predicted PPIs'!ES110+'Predicted PPIs'!ES109)))*IF(EG$26=".", 1, (EG110/EG109)^(('Summary, PPI''s'!$F110+'Summary, PPI''s'!$F109)/('Predicted PPIs'!ES110+'Predicted PPIs'!ES109)))*IF(EH$26=".", 1, (EH110/EH109)^(('Summary, PPI''s'!$G110+'Summary, PPI''s'!$G109)/('Predicted PPIs'!ES110+'Predicted PPIs'!ES109)))*IF(EI$26=".", 1, (EI110/EI109)^(('Summary, PPI''s'!$H110+'Summary, PPI''s'!$H109)/('Predicted PPIs'!ES110+'Predicted PPIs'!ES109)))*IF(EJ$26=".", 1, (EJ110/EJ109)^(('Summary, PPI''s'!$I110+'Summary, PPI''s'!$I109)/('Predicted PPIs'!ES110+'Predicted PPIs'!ES109)))*IF(EK$26=".", 1, (EK110/EK109)^(('Summary, PPI''s'!$J110+'Summary, PPI''s'!$J109)/('Predicted PPIs'!ES110+'Predicted PPIs'!ES109)))*IF(EL$26=".", 1, (EL110/EL109)^(('Summary, PPI''s'!$K110+'Summary, PPI''s'!$K109)/('Predicted PPIs'!ES110+'Predicted PPIs'!ES109)))*IF(EM$26=".", 1, (EM110/EM109)^(('Summary, PPI''s'!$L110+'Summary, PPI''s'!$L109)/('Predicted PPIs'!ES110+'Predicted PPIs'!ES109)))*IF(EN$26=".", 1, (EN110/EN109)^(('Summary, PPI''s'!$M110+'Summary, PPI''s'!$M109)/('Predicted PPIs'!ES110+'Predicted PPIs'!ES109)))*IF(EC$26=".", 1, (EC110/EC109)^(('Summary, PPI''s'!$B110+'Summary, PPI''s'!$B109)/('Predicted PPIs'!ES110+'Predicted PPIs'!ES109)))*IF(ED$26=".", 1, (ED110/ED109)^(('Summary, PPI''s'!$C110+'Summary, PPI''s'!$C109)/('Predicted PPIs'!ES110+'Predicted PPIs'!ES109)))*IF(EE$26=".", 1, (EE110/EE109)^(('Summary, PPI''s'!$D110+'Summary, PPI''s'!$D109)/('Predicted PPIs'!ES110+'Predicted PPIs'!ES109)))*IF(EO$26=".", 1, (EO110/EO109)^(('Summary, PPI''s'!$N110+'Summary, PPI''s'!$N109)/('Predicted PPIs'!ES110+'Predicted PPIs'!ES109)))*IF(EP$26=".", 1, (EP110/EP109)^(('Summary, PPI''s'!$O110+'Summary, PPI''s'!$O109)/('Predicted PPIs'!ES110+'Predicted PPIs'!ES109)))*IF(EQ$26=".", 1, (EQ110/EQ109)^(('Summary, PPI''s'!$P110+'Summary, PPI''s'!$P109)/('Predicted PPIs'!ES110+'Predicted PPIs'!ES109)))</f>
        <v>1.7295112501074505</v>
      </c>
      <c r="EW110" s="13">
        <f>EW109*IF(EF$26=".", 1, (EF110/EF109)^(('Summary, PPI''s'!$E110+'Summary, PPI''s'!$E109)/('Predicted PPIs'!ET110+'Predicted PPIs'!ET109)))*IF(EG$26=".", 1, (EG110/EG109)^(('Summary, PPI''s'!$F110+'Summary, PPI''s'!$F109)/('Predicted PPIs'!ET110+'Predicted PPIs'!ET109)))*IF(EH$26=".", 1, (EH110/EH109)^(('Summary, PPI''s'!$G110+'Summary, PPI''s'!$G109)/('Predicted PPIs'!ET110+'Predicted PPIs'!ET109)))*IF(EK$26=".", 1, (EK110/EK109)^(('Summary, PPI''s'!$J110+'Summary, PPI''s'!$J109)/('Predicted PPIs'!ET110+'Predicted PPIs'!ET109)))*IF(EL$26=".", 1, (EL110/EL109)^(('Summary, PPI''s'!$K110+'Summary, PPI''s'!$K109)/('Predicted PPIs'!ET110+'Predicted PPIs'!ET109)))*IF(EM$26=".", 1, (EM110/EM109)^(('Summary, PPI''s'!$L110+'Summary, PPI''s'!$L109)/('Predicted PPIs'!ET110+'Predicted PPIs'!ET109)))*IF(EN$26=".", 1, (EN110/EN109)^(('Summary, PPI''s'!$M110+'Summary, PPI''s'!$M109)/('Predicted PPIs'!ET110+'Predicted PPIs'!ET109)))*IF(EC$26=".", 1, (EC110/EC109)^(('Summary, PPI''s'!$B110+'Summary, PPI''s'!$B109)/('Predicted PPIs'!ET110+'Predicted PPIs'!ET109)))</f>
        <v>3.5412830040934269</v>
      </c>
      <c r="EY110" s="2"/>
    </row>
    <row r="111" spans="1:155" x14ac:dyDescent="0.3">
      <c r="A111" s="4">
        <v>1912</v>
      </c>
      <c r="B111" s="10">
        <f>IF(B110=".", ".", IF('Summary, PPI''s'!R111=".",IF(OR('Summary, hourly ad costs'!R111=-9999,'Summary, hourly ad costs'!R111=0), ".", 'Predicted PPIs'!B110*('Summary, hourly ad costs'!B111/'Summary, hourly ad costs'!R111)/('Summary, hourly ad costs'!B110/'Summary, hourly ad costs'!R110)), 'Summary, PPI''s'!R111))</f>
        <v>53.382590060869639</v>
      </c>
      <c r="C111" s="10" t="str">
        <f>IF(C110=".", ".", IF('Summary, PPI''s'!S111=".",IF(OR('Summary, hourly ad costs'!S111=-9999,'Summary, hourly ad costs'!S111=0), ".", 'Predicted PPIs'!C110*('Summary, hourly ad costs'!C111/'Summary, hourly ad costs'!S111)/('Summary, hourly ad costs'!C110/'Summary, hourly ad costs'!S110)), 'Summary, PPI''s'!S111))</f>
        <v>.</v>
      </c>
      <c r="D111" s="10" t="str">
        <f>IF(D110=".", ".", IF('Summary, PPI''s'!T111=".",IF(OR('Summary, hourly ad costs'!T111=-9999,'Summary, hourly ad costs'!T111=0), ".", 'Predicted PPIs'!D110*('Summary, hourly ad costs'!D111/'Summary, hourly ad costs'!T111)/('Summary, hourly ad costs'!D110/'Summary, hourly ad costs'!T110)), 'Summary, PPI''s'!T111))</f>
        <v>.</v>
      </c>
      <c r="E111" s="10">
        <f>IF(E110=".", ".", IF('Summary, PPI''s'!U111=".",IF(OR('Summary, hourly ad costs'!U111=-9999,'Summary, hourly ad costs'!U111=0), ".", 'Predicted PPIs'!E110*('Summary, hourly ad costs'!E111/'Summary, hourly ad costs'!U111)/('Summary, hourly ad costs'!E110/'Summary, hourly ad costs'!U110)), 'Summary, PPI''s'!U111))</f>
        <v>1.0797892128839222</v>
      </c>
      <c r="F111" s="10">
        <f>IF(F110=".", ".", IF('Summary, PPI''s'!V111=".",IF(OR('Summary, hourly ad costs'!V111=-9999,'Summary, hourly ad costs'!V111=0), ".", 'Predicted PPIs'!F110*('Summary, hourly ad costs'!F111/'Summary, hourly ad costs'!V111)/('Summary, hourly ad costs'!F110/'Summary, hourly ad costs'!V110)), 'Summary, PPI''s'!V111))</f>
        <v>0.91656143080334018</v>
      </c>
      <c r="G111" s="10" t="str">
        <f>IF(G110=".", ".", IF('Summary, PPI''s'!W111=".",IF(OR('Summary, hourly ad costs'!W111=-9999,'Summary, hourly ad costs'!W111=0), ".", 'Predicted PPIs'!G110*('Summary, hourly ad costs'!G111/'Summary, hourly ad costs'!W111)/('Summary, hourly ad costs'!G110/'Summary, hourly ad costs'!W110)), 'Summary, PPI''s'!W111))</f>
        <v>.</v>
      </c>
      <c r="H111" s="10">
        <f>IF(H110=".", ".", IF('Summary, PPI''s'!X111=".",IF(OR('Summary, hourly ad costs'!X111=-9999,'Summary, hourly ad costs'!X111=0), ".", 'Predicted PPIs'!H110*('Summary, hourly ad costs'!H111/'Summary, hourly ad costs'!X111)/('Summary, hourly ad costs'!H110/'Summary, hourly ad costs'!X110)), 'Summary, PPI''s'!X111))</f>
        <v>0.85983807847144811</v>
      </c>
      <c r="I111" s="10" t="str">
        <f>IF(I110=".", ".", IF('Summary, PPI''s'!Y111=".",IF(OR('Summary, hourly ad costs'!Y111=-9999,'Summary, hourly ad costs'!Y111=0), ".", 'Predicted PPIs'!I110*('Summary, hourly ad costs'!I111/'Summary, hourly ad costs'!Y111)/('Summary, hourly ad costs'!I110/'Summary, hourly ad costs'!Y110)), 'Summary, PPI''s'!Y111))</f>
        <v>.</v>
      </c>
      <c r="J111" s="10" t="str">
        <f>IF(J110=".", ".", IF('Summary, PPI''s'!Z111=".",IF(OR('Summary, hourly ad costs'!Z111=-9999,'Summary, hourly ad costs'!Z111=0), ".", 'Predicted PPIs'!J110*('Summary, hourly ad costs'!J111/'Summary, hourly ad costs'!Z111)/('Summary, hourly ad costs'!J110/'Summary, hourly ad costs'!Z110)), 'Summary, PPI''s'!Z111))</f>
        <v>.</v>
      </c>
      <c r="K111" s="10" t="str">
        <f>IF(K110=".", ".", IF('Summary, PPI''s'!AA111=".",IF(OR('Summary, hourly ad costs'!AA111=-9999,'Summary, hourly ad costs'!AA111=0), ".", 'Predicted PPIs'!K110*('Summary, hourly ad costs'!K111/'Summary, hourly ad costs'!AA111)/('Summary, hourly ad costs'!K110/'Summary, hourly ad costs'!AA110)), 'Summary, PPI''s'!AA111))</f>
        <v>.</v>
      </c>
      <c r="L111" s="10" t="str">
        <f>IF(L110=".", ".", IF('Summary, PPI''s'!AB111=".",IF(OR('Summary, hourly ad costs'!AB111=-9999,'Summary, hourly ad costs'!AB111=0), ".", 'Predicted PPIs'!L110*('Summary, hourly ad costs'!L111/'Summary, hourly ad costs'!AB111)/('Summary, hourly ad costs'!L110/'Summary, hourly ad costs'!AB110)), 'Summary, PPI''s'!AB111))</f>
        <v>.</v>
      </c>
      <c r="M111" s="10" t="str">
        <f>IF(M110=".", ".", IF('Summary, PPI''s'!AC111=".",IF(OR('Summary, hourly ad costs'!AC111=-9999,'Summary, hourly ad costs'!AC111=0), ".", 'Predicted PPIs'!M110*('Summary, hourly ad costs'!M111/'Summary, hourly ad costs'!AC111)/('Summary, hourly ad costs'!M110/'Summary, hourly ad costs'!AC110)), 'Summary, PPI''s'!AC111))</f>
        <v>.</v>
      </c>
      <c r="N111" s="10" t="str">
        <f>IF(N110=".", ".", IF('Summary, PPI''s'!AD111=".",IF(OR('Summary, hourly ad costs'!AD111=-9999,'Summary, hourly ad costs'!AD111=0), ".", 'Predicted PPIs'!N110*('Summary, hourly ad costs'!N111/'Summary, hourly ad costs'!AD111)/('Summary, hourly ad costs'!N110/'Summary, hourly ad costs'!AD110)), 'Summary, PPI''s'!AD111))</f>
        <v>.</v>
      </c>
      <c r="O111" s="10" t="str">
        <f>IF(O110=".", ".", IF('Summary, PPI''s'!AE111=".",IF(OR('Summary, hourly ad costs'!AE111=-9999,'Summary, hourly ad costs'!AE111=0), ".", 'Predicted PPIs'!O110*('Summary, hourly ad costs'!O111/'Summary, hourly ad costs'!AE111)/('Summary, hourly ad costs'!O110/'Summary, hourly ad costs'!AE110)), 'Summary, PPI''s'!AE111))</f>
        <v>.</v>
      </c>
      <c r="P111" s="10" t="str">
        <f>IF(P110=".", ".", IF('Summary, PPI''s'!AF111=".",IF(OR('Summary, hourly ad costs'!AF111=-9999,'Summary, hourly ad costs'!AF111=0), ".", 'Predicted PPIs'!P110*('Summary, hourly ad costs'!P111/'Summary, hourly ad costs'!AF111)/('Summary, hourly ad costs'!P110/'Summary, hourly ad costs'!AF110)), 'Summary, PPI''s'!AF111))</f>
        <v>.</v>
      </c>
      <c r="R111" s="1">
        <f>IF(E$26=".", 0, 'Summary, PPI''s'!E111)+IF(F$26=".", 0, 'Summary, PPI''s'!F111)+IF(G$26=".", 0, 'Summary, PPI''s'!G111)+IF(H$26=".", 0, 'Summary, PPI''s'!H111)+IF(I$26=".", 0, 'Summary, PPI''s'!I111)+IF(J$26=".", 0, 'Summary, PPI''s'!J111)+IF(K$26=".", 0, 'Summary, PPI''s'!K111)+IF(L$26=".", 0, 'Summary, PPI''s'!L111)+IF(M$26=".", 0, 'Summary, PPI''s'!M111)+IF(B$26=".", 0, 'Summary, PPI''s'!B111)+IF(C$26=".", 0, 'Summary, PPI''s'!C111)+IF(D$26=".", 0, 'Summary, PPI''s'!D111)+IF(N$26=".", 0, 'Summary, PPI''s'!N111)+IF(O$26=".", 0, 'Summary, PPI''s'!O111)+IF(P$26=".", 0, 'Summary, PPI''s'!P111)</f>
        <v>742904.14674202888</v>
      </c>
      <c r="S111" s="1">
        <f>IF(E$36=".", 0, 'Summary, PPI''s'!E111)+IF(F$36=".", 0, 'Summary, PPI''s'!F111)+IF(G$36=".", 0, 'Summary, PPI''s'!G111)+IF(H$36=".", 0, 'Summary, PPI''s'!H111)+IF(I$36=".", 0, 'Summary, PPI''s'!I111)+IF(J$36=".", 0, 'Summary, PPI''s'!J111)+IF(K$36=".", 0, 'Summary, PPI''s'!K111)+IF(L$36=".", 0, 'Summary, PPI''s'!L111)+IF(M$36=".", 0, 'Summary, PPI''s'!M111)+IF(B$36=".", 0, 'Summary, PPI''s'!B111)+IF(C$36=".", 0, 'Summary, PPI''s'!C111)+IF(D$36=".", 0, 'Summary, PPI''s'!D111)+IF(N$36=".", 0, 'Summary, PPI''s'!N111)+IF(O$36=".", 0, 'Summary, PPI''s'!O111)+IF(P$36=".", 0, 'Summary, PPI''s'!P111)</f>
        <v>742904.14674202888</v>
      </c>
      <c r="T111" s="1">
        <f>IF(E$46=".", 0, 'Summary, PPI''s'!E111)+IF(F$46=".", 0, 'Summary, PPI''s'!F111)+IF(G$46=".", 0, 'Summary, PPI''s'!G111)+IF(H$46=".", 0, 'Summary, PPI''s'!H111)+IF(I$46=".", 0, 'Summary, PPI''s'!I111)+IF(J$46=".", 0, 'Summary, PPI''s'!J111)+IF(K$46=".", 0, 'Summary, PPI''s'!K111)+IF(L$46=".", 0, 'Summary, PPI''s'!L111)+IF(M$46=".", 0, 'Summary, PPI''s'!M111)+IF(B$46=".", 0, 'Summary, PPI''s'!B111)+IF(C$46=".", 0, 'Summary, PPI''s'!C111)+IF(D$46=".", 0, 'Summary, PPI''s'!D111)+IF(N$46=".", 0, 'Summary, PPI''s'!N111)+IF(O$46=".", 0, 'Summary, PPI''s'!O111)+IF(P$46=".", 0, 'Summary, PPI''s'!P111)</f>
        <v>668764.28902157722</v>
      </c>
      <c r="U111" s="1">
        <f>IF(E$60=".", 0, 'Summary, PPI''s'!E111)+IF(F$60=".", 0, 'Summary, PPI''s'!F111)+IF(G$60=".", 0, 'Summary, PPI''s'!G111)+IF(H$60=".", 0, 'Summary, PPI''s'!H111)+IF(I$60=".", 0, 'Summary, PPI''s'!I111)+IF(J$60=".", 0, 'Summary, PPI''s'!J111)+IF(K$60=".", 0, 'Summary, PPI''s'!K111)+IF(L$60=".", 0, 'Summary, PPI''s'!L111)+IF(M$60=".", 0, 'Summary, PPI''s'!M111)+IF(B$60=".", 0, 'Summary, PPI''s'!B111)+IF(C$60=".", 0, 'Summary, PPI''s'!C111)+IF(D$60=".", 0, 'Summary, PPI''s'!D111)+IF(N$60=".", 0, 'Summary, PPI''s'!N111)+IF(O$60=".", 0, 'Summary, PPI''s'!O111)+IF(P$60=".", 0, 'Summary, PPI''s'!P111)</f>
        <v>637498.30675049243</v>
      </c>
      <c r="V111" s="1">
        <f>IF(E$73=".", 0, 'Summary, PPI''s'!E111)+IF(F$73=".", 0, 'Summary, PPI''s'!F111)+IF(G$73=".", 0, 'Summary, PPI''s'!G111)+IF(H$73=".", 0, 'Summary, PPI''s'!H111)+IF(I$73=".", 0, 'Summary, PPI''s'!I111)+IF(J$73=".", 0, 'Summary, PPI''s'!J111)+IF(K$73=".", 0, 'Summary, PPI''s'!K111)+IF(L$73=".", 0, 'Summary, PPI''s'!L111)+IF(M$73=".", 0, 'Summary, PPI''s'!M111)+IF(B$73=".", 0, 'Summary, PPI''s'!B111)+IF(C$73=".", 0, 'Summary, PPI''s'!C111)+IF(D$73=".", 0, 'Summary, PPI''s'!D111)+IF(N$73=".", 0, 'Summary, PPI''s'!N111)+IF(O$73=".", 0, 'Summary, PPI''s'!O111)+IF(P$73=".", 0, 'Summary, PPI''s'!P111)</f>
        <v>451495.49424941459</v>
      </c>
      <c r="W111" s="1">
        <f>IF(E$94=".",0,'Summary, PPI''s'!E111)+IF(F$94=".",0,'Summary, PPI''s'!F111)+IF(G$94=".",0,'Summary, PPI''s'!G111)+IF(H$94=".",0,'Summary, PPI''s'!H111)+IF(I$94=".",0,'Summary, PPI''s'!I111)+IF(J$94=".",0,'Summary, PPI''s'!J111)+IF(K$94=".",0,'Summary, PPI''s'!K111)+IF(L$94=".",0,'Summary, PPI''s'!L111)+IF(M$94=".",0,'Summary, PPI''s'!M111)+IF(B$94=".",0,'Summary, PPI''s'!B111)+IF(C$94=".",0,'Summary, PPI''s'!C111)+IF(D$94=".",0,'Summary, PPI''s'!D111)+IF(N$94=".",0,'Summary, PPI''s'!N111)+IF(O$94=".",0,'Summary, PPI''s'!O111)+IF(P$94=".",0,'Summary, PPI''s'!P111)</f>
        <v>451495.49424941459</v>
      </c>
      <c r="X111" s="1">
        <f>IF(E$123=".", 0, 'Summary, PPI''s'!E111)+IF(F$123=".", 0, 'Summary, PPI''s'!F111)+IF(G$123=".", 0, 'Summary, PPI''s'!G111)+IF(H$123=".", 0, 'Summary, PPI''s'!H111)+IF(I$123=".", 0, 'Summary, PPI''s'!I111)+IF(J$123=".", 0, 'Summary, PPI''s'!J111)+IF(K$123=".", 0, 'Summary, PPI''s'!K111)+IF(L$123=".", 0, 'Summary, PPI''s'!L111)+IF(M$123=".", 0, 'Summary, PPI''s'!M111)+IF(B$123=".", 0, 'Summary, PPI''s'!B111)+IF(C$123=".", 0, 'Summary, PPI''s'!C111)+IF(D$123=".", 0, 'Summary, PPI''s'!D111)+IF(N$123=".", 0, 'Summary, PPI''s'!N111)+IF(O$123=".", 0, 'Summary, PPI''s'!O111)+IF(P$123=".", 0, 'Summary, PPI''s'!P111)</f>
        <v>451495.49424941459</v>
      </c>
      <c r="Z111" s="4" t="e">
        <f>Z110*IF(E$26=".", 1, (E111/E110)^(('Summary, PPI''s'!$E111+'Summary, PPI''s'!$E110)/('Predicted PPIs'!R111+'Predicted PPIs'!R110)))*IF(F$26=".", 1, (F111/F110)^(('Summary, PPI''s'!$F111+'Summary, PPI''s'!$F110)/('Predicted PPIs'!R111+'Predicted PPIs'!R110)))*IF(G$26=".", 1, (G111/G110)^(('Summary, PPI''s'!$G111+'Summary, PPI''s'!$G110)/('Predicted PPIs'!R111+'Predicted PPIs'!R110)))*IF(H$26=".", 1, (H111/H110)^(('Summary, PPI''s'!$H111+'Summary, PPI''s'!$H110)/('Predicted PPIs'!R111+'Predicted PPIs'!R110)))*IF(I$26=".", 1, (I111/I110)^(('Summary, PPI''s'!$I111+'Summary, PPI''s'!$I110)/('Predicted PPIs'!R111+'Predicted PPIs'!R110)))*IF(J$26=".", 1, (J111/J110)^(('Summary, PPI''s'!$J111+'Summary, PPI''s'!$J110)/('Predicted PPIs'!R111+'Predicted PPIs'!R110)))*IF(K$26=".", 1, (K111/K110)^(('Summary, PPI''s'!$K111+'Summary, PPI''s'!$K110)/('Predicted PPIs'!R111+'Predicted PPIs'!R110)))*IF(L$26=".", 1, (L111/L110)^(('Summary, PPI''s'!$L111+'Summary, PPI''s'!$L110)/('Predicted PPIs'!R111+'Predicted PPIs'!R110)))*IF(M$26=".", 1, (M111/M110)^(('Summary, PPI''s'!$M111+'Summary, PPI''s'!$M110)/('Predicted PPIs'!R111+'Predicted PPIs'!R110)))*IF(B$26=".", 1, (B111/B110)^(('Summary, PPI''s'!$B111+'Summary, PPI''s'!$B110)/('Predicted PPIs'!R111+'Predicted PPIs'!R110)))*IF(C$26=".", 1, (C111/C110)^(('Summary, PPI''s'!$C111+'Summary, PPI''s'!$C110)/('Predicted PPIs'!R111+'Predicted PPIs'!R110)))*IF(D$26=".", 1, (D111/D110)^(('Summary, PPI''s'!$D111+'Summary, PPI''s'!$D110)/('Predicted PPIs'!R111+'Predicted PPIs'!R110)))*IF(N$26=".", 1, (N111/N110)^(('Summary, PPI''s'!$N111+'Summary, PPI''s'!$N110)/('Predicted PPIs'!R111+'Predicted PPIs'!R110)))*IF(O$26=".", 1, (O111/O110)^(('Summary, PPI''s'!$O111+'Summary, PPI''s'!$O110)/('Predicted PPIs'!R111+'Predicted PPIs'!R110)))*IF(P$26=".", 1, (P111/P110)^(('Summary, PPI''s'!$P111+'Summary, PPI''s'!$P110)/('Predicted PPIs'!R111+'Predicted PPIs'!R110)))</f>
        <v>#VALUE!</v>
      </c>
      <c r="AA111" s="4" t="e">
        <f>AA110*IF(E$36=".", 1, (E111/E110)^(('Summary, PPI''s'!$E111+'Summary, PPI''s'!$E110)/('Predicted PPIs'!S111+'Predicted PPIs'!S110)))*IF(F$36=".", 1, (F111/F110)^(('Summary, PPI''s'!$F111+'Summary, PPI''s'!$F110)/('Predicted PPIs'!S111+'Predicted PPIs'!S110)))*IF(G$36=".", 1, (G111/G110)^(('Summary, PPI''s'!$G111+'Summary, PPI''s'!$G110)/('Predicted PPIs'!S111+'Predicted PPIs'!S110)))*IF(H$36=".", 1, (H111/H110)^(('Summary, PPI''s'!$H111+'Summary, PPI''s'!$H110)/('Predicted PPIs'!S111+'Predicted PPIs'!S110)))*IF(I$36=".", 1, (I111/I110)^(('Summary, PPI''s'!$I111+'Summary, PPI''s'!$I110)/('Predicted PPIs'!S111+'Predicted PPIs'!S110)))*IF(J$36=".", 1, (J111/J110)^(('Summary, PPI''s'!$J111+'Summary, PPI''s'!$J110)/('Predicted PPIs'!S111+'Predicted PPIs'!S110)))*IF(K$36=".", 1, (K111/K110)^(('Summary, PPI''s'!$K111+'Summary, PPI''s'!$K110)/('Predicted PPIs'!S111+'Predicted PPIs'!S110)))*IF(L$36=".", 1, (L111/L110)^(('Summary, PPI''s'!$L111+'Summary, PPI''s'!$L110)/('Predicted PPIs'!S111+'Predicted PPIs'!S110)))*IF(M$36=".", 1, (M111/M110)^(('Summary, PPI''s'!$M111+'Summary, PPI''s'!$M110)/('Predicted PPIs'!S111+'Predicted PPIs'!S110)))*IF(B$36=".", 1, (B111/B110)^(('Summary, PPI''s'!$B111+'Summary, PPI''s'!$B110)/('Predicted PPIs'!S111+'Predicted PPIs'!S110)))*IF(C$36=".", 1, (C111/C110)^(('Summary, PPI''s'!$C111+'Summary, PPI''s'!$C110)/('Predicted PPIs'!S111+'Predicted PPIs'!S110)))*IF(D$36=".", 1, (D111/D110)^(('Summary, PPI''s'!$D111+'Summary, PPI''s'!$D110)/('Predicted PPIs'!S111+'Predicted PPIs'!S110)))*IF(N$36=".", 1, (N111/N110)^(('Summary, PPI''s'!$N111+'Summary, PPI''s'!$N110)/('Predicted PPIs'!S111+'Predicted PPIs'!S110)))*IF(O$36=".", 1, (O111/O110)^(('Summary, PPI''s'!$O111+'Summary, PPI''s'!$O110)/('Predicted PPIs'!S111+'Predicted PPIs'!S110)))*IF(P$36=".", 1, (P111/P110)^(('Summary, PPI''s'!$P111+'Summary, PPI''s'!$P110)/('Predicted PPIs'!S111+'Predicted PPIs'!S110)))</f>
        <v>#VALUE!</v>
      </c>
      <c r="AB111" s="4" t="e">
        <f>AB110*IF(E$46=".", 1, (E111/E110)^(('Summary, PPI''s'!$E111+'Summary, PPI''s'!$E110)/('Predicted PPIs'!T111+'Predicted PPIs'!T110)))*IF(F$46=".", 1, (F111/F110)^(('Summary, PPI''s'!$F111+'Summary, PPI''s'!$F110)/('Predicted PPIs'!T111+'Predicted PPIs'!T110)))*IF(G$46=".", 1, (G111/G110)^(('Summary, PPI''s'!$G111+'Summary, PPI''s'!$G110)/('Predicted PPIs'!T111+'Predicted PPIs'!T110)))*IF(H$46=".", 1, (H111/H110)^(('Summary, PPI''s'!$H111+'Summary, PPI''s'!$H110)/('Predicted PPIs'!T111+'Predicted PPIs'!T110)))*IF(I$46=".", 1, (I111/I110)^(('Summary, PPI''s'!$I111+'Summary, PPI''s'!$I110)/('Predicted PPIs'!T111+'Predicted PPIs'!T110)))*IF(J$46=".", 1, (J111/J110)^(('Summary, PPI''s'!$J111+'Summary, PPI''s'!$J110)/('Predicted PPIs'!T111+'Predicted PPIs'!T110)))*IF(K$46=".", 1, (K111/K110)^(('Summary, PPI''s'!$K111+'Summary, PPI''s'!$K110)/('Predicted PPIs'!T111+'Predicted PPIs'!T110)))*IF(L$46=".", 1, (L111/L110)^(('Summary, PPI''s'!$L111+'Summary, PPI''s'!$L110)/('Predicted PPIs'!T111+'Predicted PPIs'!T110)))*IF(M$46=".", 1, (M111/M110)^(('Summary, PPI''s'!$M111+'Summary, PPI''s'!$M110)/('Predicted PPIs'!T111+'Predicted PPIs'!T110)))*IF(B$46=".", 1, (B111/B110)^(('Summary, PPI''s'!$B111+'Summary, PPI''s'!$B110)/('Predicted PPIs'!T111+'Predicted PPIs'!T110)))*IF(C$46=".", 1, (C111/C110)^(('Summary, PPI''s'!$C111+'Summary, PPI''s'!$C110)/('Predicted PPIs'!T111+'Predicted PPIs'!T110)))*IF(D$46=".", 1, (D111/D110)^(('Summary, PPI''s'!$D111+'Summary, PPI''s'!$D110)/('Predicted PPIs'!T111+'Predicted PPIs'!T110)))*IF(N$46=".", 1, (N111/N110)^(('Summary, PPI''s'!$N111+'Summary, PPI''s'!$N110)/('Predicted PPIs'!T111+'Predicted PPIs'!T110)))*IF(O$46=".", 1, (O111/O110)^(('Summary, PPI''s'!$O111+'Summary, PPI''s'!$O110)/('Predicted PPIs'!T111+'Predicted PPIs'!T110)))*IF(P$46=".", 1, (P111/P110)^(('Summary, PPI''s'!$P111+'Summary, PPI''s'!$P110)/('Predicted PPIs'!T111+'Predicted PPIs'!T110)))</f>
        <v>#VALUE!</v>
      </c>
      <c r="AC111" s="4" t="e">
        <f>AC110*IF(E$60=".",1,(E111/E110)^(('Summary, PPI''s'!$E111+'Summary, PPI''s'!$E110)/('Predicted PPIs'!U111+'Predicted PPIs'!U110)))*IF(F$60=".",1,(F111/F110)^(('Summary, PPI''s'!$F111+'Summary, PPI''s'!$F110)/('Predicted PPIs'!U111+'Predicted PPIs'!U110)))*IF(G$60=".",1,(G111/G110)^(('Summary, PPI''s'!$G111+'Summary, PPI''s'!$G110)/('Predicted PPIs'!U111+'Predicted PPIs'!U110)))*IF(H$60=".",1,(H111/H110)^(('Summary, PPI''s'!$H111+'Summary, PPI''s'!$H110)/('Predicted PPIs'!U111+'Predicted PPIs'!U110)))*IF(I$60=".",1,(I111/I110)^(('Summary, PPI''s'!$I111+'Summary, PPI''s'!$I110)/('Predicted PPIs'!U111+'Predicted PPIs'!U110)))*IF(J$60=".",1,(J111/J110)^(('Summary, PPI''s'!$J111+'Summary, PPI''s'!$J110)/('Predicted PPIs'!U111+'Predicted PPIs'!U110)))*IF(K$60=".",1,(K111/K110)^(('Summary, PPI''s'!$K111+'Summary, PPI''s'!$K110)/('Predicted PPIs'!U111+'Predicted PPIs'!U110)))*IF(L$60=".",1,(L111/L110)^(('Summary, PPI''s'!$L111+'Summary, PPI''s'!$L110)/('Predicted PPIs'!U111+'Predicted PPIs'!U110)))*IF(M$60=".",1,(M111/M110)^(('Summary, PPI''s'!$M111+'Summary, PPI''s'!$M110)/('Predicted PPIs'!U111+'Predicted PPIs'!U110)))*IF(B$60=".",1,(B111/B110)^(('Summary, PPI''s'!$B111+'Summary, PPI''s'!$B110)/('Predicted PPIs'!U111+'Predicted PPIs'!U110)))*IF(C$60=".",1,(C111/C110)^(('Summary, PPI''s'!$C111+'Summary, PPI''s'!$C110)/('Predicted PPIs'!U111+'Predicted PPIs'!U110)))*IF(D$60=".",1,(D111/D110)^(('Summary, PPI''s'!$D111+'Summary, PPI''s'!$D110)/('Predicted PPIs'!U111+'Predicted PPIs'!U110)))*IF(N$60=".",1,(N111/N110)^(('Summary, PPI''s'!$N111+'Summary, PPI''s'!$N110)/('Predicted PPIs'!U111+'Predicted PPIs'!U110)))*IF(O$60=".",1,(O111/O110)^(('Summary, PPI''s'!$O111+'Summary, PPI''s'!$O110)/('Predicted PPIs'!U111+'Predicted PPIs'!U110)))*IF(P$60=".",1,(P111/P110)^(('Summary, PPI''s'!$P111+'Summary, PPI''s'!$P110)/('Predicted PPIs'!U111+'Predicted PPIs'!U110)))</f>
        <v>#VALUE!</v>
      </c>
      <c r="AD111" s="4" t="e">
        <f>AD110*IF(E$73=".", 1, (E111/E110)^(('Summary, PPI''s'!$E111+'Summary, PPI''s'!$E110)/('Predicted PPIs'!V111+'Predicted PPIs'!V110)))*IF(F$73=".", 1, (F111/F110)^(('Summary, PPI''s'!$F111+'Summary, PPI''s'!$F110)/('Predicted PPIs'!V111+'Predicted PPIs'!V110)))*IF(G$73=".", 1, (G111/G110)^(('Summary, PPI''s'!$G111+'Summary, PPI''s'!$G110)/('Predicted PPIs'!V111+'Predicted PPIs'!V110)))*IF(H$73=".", 1, (H111/H110)^(('Summary, PPI''s'!$H111+'Summary, PPI''s'!$H110)/('Predicted PPIs'!V111+'Predicted PPIs'!V110)))*IF(I$73=".", 1, (I111/I110)^(('Summary, PPI''s'!$I111+'Summary, PPI''s'!$I110)/('Predicted PPIs'!V111+'Predicted PPIs'!V110)))*IF(J$73=".", 1, (J111/J110)^(('Summary, PPI''s'!$J111+'Summary, PPI''s'!$J110)/('Predicted PPIs'!V111+'Predicted PPIs'!V110)))*IF(K$73=".", 1, (K111/K110)^(('Summary, PPI''s'!$K111+'Summary, PPI''s'!$K110)/('Predicted PPIs'!V111+'Predicted PPIs'!V110)))*IF(L$73=".", 1, (L111/L110)^(('Summary, PPI''s'!$L111+'Summary, PPI''s'!$L110)/('Predicted PPIs'!V111+'Predicted PPIs'!V110)))*IF(M$73=".", 1, (M111/M110)^(('Summary, PPI''s'!$M111+'Summary, PPI''s'!$M110)/('Predicted PPIs'!V111+'Predicted PPIs'!V110)))*IF(B$73=".", 1, (B111/B110)^(('Summary, PPI''s'!$B111+'Summary, PPI''s'!$B110)/('Predicted PPIs'!V111+'Predicted PPIs'!V110)))*IF(C$73=".", 1, (C111/C110)^(('Summary, PPI''s'!$C111+'Summary, PPI''s'!$C110)/('Predicted PPIs'!V111+'Predicted PPIs'!V110)))*IF(D$73=".", 1, (D111/D110)^(('Summary, PPI''s'!$D111+'Summary, PPI''s'!$D110)/('Predicted PPIs'!V111+'Predicted PPIs'!V110)))*IF(N$73=".", 1, (N111/N110)^(('Summary, PPI''s'!$N111+'Summary, PPI''s'!$N110)/('Predicted PPIs'!V111+'Predicted PPIs'!V110)))*IF(O$73=".", 1, (O111/O110)^(('Summary, PPI''s'!$O111+'Summary, PPI''s'!$O110)/('Predicted PPIs'!V111+'Predicted PPIs'!V110)))*IF(P$73=".", 1, (P111/P110)^(('Summary, PPI''s'!$P111+'Summary, PPI''s'!$P110)/('Predicted PPIs'!V111+'Predicted PPIs'!V110)))</f>
        <v>#VALUE!</v>
      </c>
      <c r="AE111" s="4" t="e">
        <f>AE110*IF(E$94=".", 1, (E111/E110)^(('Summary, PPI''s'!$E111+'Summary, PPI''s'!$E110)/('Predicted PPIs'!W111+'Predicted PPIs'!W110)))*IF(F$94=".", 1, (F111/F110)^(('Summary, PPI''s'!$F111+'Summary, PPI''s'!$F110)/('Predicted PPIs'!W111+'Predicted PPIs'!W110)))*IF(G$94=".", 1, (G111/G110)^(('Summary, PPI''s'!$G111+'Summary, PPI''s'!$G110)/('Predicted PPIs'!W111+'Predicted PPIs'!W110)))*IF(H$94=".", 1, (H111/H110)^(('Summary, PPI''s'!$H111+'Summary, PPI''s'!$H110)/('Predicted PPIs'!W111+'Predicted PPIs'!W110)))*IF(I$94=".", 1, (I111/I110)^(('Summary, PPI''s'!$I111+'Summary, PPI''s'!$I110)/('Predicted PPIs'!W111+'Predicted PPIs'!W110)))*IF(J$94=".", 1, (J111/J110)^(('Summary, PPI''s'!$J111+'Summary, PPI''s'!$J110)/('Predicted PPIs'!W111+'Predicted PPIs'!W110)))*IF(K$94=".", 1, (K111/K110)^(('Summary, PPI''s'!$K111+'Summary, PPI''s'!$K110)/('Predicted PPIs'!W111+'Predicted PPIs'!W110)))*IF(L$94=".", 1, (L111/L110)^(('Summary, PPI''s'!$L111+'Summary, PPI''s'!$L110)/('Predicted PPIs'!W111+'Predicted PPIs'!W110)))*IF(M$94=".", 1, (M111/M110)^(('Summary, PPI''s'!$M111+'Summary, PPI''s'!$M110)/('Predicted PPIs'!W111+'Predicted PPIs'!W110)))*IF(B$94=".", 1, (B111/B110)^(('Summary, PPI''s'!$B111+'Summary, PPI''s'!$B110)/('Predicted PPIs'!W111+'Predicted PPIs'!W110)))*IF(C$94=".", 1, (C111/C110)^(('Summary, PPI''s'!$C111+'Summary, PPI''s'!$C110)/('Predicted PPIs'!W111+'Predicted PPIs'!W110)))*IF(D$94=".", 1, (D111/D110)^(('Summary, PPI''s'!$D111+'Summary, PPI''s'!$D110)/('Predicted PPIs'!W111+'Predicted PPIs'!W110)))*IF(N$94=".", 1, (N111/N110)^(('Summary, PPI''s'!$N111+'Summary, PPI''s'!$N110)/('Predicted PPIs'!W111+'Predicted PPIs'!W110)))*IF(O$94=".", 1, (O111/O110)^(('Summary, PPI''s'!$O111+'Summary, PPI''s'!$O110)/('Predicted PPIs'!W111+'Predicted PPIs'!W110)))*IF(P$94=".", 1, (P111/P110)^(('Summary, PPI''s'!$P111+'Summary, PPI''s'!$P110)/('Predicted PPIs'!W111+'Predicted PPIs'!W110)))</f>
        <v>#VALUE!</v>
      </c>
      <c r="AF111" s="4">
        <f>AF110*IF(E$123=".", 1, (E111/E110)^(('Summary, PPI''s'!$E111+'Summary, PPI''s'!$E110)/('Predicted PPIs'!X111+'Predicted PPIs'!X110)))*IF(F$123=".", 1, (F111/F110)^(('Summary, PPI''s'!$F111+'Summary, PPI''s'!$F110)/('Predicted PPIs'!X111+'Predicted PPIs'!X110)))*IF(G$123=".", 1, (G111/G110)^(('Summary, PPI''s'!$G111+'Summary, PPI''s'!$G110)/('Predicted PPIs'!X111+'Predicted PPIs'!X110)))*IF(H$123=".", 1, (H111/H110)^(('Summary, PPI''s'!$H111+'Summary, PPI''s'!$H110)/('Predicted PPIs'!X111+'Predicted PPIs'!X110)))*IF(I$123=".", 1, (I111/I110)^(('Summary, PPI''s'!$I111+'Summary, PPI''s'!$I110)/('Predicted PPIs'!X111+'Predicted PPIs'!X110)))*IF(J$123=".", 1, (J111/J110)^(('Summary, PPI''s'!$J111+'Summary, PPI''s'!$J110)/('Predicted PPIs'!X111+'Predicted PPIs'!X110)))*IF(K$123=".", 1, (K111/K110)^(('Summary, PPI''s'!$K111+'Summary, PPI''s'!$K110)/('Predicted PPIs'!X111+'Predicted PPIs'!X110)))*IF(L$123=".", 1, (L111/L110)^(('Summary, PPI''s'!$L111+'Summary, PPI''s'!$L110)/('Predicted PPIs'!X111+'Predicted PPIs'!X110)))*IF(M$123=".", 1, (M111/M110)^(('Summary, PPI''s'!$M111+'Summary, PPI''s'!$M110)/('Predicted PPIs'!X111+'Predicted PPIs'!X110)))*IF(B$123=".", 1, (B111/B110)^(('Summary, PPI''s'!$B111+'Summary, PPI''s'!$B110)/('Predicted PPIs'!X111+'Predicted PPIs'!X110)))*IF(C$123=".", 1, (C111/C110)^(('Summary, PPI''s'!$C111+'Summary, PPI''s'!$C110)/('Predicted PPIs'!X111+'Predicted PPIs'!X110)))*IF(D$123=".", 1, (D111/D110)^(('Summary, PPI''s'!$D111+'Summary, PPI''s'!$D110)/('Predicted PPIs'!X111+'Predicted PPIs'!X110)))*IF(N$123=".", 1, (N111/N110)^(('Summary, PPI''s'!$N111+'Summary, PPI''s'!$N110)/('Predicted PPIs'!X111+'Predicted PPIs'!X110)))*IF(O$123=".", 1, (O111/O110)^(('Summary, PPI''s'!$O111+'Summary, PPI''s'!$O110)/('Predicted PPIs'!X111+'Predicted PPIs'!X110)))*IF(P$123=".", 1, (P111/P110)^(('Summary, PPI''s'!$P111+'Summary, PPI''s'!$P110)/('Predicted PPIs'!X111+'Predicted PPIs'!X110)))</f>
        <v>2.3319013275714102</v>
      </c>
      <c r="AH111" s="13">
        <f t="shared" si="212"/>
        <v>3.3300878285361497</v>
      </c>
      <c r="AJ111" s="4">
        <f t="shared" si="207"/>
        <v>24.712131516227998</v>
      </c>
      <c r="AK111" s="4">
        <f t="shared" si="191"/>
        <v>-0.54692353084365031</v>
      </c>
      <c r="AL111" s="4">
        <f t="shared" si="192"/>
        <v>-1.8735243893698432</v>
      </c>
      <c r="AM111" s="4">
        <f t="shared" si="193"/>
        <v>-0.29150098287230181</v>
      </c>
      <c r="AN111" s="4">
        <f t="shared" si="176"/>
        <v>32.954596629732087</v>
      </c>
      <c r="AO111" s="4">
        <v>5.7</v>
      </c>
      <c r="AP111" s="4">
        <f t="shared" si="177"/>
        <v>-0.52732620320855617</v>
      </c>
      <c r="AQ111" s="4">
        <f t="shared" si="178"/>
        <v>-0.99689037433155037</v>
      </c>
      <c r="AR111" s="4">
        <f t="shared" si="210"/>
        <v>-3.2930891404770417E-5</v>
      </c>
      <c r="AS111" s="4">
        <f t="shared" si="208"/>
        <v>-6.769267482880266E-2</v>
      </c>
      <c r="AT111" s="4">
        <f t="shared" si="194"/>
        <v>4.0731748792270546</v>
      </c>
      <c r="AU111" s="4">
        <f t="shared" si="195"/>
        <v>6.7069801932367143</v>
      </c>
      <c r="AV111" s="4">
        <f t="shared" si="196"/>
        <v>5.21634541062802</v>
      </c>
      <c r="AW111" s="4">
        <f t="shared" si="197"/>
        <v>2.9168594202898555</v>
      </c>
      <c r="AX111" s="4">
        <f t="shared" si="198"/>
        <v>3.8798197156518341</v>
      </c>
      <c r="AY111" s="4">
        <f t="shared" si="199"/>
        <v>4.5621661835748801</v>
      </c>
      <c r="AZ111" s="4">
        <f t="shared" si="200"/>
        <v>1.5594265700483094</v>
      </c>
      <c r="BA111" s="4">
        <f t="shared" si="201"/>
        <v>4.2243415458937186</v>
      </c>
      <c r="BB111" s="4">
        <f t="shared" si="202"/>
        <v>24.162192337861708</v>
      </c>
      <c r="BC111" s="4">
        <f t="shared" si="203"/>
        <v>3.9596903381642523</v>
      </c>
      <c r="BD111" s="5">
        <f>'[2]Ordinary Experience'!$AD$315</f>
        <v>90.7</v>
      </c>
      <c r="BE111" s="5">
        <f>'[2]Ordinary Experience'!$AC$315</f>
        <v>0.88492549805888654</v>
      </c>
      <c r="BG111" s="4">
        <f t="shared" si="172"/>
        <v>6.2519757355578962</v>
      </c>
      <c r="BI111" s="4">
        <f>BI$13*'[2]Ordinary Experience'!$D$315/'[2]Ordinary Experience'!$D$413</f>
        <v>94917182.354522839</v>
      </c>
      <c r="BJ111" s="4">
        <f>'[2]Ordinary Experience'!$E$315</f>
        <v>32.039774434895641</v>
      </c>
      <c r="BL111" s="4">
        <f t="shared" si="211"/>
        <v>24.454194546212314</v>
      </c>
      <c r="BM111" s="4">
        <f t="shared" si="153"/>
        <v>6.0858852561512577E-2</v>
      </c>
      <c r="BO111" s="4" t="str">
        <f>IF(OR('Summary, hourly ad costs'!R111=-9999,'Summary, PPI''s'!R111="."),".",(('Summary, hourly ad costs'!B111/'Summary, hourly ad costs'!R111)*100/('Summary, hourly ad costs'!B$11/'Summary, hourly ad costs'!R$11))/('Summary, PPI''s'!R111))</f>
        <v>.</v>
      </c>
      <c r="BP111" s="4" t="str">
        <f>IF(OR('Summary, hourly ad costs'!S111=-9999,'Summary, PPI''s'!S111="."),".",(('Summary, hourly ad costs'!C111/'Summary, hourly ad costs'!S111)*100/('Summary, hourly ad costs'!C$11/'Summary, hourly ad costs'!S$11))/('Summary, PPI''s'!S111))</f>
        <v>.</v>
      </c>
      <c r="BQ111" s="4" t="str">
        <f>IF(OR('Summary, hourly ad costs'!T111=-9999,'Summary, PPI''s'!T111="."),".",(('Summary, hourly ad costs'!D111/'Summary, hourly ad costs'!T111)*100/('Summary, hourly ad costs'!D$11/'Summary, hourly ad costs'!T$11))/('Summary, PPI''s'!T111))</f>
        <v>.</v>
      </c>
      <c r="BR111" s="4" t="str">
        <f>IF(OR('Summary, hourly ad costs'!U111=-9999,'Summary, PPI''s'!U111="."),".",(('Summary, hourly ad costs'!E111/'Summary, hourly ad costs'!U111)*100/('Summary, hourly ad costs'!E$11/'Summary, hourly ad costs'!U$11))/('Summary, PPI''s'!U111))</f>
        <v>.</v>
      </c>
      <c r="BS111" s="4" t="str">
        <f>IF(OR('Summary, hourly ad costs'!V111=-9999,'Summary, PPI''s'!V111="."),".",(('Summary, hourly ad costs'!F111/'Summary, hourly ad costs'!V111)*100/('Summary, hourly ad costs'!F$11/'Summary, hourly ad costs'!V$11))/('Summary, PPI''s'!V111))</f>
        <v>.</v>
      </c>
      <c r="BT111" s="4" t="str">
        <f>IF(OR('Summary, hourly ad costs'!W111=-9999,'Summary, PPI''s'!W111="."),".",(('Summary, hourly ad costs'!G111/'Summary, hourly ad costs'!W111)*100/('Summary, hourly ad costs'!G$11/'Summary, hourly ad costs'!W$11))/('Summary, PPI''s'!W111))</f>
        <v>.</v>
      </c>
      <c r="BU111" s="4" t="str">
        <f>IF(OR('Summary, hourly ad costs'!X111=-9999,'Summary, PPI''s'!X111="."),".",(('Summary, hourly ad costs'!H111/'Summary, hourly ad costs'!X111)*100/('Summary, hourly ad costs'!H$11/'Summary, hourly ad costs'!X$11))/('Summary, PPI''s'!X111))</f>
        <v>.</v>
      </c>
      <c r="BV111" s="4" t="str">
        <f>IF(OR('Summary, hourly ad costs'!Y111=-9999,'Summary, PPI''s'!Y111="."),".",(('Summary, hourly ad costs'!I111/'Summary, hourly ad costs'!Y111)*100/('Summary, hourly ad costs'!I$11/'Summary, hourly ad costs'!Y$11))/('Summary, PPI''s'!Y111))</f>
        <v>.</v>
      </c>
      <c r="BW111" s="4" t="str">
        <f>IF(OR('Summary, hourly ad costs'!Z111=-9999,'Summary, PPI''s'!Z111="."),".",(('Summary, hourly ad costs'!J111/'Summary, hourly ad costs'!Z111)*100/('Summary, hourly ad costs'!J$11/'Summary, hourly ad costs'!Z$11))/('Summary, PPI''s'!Z111))</f>
        <v>.</v>
      </c>
      <c r="BX111" s="4" t="str">
        <f>IF(OR('Summary, hourly ad costs'!AA111=-9999,'Summary, PPI''s'!AA111="."),".",(('Summary, hourly ad costs'!K111/'Summary, hourly ad costs'!AA111)*100/('Summary, hourly ad costs'!K$11/'Summary, hourly ad costs'!AA$11))/('Summary, PPI''s'!AA111))</f>
        <v>.</v>
      </c>
      <c r="BY111" s="4" t="str">
        <f>IF(OR('Summary, hourly ad costs'!AB111=-9999,'Summary, PPI''s'!AB111="."),".",(('Summary, hourly ad costs'!L111/'Summary, hourly ad costs'!AB111)*100/('Summary, hourly ad costs'!L$11/'Summary, hourly ad costs'!AB$11))/('Summary, PPI''s'!AB111))</f>
        <v>.</v>
      </c>
      <c r="BZ111" s="4" t="str">
        <f>IF(OR('Summary, hourly ad costs'!AC111=-9999,'Summary, PPI''s'!AC111="."),".",(('Summary, hourly ad costs'!M111/'Summary, hourly ad costs'!AC111)*100/('Summary, hourly ad costs'!M$11/'Summary, hourly ad costs'!AC$11))/('Summary, PPI''s'!AC111))</f>
        <v>.</v>
      </c>
      <c r="CA111" s="4" t="str">
        <f>IF(OR('Summary, hourly ad costs'!AD111=-9999,'Summary, PPI''s'!AD111="."),".",(('Summary, hourly ad costs'!N111/'Summary, hourly ad costs'!AD111)*100/('Summary, hourly ad costs'!N$11/'Summary, hourly ad costs'!AD$11))/('Summary, PPI''s'!AD111))</f>
        <v>.</v>
      </c>
      <c r="CB111" s="4" t="str">
        <f>IF(OR('Summary, hourly ad costs'!AE111=-9999,'Summary, PPI''s'!AE111="."),".",(('Summary, hourly ad costs'!O111/'Summary, hourly ad costs'!AE111)*100/('Summary, hourly ad costs'!O$11/'Summary, hourly ad costs'!AE$11))/('Summary, PPI''s'!AE111))</f>
        <v>.</v>
      </c>
      <c r="CC111" s="4" t="str">
        <f>IF(OR('Summary, hourly ad costs'!AF111=-9999,'Summary, PPI''s'!AF111="."),".",(('Summary, hourly ad costs'!P111/'Summary, hourly ad costs'!AF111)*100/('Summary, hourly ad costs'!P$11/'Summary, hourly ad costs'!AF$11))/('Summary, PPI''s'!AF111))</f>
        <v>.</v>
      </c>
      <c r="CE111" s="4">
        <f t="shared" si="183"/>
        <v>2.564467280730752E-2</v>
      </c>
      <c r="CF111" s="4" t="str">
        <f t="shared" si="184"/>
        <v>.</v>
      </c>
      <c r="CG111" s="4" t="str">
        <f t="shared" si="185"/>
        <v>.</v>
      </c>
      <c r="CH111" s="4">
        <f t="shared" si="145"/>
        <v>5.7423025060423946E-2</v>
      </c>
      <c r="CI111" s="4">
        <f t="shared" si="145"/>
        <v>6.6920924960450517E-2</v>
      </c>
      <c r="CJ111" s="4" t="str">
        <f t="shared" si="209"/>
        <v>.</v>
      </c>
      <c r="CK111" s="4">
        <f t="shared" si="149"/>
        <v>1.0925007545338188E-3</v>
      </c>
      <c r="CL111" s="4">
        <f t="shared" ref="CL111:CM123" si="234">_xlfn.FORECAST.LINEAR($BM111,CL$24:CL$45,$BM$24:$BM$45)</f>
        <v>4.6500208557353963E-2</v>
      </c>
      <c r="CM111" s="4">
        <f t="shared" si="234"/>
        <v>3.5029268632850372E-2</v>
      </c>
      <c r="CN111" s="4">
        <f t="shared" si="204"/>
        <v>3.251225605472341E-2</v>
      </c>
      <c r="CO111" s="4">
        <f t="shared" si="180"/>
        <v>0.39400060655177449</v>
      </c>
      <c r="CP111" s="4">
        <f t="shared" si="180"/>
        <v>2.9737253694248234E-2</v>
      </c>
      <c r="CQ111" s="4" t="str">
        <f t="shared" si="230"/>
        <v>.</v>
      </c>
      <c r="CR111" s="4" t="str">
        <f t="shared" si="231"/>
        <v>.</v>
      </c>
      <c r="CS111" s="4" t="str">
        <f t="shared" si="232"/>
        <v>.</v>
      </c>
      <c r="CU111" s="5">
        <f>IF(CU110=".", ".", IF('Summary, PPI''s'!R111=".",IF(OR('Summary, hourly ad costs'!R111=-9999,'Summary, hourly ad costs'!R111=0), ".", 'Predicted PPIs'!CU110*('Summary, hourly ad costs'!B111/'Summary, hourly ad costs'!R111)/('Summary, hourly ad costs'!B110/'Summary, hourly ad costs'!R110)/(1-CE110)), 'Summary, PPI''s'!R111))</f>
        <v>20.925681131586106</v>
      </c>
      <c r="CV111" s="5" t="str">
        <f>IF(CV110=".", ".", IF('Summary, PPI''s'!S111=".",IF(OR('Summary, hourly ad costs'!S111=-9999,'Summary, hourly ad costs'!S111=0), ".", 'Predicted PPIs'!CV110*('Summary, hourly ad costs'!C111/'Summary, hourly ad costs'!S111)/('Summary, hourly ad costs'!C110/'Summary, hourly ad costs'!S110)/(1-CF110)), 'Summary, PPI''s'!S111))</f>
        <v>.</v>
      </c>
      <c r="CW111" s="5" t="str">
        <f>IF(CW110=".", ".", IF('Summary, PPI''s'!T111=".",IF(OR('Summary, hourly ad costs'!T111=-9999,'Summary, hourly ad costs'!T111=0), ".", 'Predicted PPIs'!CW110*('Summary, hourly ad costs'!D111/'Summary, hourly ad costs'!T111)/('Summary, hourly ad costs'!D110/'Summary, hourly ad costs'!T110)/(1-CG110)), 'Summary, PPI''s'!T111))</f>
        <v>.</v>
      </c>
      <c r="CX111" s="5">
        <f>IF(CX110=".", ".", IF('Summary, PPI''s'!U111=".",IF(OR('Summary, hourly ad costs'!U111=-9999,'Summary, hourly ad costs'!U111=0), ".", 'Predicted PPIs'!CX110*('Summary, hourly ad costs'!E111/'Summary, hourly ad costs'!U111)/('Summary, hourly ad costs'!E110/'Summary, hourly ad costs'!U110)/(1-CH110)), 'Summary, PPI''s'!U111))</f>
        <v>0.96701454275558252</v>
      </c>
      <c r="CY111" s="5">
        <f>IF(CY110=".", ".", IF('Summary, PPI''s'!V111=".",IF(OR('Summary, hourly ad costs'!V111=-9999,'Summary, hourly ad costs'!V111=0), ".", 'Predicted PPIs'!CY110*('Summary, hourly ad costs'!F111/'Summary, hourly ad costs'!V111)/('Summary, hourly ad costs'!F110/'Summary, hourly ad costs'!V110)/(1-CI110)), 'Summary, PPI''s'!V111))</f>
        <v>0.90180838942298713</v>
      </c>
      <c r="CZ111" s="5" t="str">
        <f>IF(CZ110=".", ".", IF('Summary, PPI''s'!W111=".",IF(OR('Summary, hourly ad costs'!W111=-9999,'Summary, hourly ad costs'!W111=0), ".", 'Predicted PPIs'!CZ110*('Summary, hourly ad costs'!G111/'Summary, hourly ad costs'!W111)/('Summary, hourly ad costs'!G110/'Summary, hourly ad costs'!W110)/(1-CJ110)), 'Summary, PPI''s'!W111))</f>
        <v>.</v>
      </c>
      <c r="DA111" s="5">
        <f>IF(DA110=".", ".", IF('Summary, PPI''s'!X111=".",IF(OR('Summary, hourly ad costs'!X111=-9999,'Summary, hourly ad costs'!X111=0), ".", 'Predicted PPIs'!DA110*('Summary, hourly ad costs'!H111/'Summary, hourly ad costs'!X111)/('Summary, hourly ad costs'!H110/'Summary, hourly ad costs'!X110)/(1-CK110)), 'Summary, PPI''s'!X111))</f>
        <v>1.0305267618439236</v>
      </c>
      <c r="DB111" s="5" t="str">
        <f>IF(DB110=".", ".", IF('Summary, PPI''s'!Y111=".",IF(OR('Summary, hourly ad costs'!Y111=-9999,'Summary, hourly ad costs'!Y111=0), ".", 'Predicted PPIs'!DB110*('Summary, hourly ad costs'!I111/'Summary, hourly ad costs'!Y111)/('Summary, hourly ad costs'!I110/'Summary, hourly ad costs'!Y110)/(1-CL110)), 'Summary, PPI''s'!Y111))</f>
        <v>.</v>
      </c>
      <c r="DC111" s="5" t="str">
        <f>IF(DC110=".", ".", IF('Summary, PPI''s'!Z111=".",IF(OR('Summary, hourly ad costs'!Z111=-9999,'Summary, hourly ad costs'!Z111=0), ".", 'Predicted PPIs'!DC110*('Summary, hourly ad costs'!J111/'Summary, hourly ad costs'!Z111)/('Summary, hourly ad costs'!J110/'Summary, hourly ad costs'!Z110)/(1-CM110)), 'Summary, PPI''s'!Z111))</f>
        <v>.</v>
      </c>
      <c r="DD111" s="5" t="str">
        <f>IF(DD110=".", ".", IF('Summary, PPI''s'!AA111=".",IF(OR('Summary, hourly ad costs'!AA111=-9999,'Summary, hourly ad costs'!AA111=0), ".", 'Predicted PPIs'!DD110*('Summary, hourly ad costs'!K111/'Summary, hourly ad costs'!AA111)/('Summary, hourly ad costs'!K110/'Summary, hourly ad costs'!AA110)/(1-CN110)), 'Summary, PPI''s'!AA111))</f>
        <v>.</v>
      </c>
      <c r="DE111" s="5" t="str">
        <f>IF(DE110=".", ".", IF('Summary, PPI''s'!AB111=".",IF(OR('Summary, hourly ad costs'!AB111=-9999,'Summary, hourly ad costs'!AB111=0), ".", 'Predicted PPIs'!DE110*('Summary, hourly ad costs'!L111/'Summary, hourly ad costs'!AB111)/('Summary, hourly ad costs'!L110/'Summary, hourly ad costs'!AB110)/(1-CO110)), 'Summary, PPI''s'!AB111))</f>
        <v>.</v>
      </c>
      <c r="DF111" s="5" t="str">
        <f>IF(DF110=".", ".", IF('Summary, PPI''s'!AC111=".",IF(OR('Summary, hourly ad costs'!AC111=-9999,'Summary, hourly ad costs'!AC111=0), ".", 'Predicted PPIs'!DF110*('Summary, hourly ad costs'!M111/'Summary, hourly ad costs'!AC111)/('Summary, hourly ad costs'!M110/'Summary, hourly ad costs'!AC110)/(1-CP110)), 'Summary, PPI''s'!AC111))</f>
        <v>.</v>
      </c>
      <c r="DG111" s="5" t="str">
        <f>IF(DG110=".", ".", IF('Summary, PPI''s'!AD111=".",IF(OR('Summary, hourly ad costs'!AD111=-9999,'Summary, hourly ad costs'!AD111=0), ".", 'Predicted PPIs'!DG110*('Summary, hourly ad costs'!N111/'Summary, hourly ad costs'!AD111)/('Summary, hourly ad costs'!N110/'Summary, hourly ad costs'!AD110)/(1-CQ110)), 'Summary, PPI''s'!AD111))</f>
        <v>.</v>
      </c>
      <c r="DH111" s="5" t="str">
        <f>IF(DH110=".", ".", IF('Summary, PPI''s'!AE111=".",IF(OR('Summary, hourly ad costs'!AE111=-9999,'Summary, hourly ad costs'!AE111=0), ".", 'Predicted PPIs'!DH110*('Summary, hourly ad costs'!O111/'Summary, hourly ad costs'!AE111)/('Summary, hourly ad costs'!O110/'Summary, hourly ad costs'!AE110)/(1-CR110)), 'Summary, PPI''s'!AE111))</f>
        <v>.</v>
      </c>
      <c r="DI111" s="5" t="str">
        <f>IF(DI110=".", ".", IF('Summary, PPI''s'!AF111=".",IF(OR('Summary, hourly ad costs'!AF111=-9999,'Summary, hourly ad costs'!AF111=0), ".", 'Predicted PPIs'!DI110*('Summary, hourly ad costs'!P111/'Summary, hourly ad costs'!AF111)/('Summary, hourly ad costs'!P110/'Summary, hourly ad costs'!AF110)/(1-CS110)), 'Summary, PPI''s'!AF111))</f>
        <v>.</v>
      </c>
      <c r="DK111" s="4">
        <f t="shared" si="205"/>
        <v>1.1315670175438595</v>
      </c>
      <c r="DM111" s="5">
        <f t="shared" si="186"/>
        <v>-5.3051083773635654E-2</v>
      </c>
      <c r="DN111" s="4">
        <f t="shared" si="187"/>
        <v>-3.1437348665589331E-2</v>
      </c>
      <c r="DO111" s="4">
        <f t="shared" si="233"/>
        <v>-2.2424690395550416E-2</v>
      </c>
      <c r="DP111" s="5">
        <f t="shared" si="188"/>
        <v>-7.1091532329035201E-2</v>
      </c>
      <c r="DQ111" s="5">
        <f t="shared" si="189"/>
        <v>-7.2771253497110555E-2</v>
      </c>
      <c r="DR111" s="4">
        <f t="shared" si="146"/>
        <v>-2.8649263019124051E-3</v>
      </c>
      <c r="DS111" s="5">
        <f t="shared" si="190"/>
        <v>-5.2565241432410703E-2</v>
      </c>
      <c r="DT111" s="4">
        <f t="shared" si="206"/>
        <v>-3.3325796007927927E-2</v>
      </c>
      <c r="DU111" s="4">
        <f t="shared" si="171"/>
        <v>-6.7172959471304937E-3</v>
      </c>
      <c r="DV111" s="4">
        <f t="shared" ref="DV111:DV122" si="235">_xlfn.FORECAST.LINEAR($BM111,DV$4:DV$45,$BM$4:$BM$45)</f>
        <v>-1.4186065541850839E-3</v>
      </c>
      <c r="DW111" s="4">
        <f t="shared" si="182"/>
        <v>-0.19457125544409154</v>
      </c>
      <c r="DX111" s="4">
        <f t="shared" si="182"/>
        <v>0.18510301754910491</v>
      </c>
      <c r="DY111" s="4">
        <f t="shared" si="228"/>
        <v>-1.2350084741891166E-2</v>
      </c>
      <c r="DZ111" s="4">
        <f t="shared" ref="DZ111:DZ122" si="236">_xlfn.FORECAST.LINEAR($BM111,DZ$4:DZ$45,$BM$4:$BM$45)</f>
        <v>-5.2663525348401845E-3</v>
      </c>
      <c r="EA111" s="4">
        <f t="shared" si="229"/>
        <v>-7.1028576301889173E-3</v>
      </c>
      <c r="EC111" s="1">
        <f t="shared" si="213"/>
        <v>20.925681131586106</v>
      </c>
      <c r="ED111" s="1">
        <f t="shared" si="214"/>
        <v>1.1888595140237896</v>
      </c>
      <c r="EE111" s="1">
        <f t="shared" si="215"/>
        <v>0.63764205019224629</v>
      </c>
      <c r="EF111" s="1">
        <f t="shared" si="216"/>
        <v>0.96701454275558252</v>
      </c>
      <c r="EG111" s="1">
        <f t="shared" si="217"/>
        <v>0.90180838942298713</v>
      </c>
      <c r="EH111" s="1">
        <f t="shared" si="218"/>
        <v>0.92350695882773082</v>
      </c>
      <c r="EI111" s="1">
        <f t="shared" si="219"/>
        <v>1.0305267618439236</v>
      </c>
      <c r="EJ111" s="1">
        <f t="shared" si="220"/>
        <v>1.7281188019487865</v>
      </c>
      <c r="EK111" s="1">
        <f t="shared" si="221"/>
        <v>2.0225514431999954</v>
      </c>
      <c r="EL111" s="1">
        <f t="shared" si="222"/>
        <v>0.94151169166503745</v>
      </c>
      <c r="EM111" s="1">
        <f t="shared" si="223"/>
        <v>6.96534504947285E-2</v>
      </c>
      <c r="EN111" s="1">
        <f t="shared" si="224"/>
        <v>0.29290920924376418</v>
      </c>
      <c r="EO111" s="1">
        <f t="shared" si="225"/>
        <v>0.47069675161085417</v>
      </c>
      <c r="EP111" s="1">
        <f t="shared" si="226"/>
        <v>0.86259062674260067</v>
      </c>
      <c r="EQ111" s="1">
        <f t="shared" si="227"/>
        <v>0.69668415570199493</v>
      </c>
      <c r="ES111" s="1">
        <f>IF(EF$26=".", 0, 'Summary, PPI''s'!E111)+IF(EG$26=".", 0, 'Summary, PPI''s'!F111)+IF(EH$26=".", 0, 'Summary, PPI''s'!G111)+IF(EI$26=".", 0, 'Summary, PPI''s'!H111)+IF(EJ$26=".", 0, 'Summary, PPI''s'!I111)+IF(EK$26=".", 0, 'Summary, PPI''s'!J111)+IF(EL$26=".", 0, 'Summary, PPI''s'!K111)+IF(EM$26=".", 0, 'Summary, PPI''s'!L111)+IF(EN$26=".", 0, 'Summary, PPI''s'!M111)+IF(EC$26=".", 0, 'Summary, PPI''s'!B111)+IF(ED$26=".", 0, 'Summary, PPI''s'!C111)+IF(EE$26=".", 0, 'Summary, PPI''s'!D111)+IF(EO$26=".", 0, 'Summary, PPI''s'!N111)+IF(EP$26=".", 0, 'Summary, PPI''s'!O111)+IF(EQ$26=".", 0, 'Summary, PPI''s'!P111)</f>
        <v>742904.14674202888</v>
      </c>
      <c r="ET111" s="1">
        <f>'Summary, hourly ad costs'!E111+'Summary, hourly ad costs'!F111+'Summary, hourly ad costs'!H111+'Summary, hourly ad costs'!I111+'Summary, hourly ad costs'!J111+'Summary, hourly ad costs'!K111+'Summary, hourly ad costs'!L111+'Summary, hourly ad costs'!M111+'Summary, hourly ad costs'!B111</f>
        <v>451495.49424941459</v>
      </c>
      <c r="EV111" s="13">
        <f>EV110*IF(EF$26=".", 1, (EF111/EF110)^(('Summary, PPI''s'!$E111+'Summary, PPI''s'!$E110)/('Predicted PPIs'!ES111+'Predicted PPIs'!ES110)))*IF(EG$26=".", 1, (EG111/EG110)^(('Summary, PPI''s'!$F111+'Summary, PPI''s'!$F110)/('Predicted PPIs'!ES111+'Predicted PPIs'!ES110)))*IF(EH$26=".", 1, (EH111/EH110)^(('Summary, PPI''s'!$G111+'Summary, PPI''s'!$G110)/('Predicted PPIs'!ES111+'Predicted PPIs'!ES110)))*IF(EI$26=".", 1, (EI111/EI110)^(('Summary, PPI''s'!$H111+'Summary, PPI''s'!$H110)/('Predicted PPIs'!ES111+'Predicted PPIs'!ES110)))*IF(EJ$26=".", 1, (EJ111/EJ110)^(('Summary, PPI''s'!$I111+'Summary, PPI''s'!$I110)/('Predicted PPIs'!ES111+'Predicted PPIs'!ES110)))*IF(EK$26=".", 1, (EK111/EK110)^(('Summary, PPI''s'!$J111+'Summary, PPI''s'!$J110)/('Predicted PPIs'!ES111+'Predicted PPIs'!ES110)))*IF(EL$26=".", 1, (EL111/EL110)^(('Summary, PPI''s'!$K111+'Summary, PPI''s'!$K110)/('Predicted PPIs'!ES111+'Predicted PPIs'!ES110)))*IF(EM$26=".", 1, (EM111/EM110)^(('Summary, PPI''s'!$L111+'Summary, PPI''s'!$L110)/('Predicted PPIs'!ES111+'Predicted PPIs'!ES110)))*IF(EN$26=".", 1, (EN111/EN110)^(('Summary, PPI''s'!$M111+'Summary, PPI''s'!$M110)/('Predicted PPIs'!ES111+'Predicted PPIs'!ES110)))*IF(EC$26=".", 1, (EC111/EC110)^(('Summary, PPI''s'!$B111+'Summary, PPI''s'!$B110)/('Predicted PPIs'!ES111+'Predicted PPIs'!ES110)))*IF(ED$26=".", 1, (ED111/ED110)^(('Summary, PPI''s'!$C111+'Summary, PPI''s'!$C110)/('Predicted PPIs'!ES111+'Predicted PPIs'!ES110)))*IF(EE$26=".", 1, (EE111/EE110)^(('Summary, PPI''s'!$D111+'Summary, PPI''s'!$D110)/('Predicted PPIs'!ES111+'Predicted PPIs'!ES110)))*IF(EO$26=".", 1, (EO111/EO110)^(('Summary, PPI''s'!$N111+'Summary, PPI''s'!$N110)/('Predicted PPIs'!ES111+'Predicted PPIs'!ES110)))*IF(EP$26=".", 1, (EP111/EP110)^(('Summary, PPI''s'!$O111+'Summary, PPI''s'!$O110)/('Predicted PPIs'!ES111+'Predicted PPIs'!ES110)))*IF(EQ$26=".", 1, (EQ111/EQ110)^(('Summary, PPI''s'!$P111+'Summary, PPI''s'!$P110)/('Predicted PPIs'!ES111+'Predicted PPIs'!ES110)))</f>
        <v>1.5907769683789457</v>
      </c>
      <c r="EW111" s="13">
        <f>EW110*IF(EF$26=".", 1, (EF111/EF110)^(('Summary, PPI''s'!$E111+'Summary, PPI''s'!$E110)/('Predicted PPIs'!ET111+'Predicted PPIs'!ET110)))*IF(EG$26=".", 1, (EG111/EG110)^(('Summary, PPI''s'!$F111+'Summary, PPI''s'!$F110)/('Predicted PPIs'!ET111+'Predicted PPIs'!ET110)))*IF(EH$26=".", 1, (EH111/EH110)^(('Summary, PPI''s'!$G111+'Summary, PPI''s'!$G110)/('Predicted PPIs'!ET111+'Predicted PPIs'!ET110)))*IF(EK$26=".", 1, (EK111/EK110)^(('Summary, PPI''s'!$J111+'Summary, PPI''s'!$J110)/('Predicted PPIs'!ET111+'Predicted PPIs'!ET110)))*IF(EL$26=".", 1, (EL111/EL110)^(('Summary, PPI''s'!$K111+'Summary, PPI''s'!$K110)/('Predicted PPIs'!ET111+'Predicted PPIs'!ET110)))*IF(EM$26=".", 1, (EM111/EM110)^(('Summary, PPI''s'!$L111+'Summary, PPI''s'!$L110)/('Predicted PPIs'!ET111+'Predicted PPIs'!ET110)))*IF(EN$26=".", 1, (EN111/EN110)^(('Summary, PPI''s'!$M111+'Summary, PPI''s'!$M110)/('Predicted PPIs'!ET111+'Predicted PPIs'!ET110)))*IF(EC$26=".", 1, (EC111/EC110)^(('Summary, PPI''s'!$B111+'Summary, PPI''s'!$B110)/('Predicted PPIs'!ET111+'Predicted PPIs'!ET110)))</f>
        <v>3.2231394049931117</v>
      </c>
      <c r="EY111" s="2"/>
    </row>
    <row r="112" spans="1:155" x14ac:dyDescent="0.3">
      <c r="A112" s="4">
        <v>1911</v>
      </c>
      <c r="B112" s="10">
        <f>IF(B111=".", ".", IF('Summary, PPI''s'!R112=".",IF(OR('Summary, hourly ad costs'!R112=-9999,'Summary, hourly ad costs'!R112=0), ".", 'Predicted PPIs'!B111*('Summary, hourly ad costs'!B112/'Summary, hourly ad costs'!R112)/('Summary, hourly ad costs'!B111/'Summary, hourly ad costs'!R111)), 'Summary, PPI''s'!R112))</f>
        <v>53.648067595919159</v>
      </c>
      <c r="C112" s="10" t="str">
        <f>IF(C111=".", ".", IF('Summary, PPI''s'!S112=".",IF(OR('Summary, hourly ad costs'!S112=-9999,'Summary, hourly ad costs'!S112=0), ".", 'Predicted PPIs'!C111*('Summary, hourly ad costs'!C112/'Summary, hourly ad costs'!S112)/('Summary, hourly ad costs'!C111/'Summary, hourly ad costs'!S111)), 'Summary, PPI''s'!S112))</f>
        <v>.</v>
      </c>
      <c r="D112" s="10" t="str">
        <f>IF(D111=".", ".", IF('Summary, PPI''s'!T112=".",IF(OR('Summary, hourly ad costs'!T112=-9999,'Summary, hourly ad costs'!T112=0), ".", 'Predicted PPIs'!D111*('Summary, hourly ad costs'!D112/'Summary, hourly ad costs'!T112)/('Summary, hourly ad costs'!D111/'Summary, hourly ad costs'!T111)), 'Summary, PPI''s'!T112))</f>
        <v>.</v>
      </c>
      <c r="E112" s="10">
        <f>IF(E111=".", ".", IF('Summary, PPI''s'!U112=".",IF(OR('Summary, hourly ad costs'!U112=-9999,'Summary, hourly ad costs'!U112=0), ".", 'Predicted PPIs'!E111*('Summary, hourly ad costs'!E112/'Summary, hourly ad costs'!U112)/('Summary, hourly ad costs'!E111/'Summary, hourly ad costs'!U111)), 'Summary, PPI''s'!U112))</f>
        <v>1.0701545903265199</v>
      </c>
      <c r="F112" s="10">
        <f>IF(F111=".", ".", IF('Summary, PPI''s'!V112=".",IF(OR('Summary, hourly ad costs'!V112=-9999,'Summary, hourly ad costs'!V112=0), ".", 'Predicted PPIs'!F111*('Summary, hourly ad costs'!F112/'Summary, hourly ad costs'!V112)/('Summary, hourly ad costs'!F111/'Summary, hourly ad costs'!V111)), 'Summary, PPI''s'!V112))</f>
        <v>0.90085889282785081</v>
      </c>
      <c r="G112" s="10" t="str">
        <f>IF(G111=".", ".", IF('Summary, PPI''s'!W112=".",IF(OR('Summary, hourly ad costs'!W112=-9999,'Summary, hourly ad costs'!W112=0), ".", 'Predicted PPIs'!G111*('Summary, hourly ad costs'!G112/'Summary, hourly ad costs'!W112)/('Summary, hourly ad costs'!G111/'Summary, hourly ad costs'!W111)), 'Summary, PPI''s'!W112))</f>
        <v>.</v>
      </c>
      <c r="H112" s="10">
        <f>IF(H111=".", ".", IF('Summary, PPI''s'!X112=".",IF(OR('Summary, hourly ad costs'!X112=-9999,'Summary, hourly ad costs'!X112=0), ".", 'Predicted PPIs'!H111*('Summary, hourly ad costs'!H112/'Summary, hourly ad costs'!X112)/('Summary, hourly ad costs'!H111/'Summary, hourly ad costs'!X111)), 'Summary, PPI''s'!X112))</f>
        <v>0.88543414034435797</v>
      </c>
      <c r="I112" s="10" t="str">
        <f>IF(I111=".", ".", IF('Summary, PPI''s'!Y112=".",IF(OR('Summary, hourly ad costs'!Y112=-9999,'Summary, hourly ad costs'!Y112=0), ".", 'Predicted PPIs'!I111*('Summary, hourly ad costs'!I112/'Summary, hourly ad costs'!Y112)/('Summary, hourly ad costs'!I111/'Summary, hourly ad costs'!Y111)), 'Summary, PPI''s'!Y112))</f>
        <v>.</v>
      </c>
      <c r="J112" s="10" t="str">
        <f>IF(J111=".", ".", IF('Summary, PPI''s'!Z112=".",IF(OR('Summary, hourly ad costs'!Z112=-9999,'Summary, hourly ad costs'!Z112=0), ".", 'Predicted PPIs'!J111*('Summary, hourly ad costs'!J112/'Summary, hourly ad costs'!Z112)/('Summary, hourly ad costs'!J111/'Summary, hourly ad costs'!Z111)), 'Summary, PPI''s'!Z112))</f>
        <v>.</v>
      </c>
      <c r="K112" s="10" t="str">
        <f>IF(K111=".", ".", IF('Summary, PPI''s'!AA112=".",IF(OR('Summary, hourly ad costs'!AA112=-9999,'Summary, hourly ad costs'!AA112=0), ".", 'Predicted PPIs'!K111*('Summary, hourly ad costs'!K112/'Summary, hourly ad costs'!AA112)/('Summary, hourly ad costs'!K111/'Summary, hourly ad costs'!AA111)), 'Summary, PPI''s'!AA112))</f>
        <v>.</v>
      </c>
      <c r="L112" s="10" t="str">
        <f>IF(L111=".", ".", IF('Summary, PPI''s'!AB112=".",IF(OR('Summary, hourly ad costs'!AB112=-9999,'Summary, hourly ad costs'!AB112=0), ".", 'Predicted PPIs'!L111*('Summary, hourly ad costs'!L112/'Summary, hourly ad costs'!AB112)/('Summary, hourly ad costs'!L111/'Summary, hourly ad costs'!AB111)), 'Summary, PPI''s'!AB112))</f>
        <v>.</v>
      </c>
      <c r="M112" s="10" t="str">
        <f>IF(M111=".", ".", IF('Summary, PPI''s'!AC112=".",IF(OR('Summary, hourly ad costs'!AC112=-9999,'Summary, hourly ad costs'!AC112=0), ".", 'Predicted PPIs'!M111*('Summary, hourly ad costs'!M112/'Summary, hourly ad costs'!AC112)/('Summary, hourly ad costs'!M111/'Summary, hourly ad costs'!AC111)), 'Summary, PPI''s'!AC112))</f>
        <v>.</v>
      </c>
      <c r="N112" s="10" t="str">
        <f>IF(N111=".", ".", IF('Summary, PPI''s'!AD112=".",IF(OR('Summary, hourly ad costs'!AD112=-9999,'Summary, hourly ad costs'!AD112=0), ".", 'Predicted PPIs'!N111*('Summary, hourly ad costs'!N112/'Summary, hourly ad costs'!AD112)/('Summary, hourly ad costs'!N111/'Summary, hourly ad costs'!AD111)), 'Summary, PPI''s'!AD112))</f>
        <v>.</v>
      </c>
      <c r="O112" s="10" t="str">
        <f>IF(O111=".", ".", IF('Summary, PPI''s'!AE112=".",IF(OR('Summary, hourly ad costs'!AE112=-9999,'Summary, hourly ad costs'!AE112=0), ".", 'Predicted PPIs'!O111*('Summary, hourly ad costs'!O112/'Summary, hourly ad costs'!AE112)/('Summary, hourly ad costs'!O111/'Summary, hourly ad costs'!AE111)), 'Summary, PPI''s'!AE112))</f>
        <v>.</v>
      </c>
      <c r="P112" s="10" t="str">
        <f>IF(P111=".", ".", IF('Summary, PPI''s'!AF112=".",IF(OR('Summary, hourly ad costs'!AF112=-9999,'Summary, hourly ad costs'!AF112=0), ".", 'Predicted PPIs'!P111*('Summary, hourly ad costs'!P112/'Summary, hourly ad costs'!AF112)/('Summary, hourly ad costs'!P111/'Summary, hourly ad costs'!AF111)), 'Summary, PPI''s'!AF112))</f>
        <v>.</v>
      </c>
      <c r="R112" s="1">
        <f>IF(E$26=".", 0, 'Summary, PPI''s'!E112)+IF(F$26=".", 0, 'Summary, PPI''s'!F112)+IF(G$26=".", 0, 'Summary, PPI''s'!G112)+IF(H$26=".", 0, 'Summary, PPI''s'!H112)+IF(I$26=".", 0, 'Summary, PPI''s'!I112)+IF(J$26=".", 0, 'Summary, PPI''s'!J112)+IF(K$26=".", 0, 'Summary, PPI''s'!K112)+IF(L$26=".", 0, 'Summary, PPI''s'!L112)+IF(M$26=".", 0, 'Summary, PPI''s'!M112)+IF(B$26=".", 0, 'Summary, PPI''s'!B112)+IF(C$26=".", 0, 'Summary, PPI''s'!C112)+IF(D$26=".", 0, 'Summary, PPI''s'!D112)+IF(N$26=".", 0, 'Summary, PPI''s'!N112)+IF(O$26=".", 0, 'Summary, PPI''s'!O112)+IF(P$26=".", 0, 'Summary, PPI''s'!P112)</f>
        <v>721767.19900433614</v>
      </c>
      <c r="S112" s="1">
        <f>IF(E$36=".", 0, 'Summary, PPI''s'!E112)+IF(F$36=".", 0, 'Summary, PPI''s'!F112)+IF(G$36=".", 0, 'Summary, PPI''s'!G112)+IF(H$36=".", 0, 'Summary, PPI''s'!H112)+IF(I$36=".", 0, 'Summary, PPI''s'!I112)+IF(J$36=".", 0, 'Summary, PPI''s'!J112)+IF(K$36=".", 0, 'Summary, PPI''s'!K112)+IF(L$36=".", 0, 'Summary, PPI''s'!L112)+IF(M$36=".", 0, 'Summary, PPI''s'!M112)+IF(B$36=".", 0, 'Summary, PPI''s'!B112)+IF(C$36=".", 0, 'Summary, PPI''s'!C112)+IF(D$36=".", 0, 'Summary, PPI''s'!D112)+IF(N$36=".", 0, 'Summary, PPI''s'!N112)+IF(O$36=".", 0, 'Summary, PPI''s'!O112)+IF(P$36=".", 0, 'Summary, PPI''s'!P112)</f>
        <v>721767.19900433614</v>
      </c>
      <c r="T112" s="1">
        <f>IF(E$46=".", 0, 'Summary, PPI''s'!E112)+IF(F$46=".", 0, 'Summary, PPI''s'!F112)+IF(G$46=".", 0, 'Summary, PPI''s'!G112)+IF(H$46=".", 0, 'Summary, PPI''s'!H112)+IF(I$46=".", 0, 'Summary, PPI''s'!I112)+IF(J$46=".", 0, 'Summary, PPI''s'!J112)+IF(K$46=".", 0, 'Summary, PPI''s'!K112)+IF(L$46=".", 0, 'Summary, PPI''s'!L112)+IF(M$46=".", 0, 'Summary, PPI''s'!M112)+IF(B$46=".", 0, 'Summary, PPI''s'!B112)+IF(C$46=".", 0, 'Summary, PPI''s'!C112)+IF(D$46=".", 0, 'Summary, PPI''s'!D112)+IF(N$46=".", 0, 'Summary, PPI''s'!N112)+IF(O$46=".", 0, 'Summary, PPI''s'!O112)+IF(P$46=".", 0, 'Summary, PPI''s'!P112)</f>
        <v>651119.36103453021</v>
      </c>
      <c r="U112" s="1">
        <f>IF(E$60=".", 0, 'Summary, PPI''s'!E112)+IF(F$60=".", 0, 'Summary, PPI''s'!F112)+IF(G$60=".", 0, 'Summary, PPI''s'!G112)+IF(H$60=".", 0, 'Summary, PPI''s'!H112)+IF(I$60=".", 0, 'Summary, PPI''s'!I112)+IF(J$60=".", 0, 'Summary, PPI''s'!J112)+IF(K$60=".", 0, 'Summary, PPI''s'!K112)+IF(L$60=".", 0, 'Summary, PPI''s'!L112)+IF(M$60=".", 0, 'Summary, PPI''s'!M112)+IF(B$60=".", 0, 'Summary, PPI''s'!B112)+IF(C$60=".", 0, 'Summary, PPI''s'!C112)+IF(D$60=".", 0, 'Summary, PPI''s'!D112)+IF(N$60=".", 0, 'Summary, PPI''s'!N112)+IF(O$60=".", 0, 'Summary, PPI''s'!O112)+IF(P$60=".", 0, 'Summary, PPI''s'!P112)</f>
        <v>622610.86459031305</v>
      </c>
      <c r="V112" s="1">
        <f>IF(E$73=".", 0, 'Summary, PPI''s'!E112)+IF(F$73=".", 0, 'Summary, PPI''s'!F112)+IF(G$73=".", 0, 'Summary, PPI''s'!G112)+IF(H$73=".", 0, 'Summary, PPI''s'!H112)+IF(I$73=".", 0, 'Summary, PPI''s'!I112)+IF(J$73=".", 0, 'Summary, PPI''s'!J112)+IF(K$73=".", 0, 'Summary, PPI''s'!K112)+IF(L$73=".", 0, 'Summary, PPI''s'!L112)+IF(M$73=".", 0, 'Summary, PPI''s'!M112)+IF(B$73=".", 0, 'Summary, PPI''s'!B112)+IF(C$73=".", 0, 'Summary, PPI''s'!C112)+IF(D$73=".", 0, 'Summary, PPI''s'!D112)+IF(N$73=".", 0, 'Summary, PPI''s'!N112)+IF(O$73=".", 0, 'Summary, PPI''s'!O112)+IF(P$73=".", 0, 'Summary, PPI''s'!P112)</f>
        <v>438137.20186043018</v>
      </c>
      <c r="W112" s="1">
        <f>IF(E$94=".",0,'Summary, PPI''s'!E112)+IF(F$94=".",0,'Summary, PPI''s'!F112)+IF(G$94=".",0,'Summary, PPI''s'!G112)+IF(H$94=".",0,'Summary, PPI''s'!H112)+IF(I$94=".",0,'Summary, PPI''s'!I112)+IF(J$94=".",0,'Summary, PPI''s'!J112)+IF(K$94=".",0,'Summary, PPI''s'!K112)+IF(L$94=".",0,'Summary, PPI''s'!L112)+IF(M$94=".",0,'Summary, PPI''s'!M112)+IF(B$94=".",0,'Summary, PPI''s'!B112)+IF(C$94=".",0,'Summary, PPI''s'!C112)+IF(D$94=".",0,'Summary, PPI''s'!D112)+IF(N$94=".",0,'Summary, PPI''s'!N112)+IF(O$94=".",0,'Summary, PPI''s'!O112)+IF(P$94=".",0,'Summary, PPI''s'!P112)</f>
        <v>438137.20186043018</v>
      </c>
      <c r="X112" s="1">
        <f>IF(E$123=".", 0, 'Summary, PPI''s'!E112)+IF(F$123=".", 0, 'Summary, PPI''s'!F112)+IF(G$123=".", 0, 'Summary, PPI''s'!G112)+IF(H$123=".", 0, 'Summary, PPI''s'!H112)+IF(I$123=".", 0, 'Summary, PPI''s'!I112)+IF(J$123=".", 0, 'Summary, PPI''s'!J112)+IF(K$123=".", 0, 'Summary, PPI''s'!K112)+IF(L$123=".", 0, 'Summary, PPI''s'!L112)+IF(M$123=".", 0, 'Summary, PPI''s'!M112)+IF(B$123=".", 0, 'Summary, PPI''s'!B112)+IF(C$123=".", 0, 'Summary, PPI''s'!C112)+IF(D$123=".", 0, 'Summary, PPI''s'!D112)+IF(N$123=".", 0, 'Summary, PPI''s'!N112)+IF(O$123=".", 0, 'Summary, PPI''s'!O112)+IF(P$123=".", 0, 'Summary, PPI''s'!P112)</f>
        <v>438137.20186043018</v>
      </c>
      <c r="Z112" s="4" t="e">
        <f>Z111*IF(E$26=".", 1, (E112/E111)^(('Summary, PPI''s'!$E112+'Summary, PPI''s'!$E111)/('Predicted PPIs'!R112+'Predicted PPIs'!R111)))*IF(F$26=".", 1, (F112/F111)^(('Summary, PPI''s'!$F112+'Summary, PPI''s'!$F111)/('Predicted PPIs'!R112+'Predicted PPIs'!R111)))*IF(G$26=".", 1, (G112/G111)^(('Summary, PPI''s'!$G112+'Summary, PPI''s'!$G111)/('Predicted PPIs'!R112+'Predicted PPIs'!R111)))*IF(H$26=".", 1, (H112/H111)^(('Summary, PPI''s'!$H112+'Summary, PPI''s'!$H111)/('Predicted PPIs'!R112+'Predicted PPIs'!R111)))*IF(I$26=".", 1, (I112/I111)^(('Summary, PPI''s'!$I112+'Summary, PPI''s'!$I111)/('Predicted PPIs'!R112+'Predicted PPIs'!R111)))*IF(J$26=".", 1, (J112/J111)^(('Summary, PPI''s'!$J112+'Summary, PPI''s'!$J111)/('Predicted PPIs'!R112+'Predicted PPIs'!R111)))*IF(K$26=".", 1, (K112/K111)^(('Summary, PPI''s'!$K112+'Summary, PPI''s'!$K111)/('Predicted PPIs'!R112+'Predicted PPIs'!R111)))*IF(L$26=".", 1, (L112/L111)^(('Summary, PPI''s'!$L112+'Summary, PPI''s'!$L111)/('Predicted PPIs'!R112+'Predicted PPIs'!R111)))*IF(M$26=".", 1, (M112/M111)^(('Summary, PPI''s'!$M112+'Summary, PPI''s'!$M111)/('Predicted PPIs'!R112+'Predicted PPIs'!R111)))*IF(B$26=".", 1, (B112/B111)^(('Summary, PPI''s'!$B112+'Summary, PPI''s'!$B111)/('Predicted PPIs'!R112+'Predicted PPIs'!R111)))*IF(C$26=".", 1, (C112/C111)^(('Summary, PPI''s'!$C112+'Summary, PPI''s'!$C111)/('Predicted PPIs'!R112+'Predicted PPIs'!R111)))*IF(D$26=".", 1, (D112/D111)^(('Summary, PPI''s'!$D112+'Summary, PPI''s'!$D111)/('Predicted PPIs'!R112+'Predicted PPIs'!R111)))*IF(N$26=".", 1, (N112/N111)^(('Summary, PPI''s'!$N112+'Summary, PPI''s'!$N111)/('Predicted PPIs'!R112+'Predicted PPIs'!R111)))*IF(O$26=".", 1, (O112/O111)^(('Summary, PPI''s'!$O112+'Summary, PPI''s'!$O111)/('Predicted PPIs'!R112+'Predicted PPIs'!R111)))*IF(P$26=".", 1, (P112/P111)^(('Summary, PPI''s'!$P112+'Summary, PPI''s'!$P111)/('Predicted PPIs'!R112+'Predicted PPIs'!R111)))</f>
        <v>#VALUE!</v>
      </c>
      <c r="AA112" s="4" t="e">
        <f>AA111*IF(E$36=".", 1, (E112/E111)^(('Summary, PPI''s'!$E112+'Summary, PPI''s'!$E111)/('Predicted PPIs'!S112+'Predicted PPIs'!S111)))*IF(F$36=".", 1, (F112/F111)^(('Summary, PPI''s'!$F112+'Summary, PPI''s'!$F111)/('Predicted PPIs'!S112+'Predicted PPIs'!S111)))*IF(G$36=".", 1, (G112/G111)^(('Summary, PPI''s'!$G112+'Summary, PPI''s'!$G111)/('Predicted PPIs'!S112+'Predicted PPIs'!S111)))*IF(H$36=".", 1, (H112/H111)^(('Summary, PPI''s'!$H112+'Summary, PPI''s'!$H111)/('Predicted PPIs'!S112+'Predicted PPIs'!S111)))*IF(I$36=".", 1, (I112/I111)^(('Summary, PPI''s'!$I112+'Summary, PPI''s'!$I111)/('Predicted PPIs'!S112+'Predicted PPIs'!S111)))*IF(J$36=".", 1, (J112/J111)^(('Summary, PPI''s'!$J112+'Summary, PPI''s'!$J111)/('Predicted PPIs'!S112+'Predicted PPIs'!S111)))*IF(K$36=".", 1, (K112/K111)^(('Summary, PPI''s'!$K112+'Summary, PPI''s'!$K111)/('Predicted PPIs'!S112+'Predicted PPIs'!S111)))*IF(L$36=".", 1, (L112/L111)^(('Summary, PPI''s'!$L112+'Summary, PPI''s'!$L111)/('Predicted PPIs'!S112+'Predicted PPIs'!S111)))*IF(M$36=".", 1, (M112/M111)^(('Summary, PPI''s'!$M112+'Summary, PPI''s'!$M111)/('Predicted PPIs'!S112+'Predicted PPIs'!S111)))*IF(B$36=".", 1, (B112/B111)^(('Summary, PPI''s'!$B112+'Summary, PPI''s'!$B111)/('Predicted PPIs'!S112+'Predicted PPIs'!S111)))*IF(C$36=".", 1, (C112/C111)^(('Summary, PPI''s'!$C112+'Summary, PPI''s'!$C111)/('Predicted PPIs'!S112+'Predicted PPIs'!S111)))*IF(D$36=".", 1, (D112/D111)^(('Summary, PPI''s'!$D112+'Summary, PPI''s'!$D111)/('Predicted PPIs'!S112+'Predicted PPIs'!S111)))*IF(N$36=".", 1, (N112/N111)^(('Summary, PPI''s'!$N112+'Summary, PPI''s'!$N111)/('Predicted PPIs'!S112+'Predicted PPIs'!S111)))*IF(O$36=".", 1, (O112/O111)^(('Summary, PPI''s'!$O112+'Summary, PPI''s'!$O111)/('Predicted PPIs'!S112+'Predicted PPIs'!S111)))*IF(P$36=".", 1, (P112/P111)^(('Summary, PPI''s'!$P112+'Summary, PPI''s'!$P111)/('Predicted PPIs'!S112+'Predicted PPIs'!S111)))</f>
        <v>#VALUE!</v>
      </c>
      <c r="AB112" s="4" t="e">
        <f>AB111*IF(E$46=".", 1, (E112/E111)^(('Summary, PPI''s'!$E112+'Summary, PPI''s'!$E111)/('Predicted PPIs'!T112+'Predicted PPIs'!T111)))*IF(F$46=".", 1, (F112/F111)^(('Summary, PPI''s'!$F112+'Summary, PPI''s'!$F111)/('Predicted PPIs'!T112+'Predicted PPIs'!T111)))*IF(G$46=".", 1, (G112/G111)^(('Summary, PPI''s'!$G112+'Summary, PPI''s'!$G111)/('Predicted PPIs'!T112+'Predicted PPIs'!T111)))*IF(H$46=".", 1, (H112/H111)^(('Summary, PPI''s'!$H112+'Summary, PPI''s'!$H111)/('Predicted PPIs'!T112+'Predicted PPIs'!T111)))*IF(I$46=".", 1, (I112/I111)^(('Summary, PPI''s'!$I112+'Summary, PPI''s'!$I111)/('Predicted PPIs'!T112+'Predicted PPIs'!T111)))*IF(J$46=".", 1, (J112/J111)^(('Summary, PPI''s'!$J112+'Summary, PPI''s'!$J111)/('Predicted PPIs'!T112+'Predicted PPIs'!T111)))*IF(K$46=".", 1, (K112/K111)^(('Summary, PPI''s'!$K112+'Summary, PPI''s'!$K111)/('Predicted PPIs'!T112+'Predicted PPIs'!T111)))*IF(L$46=".", 1, (L112/L111)^(('Summary, PPI''s'!$L112+'Summary, PPI''s'!$L111)/('Predicted PPIs'!T112+'Predicted PPIs'!T111)))*IF(M$46=".", 1, (M112/M111)^(('Summary, PPI''s'!$M112+'Summary, PPI''s'!$M111)/('Predicted PPIs'!T112+'Predicted PPIs'!T111)))*IF(B$46=".", 1, (B112/B111)^(('Summary, PPI''s'!$B112+'Summary, PPI''s'!$B111)/('Predicted PPIs'!T112+'Predicted PPIs'!T111)))*IF(C$46=".", 1, (C112/C111)^(('Summary, PPI''s'!$C112+'Summary, PPI''s'!$C111)/('Predicted PPIs'!T112+'Predicted PPIs'!T111)))*IF(D$46=".", 1, (D112/D111)^(('Summary, PPI''s'!$D112+'Summary, PPI''s'!$D111)/('Predicted PPIs'!T112+'Predicted PPIs'!T111)))*IF(N$46=".", 1, (N112/N111)^(('Summary, PPI''s'!$N112+'Summary, PPI''s'!$N111)/('Predicted PPIs'!T112+'Predicted PPIs'!T111)))*IF(O$46=".", 1, (O112/O111)^(('Summary, PPI''s'!$O112+'Summary, PPI''s'!$O111)/('Predicted PPIs'!T112+'Predicted PPIs'!T111)))*IF(P$46=".", 1, (P112/P111)^(('Summary, PPI''s'!$P112+'Summary, PPI''s'!$P111)/('Predicted PPIs'!T112+'Predicted PPIs'!T111)))</f>
        <v>#VALUE!</v>
      </c>
      <c r="AC112" s="4" t="e">
        <f>AC111*IF(E$60=".",1,(E112/E111)^(('Summary, PPI''s'!$E112+'Summary, PPI''s'!$E111)/('Predicted PPIs'!U112+'Predicted PPIs'!U111)))*IF(F$60=".",1,(F112/F111)^(('Summary, PPI''s'!$F112+'Summary, PPI''s'!$F111)/('Predicted PPIs'!U112+'Predicted PPIs'!U111)))*IF(G$60=".",1,(G112/G111)^(('Summary, PPI''s'!$G112+'Summary, PPI''s'!$G111)/('Predicted PPIs'!U112+'Predicted PPIs'!U111)))*IF(H$60=".",1,(H112/H111)^(('Summary, PPI''s'!$H112+'Summary, PPI''s'!$H111)/('Predicted PPIs'!U112+'Predicted PPIs'!U111)))*IF(I$60=".",1,(I112/I111)^(('Summary, PPI''s'!$I112+'Summary, PPI''s'!$I111)/('Predicted PPIs'!U112+'Predicted PPIs'!U111)))*IF(J$60=".",1,(J112/J111)^(('Summary, PPI''s'!$J112+'Summary, PPI''s'!$J111)/('Predicted PPIs'!U112+'Predicted PPIs'!U111)))*IF(K$60=".",1,(K112/K111)^(('Summary, PPI''s'!$K112+'Summary, PPI''s'!$K111)/('Predicted PPIs'!U112+'Predicted PPIs'!U111)))*IF(L$60=".",1,(L112/L111)^(('Summary, PPI''s'!$L112+'Summary, PPI''s'!$L111)/('Predicted PPIs'!U112+'Predicted PPIs'!U111)))*IF(M$60=".",1,(M112/M111)^(('Summary, PPI''s'!$M112+'Summary, PPI''s'!$M111)/('Predicted PPIs'!U112+'Predicted PPIs'!U111)))*IF(B$60=".",1,(B112/B111)^(('Summary, PPI''s'!$B112+'Summary, PPI''s'!$B111)/('Predicted PPIs'!U112+'Predicted PPIs'!U111)))*IF(C$60=".",1,(C112/C111)^(('Summary, PPI''s'!$C112+'Summary, PPI''s'!$C111)/('Predicted PPIs'!U112+'Predicted PPIs'!U111)))*IF(D$60=".",1,(D112/D111)^(('Summary, PPI''s'!$D112+'Summary, PPI''s'!$D111)/('Predicted PPIs'!U112+'Predicted PPIs'!U111)))*IF(N$60=".",1,(N112/N111)^(('Summary, PPI''s'!$N112+'Summary, PPI''s'!$N111)/('Predicted PPIs'!U112+'Predicted PPIs'!U111)))*IF(O$60=".",1,(O112/O111)^(('Summary, PPI''s'!$O112+'Summary, PPI''s'!$O111)/('Predicted PPIs'!U112+'Predicted PPIs'!U111)))*IF(P$60=".",1,(P112/P111)^(('Summary, PPI''s'!$P112+'Summary, PPI''s'!$P111)/('Predicted PPIs'!U112+'Predicted PPIs'!U111)))</f>
        <v>#VALUE!</v>
      </c>
      <c r="AD112" s="4" t="e">
        <f>AD111*IF(E$73=".", 1, (E112/E111)^(('Summary, PPI''s'!$E112+'Summary, PPI''s'!$E111)/('Predicted PPIs'!V112+'Predicted PPIs'!V111)))*IF(F$73=".", 1, (F112/F111)^(('Summary, PPI''s'!$F112+'Summary, PPI''s'!$F111)/('Predicted PPIs'!V112+'Predicted PPIs'!V111)))*IF(G$73=".", 1, (G112/G111)^(('Summary, PPI''s'!$G112+'Summary, PPI''s'!$G111)/('Predicted PPIs'!V112+'Predicted PPIs'!V111)))*IF(H$73=".", 1, (H112/H111)^(('Summary, PPI''s'!$H112+'Summary, PPI''s'!$H111)/('Predicted PPIs'!V112+'Predicted PPIs'!V111)))*IF(I$73=".", 1, (I112/I111)^(('Summary, PPI''s'!$I112+'Summary, PPI''s'!$I111)/('Predicted PPIs'!V112+'Predicted PPIs'!V111)))*IF(J$73=".", 1, (J112/J111)^(('Summary, PPI''s'!$J112+'Summary, PPI''s'!$J111)/('Predicted PPIs'!V112+'Predicted PPIs'!V111)))*IF(K$73=".", 1, (K112/K111)^(('Summary, PPI''s'!$K112+'Summary, PPI''s'!$K111)/('Predicted PPIs'!V112+'Predicted PPIs'!V111)))*IF(L$73=".", 1, (L112/L111)^(('Summary, PPI''s'!$L112+'Summary, PPI''s'!$L111)/('Predicted PPIs'!V112+'Predicted PPIs'!V111)))*IF(M$73=".", 1, (M112/M111)^(('Summary, PPI''s'!$M112+'Summary, PPI''s'!$M111)/('Predicted PPIs'!V112+'Predicted PPIs'!V111)))*IF(B$73=".", 1, (B112/B111)^(('Summary, PPI''s'!$B112+'Summary, PPI''s'!$B111)/('Predicted PPIs'!V112+'Predicted PPIs'!V111)))*IF(C$73=".", 1, (C112/C111)^(('Summary, PPI''s'!$C112+'Summary, PPI''s'!$C111)/('Predicted PPIs'!V112+'Predicted PPIs'!V111)))*IF(D$73=".", 1, (D112/D111)^(('Summary, PPI''s'!$D112+'Summary, PPI''s'!$D111)/('Predicted PPIs'!V112+'Predicted PPIs'!V111)))*IF(N$73=".", 1, (N112/N111)^(('Summary, PPI''s'!$N112+'Summary, PPI''s'!$N111)/('Predicted PPIs'!V112+'Predicted PPIs'!V111)))*IF(O$73=".", 1, (O112/O111)^(('Summary, PPI''s'!$O112+'Summary, PPI''s'!$O111)/('Predicted PPIs'!V112+'Predicted PPIs'!V111)))*IF(P$73=".", 1, (P112/P111)^(('Summary, PPI''s'!$P112+'Summary, PPI''s'!$P111)/('Predicted PPIs'!V112+'Predicted PPIs'!V111)))</f>
        <v>#VALUE!</v>
      </c>
      <c r="AE112" s="4" t="e">
        <f>AE111*IF(E$94=".", 1, (E112/E111)^(('Summary, PPI''s'!$E112+'Summary, PPI''s'!$E111)/('Predicted PPIs'!W112+'Predicted PPIs'!W111)))*IF(F$94=".", 1, (F112/F111)^(('Summary, PPI''s'!$F112+'Summary, PPI''s'!$F111)/('Predicted PPIs'!W112+'Predicted PPIs'!W111)))*IF(G$94=".", 1, (G112/G111)^(('Summary, PPI''s'!$G112+'Summary, PPI''s'!$G111)/('Predicted PPIs'!W112+'Predicted PPIs'!W111)))*IF(H$94=".", 1, (H112/H111)^(('Summary, PPI''s'!$H112+'Summary, PPI''s'!$H111)/('Predicted PPIs'!W112+'Predicted PPIs'!W111)))*IF(I$94=".", 1, (I112/I111)^(('Summary, PPI''s'!$I112+'Summary, PPI''s'!$I111)/('Predicted PPIs'!W112+'Predicted PPIs'!W111)))*IF(J$94=".", 1, (J112/J111)^(('Summary, PPI''s'!$J112+'Summary, PPI''s'!$J111)/('Predicted PPIs'!W112+'Predicted PPIs'!W111)))*IF(K$94=".", 1, (K112/K111)^(('Summary, PPI''s'!$K112+'Summary, PPI''s'!$K111)/('Predicted PPIs'!W112+'Predicted PPIs'!W111)))*IF(L$94=".", 1, (L112/L111)^(('Summary, PPI''s'!$L112+'Summary, PPI''s'!$L111)/('Predicted PPIs'!W112+'Predicted PPIs'!W111)))*IF(M$94=".", 1, (M112/M111)^(('Summary, PPI''s'!$M112+'Summary, PPI''s'!$M111)/('Predicted PPIs'!W112+'Predicted PPIs'!W111)))*IF(B$94=".", 1, (B112/B111)^(('Summary, PPI''s'!$B112+'Summary, PPI''s'!$B111)/('Predicted PPIs'!W112+'Predicted PPIs'!W111)))*IF(C$94=".", 1, (C112/C111)^(('Summary, PPI''s'!$C112+'Summary, PPI''s'!$C111)/('Predicted PPIs'!W112+'Predicted PPIs'!W111)))*IF(D$94=".", 1, (D112/D111)^(('Summary, PPI''s'!$D112+'Summary, PPI''s'!$D111)/('Predicted PPIs'!W112+'Predicted PPIs'!W111)))*IF(N$94=".", 1, (N112/N111)^(('Summary, PPI''s'!$N112+'Summary, PPI''s'!$N111)/('Predicted PPIs'!W112+'Predicted PPIs'!W111)))*IF(O$94=".", 1, (O112/O111)^(('Summary, PPI''s'!$O112+'Summary, PPI''s'!$O111)/('Predicted PPIs'!W112+'Predicted PPIs'!W111)))*IF(P$94=".", 1, (P112/P111)^(('Summary, PPI''s'!$P112+'Summary, PPI''s'!$P111)/('Predicted PPIs'!W112+'Predicted PPIs'!W111)))</f>
        <v>#VALUE!</v>
      </c>
      <c r="AF112" s="4">
        <f>AF111*IF(E$123=".", 1, (E112/E111)^(('Summary, PPI''s'!$E112+'Summary, PPI''s'!$E111)/('Predicted PPIs'!X112+'Predicted PPIs'!X111)))*IF(F$123=".", 1, (F112/F111)^(('Summary, PPI''s'!$F112+'Summary, PPI''s'!$F111)/('Predicted PPIs'!X112+'Predicted PPIs'!X111)))*IF(G$123=".", 1, (G112/G111)^(('Summary, PPI''s'!$G112+'Summary, PPI''s'!$G111)/('Predicted PPIs'!X112+'Predicted PPIs'!X111)))*IF(H$123=".", 1, (H112/H111)^(('Summary, PPI''s'!$H112+'Summary, PPI''s'!$H111)/('Predicted PPIs'!X112+'Predicted PPIs'!X111)))*IF(I$123=".", 1, (I112/I111)^(('Summary, PPI''s'!$I112+'Summary, PPI''s'!$I111)/('Predicted PPIs'!X112+'Predicted PPIs'!X111)))*IF(J$123=".", 1, (J112/J111)^(('Summary, PPI''s'!$J112+'Summary, PPI''s'!$J111)/('Predicted PPIs'!X112+'Predicted PPIs'!X111)))*IF(K$123=".", 1, (K112/K111)^(('Summary, PPI''s'!$K112+'Summary, PPI''s'!$K111)/('Predicted PPIs'!X112+'Predicted PPIs'!X111)))*IF(L$123=".", 1, (L112/L111)^(('Summary, PPI''s'!$L112+'Summary, PPI''s'!$L111)/('Predicted PPIs'!X112+'Predicted PPIs'!X111)))*IF(M$123=".", 1, (M112/M111)^(('Summary, PPI''s'!$M112+'Summary, PPI''s'!$M111)/('Predicted PPIs'!X112+'Predicted PPIs'!X111)))*IF(B$123=".", 1, (B112/B111)^(('Summary, PPI''s'!$B112+'Summary, PPI''s'!$B111)/('Predicted PPIs'!X112+'Predicted PPIs'!X111)))*IF(C$123=".", 1, (C112/C111)^(('Summary, PPI''s'!$C112+'Summary, PPI''s'!$C111)/('Predicted PPIs'!X112+'Predicted PPIs'!X111)))*IF(D$123=".", 1, (D112/D111)^(('Summary, PPI''s'!$D112+'Summary, PPI''s'!$D111)/('Predicted PPIs'!X112+'Predicted PPIs'!X111)))*IF(N$123=".", 1, (N112/N111)^(('Summary, PPI''s'!$N112+'Summary, PPI''s'!$N111)/('Predicted PPIs'!X112+'Predicted PPIs'!X111)))*IF(O$123=".", 1, (O112/O111)^(('Summary, PPI''s'!$O112+'Summary, PPI''s'!$O111)/('Predicted PPIs'!X112+'Predicted PPIs'!X111)))*IF(P$123=".", 1, (P112/P111)^(('Summary, PPI''s'!$P112+'Summary, PPI''s'!$P111)/('Predicted PPIs'!X112+'Predicted PPIs'!X111)))</f>
        <v>2.3233920806011104</v>
      </c>
      <c r="AH112" s="13">
        <f t="shared" si="212"/>
        <v>3.3179361395127915</v>
      </c>
      <c r="AJ112" s="4">
        <f t="shared" si="207"/>
        <v>23.791868634773998</v>
      </c>
      <c r="AK112" s="4">
        <f t="shared" si="191"/>
        <v>-0.5265564724982924</v>
      </c>
      <c r="AL112" s="4">
        <f t="shared" si="192"/>
        <v>-1.8037556220782143</v>
      </c>
      <c r="AM112" s="4">
        <f t="shared" si="193"/>
        <v>-0.28064568557556407</v>
      </c>
      <c r="AN112" s="4">
        <f t="shared" si="176"/>
        <v>31.727389983000041</v>
      </c>
      <c r="AO112" s="4">
        <v>5</v>
      </c>
      <c r="AP112" s="4">
        <f t="shared" si="177"/>
        <v>-0.46256684491978611</v>
      </c>
      <c r="AQ112" s="4">
        <f t="shared" si="178"/>
        <v>-0.87446524064171083</v>
      </c>
      <c r="AR112" s="4">
        <f t="shared" si="210"/>
        <v>-2.7907535088788486E-5</v>
      </c>
      <c r="AS112" s="4">
        <f t="shared" si="208"/>
        <v>-5.7366673583731063E-2</v>
      </c>
      <c r="AT112" s="4">
        <f t="shared" si="194"/>
        <v>4.1944270531400978</v>
      </c>
      <c r="AU112" s="4">
        <f t="shared" si="195"/>
        <v>6.9066367149758454</v>
      </c>
      <c r="AV112" s="4">
        <f t="shared" si="196"/>
        <v>5.3716280193236718</v>
      </c>
      <c r="AW112" s="4">
        <f t="shared" si="197"/>
        <v>3.0036898550724644</v>
      </c>
      <c r="AX112" s="4">
        <f t="shared" si="198"/>
        <v>3.9953160026668284</v>
      </c>
      <c r="AY112" s="4">
        <f t="shared" si="199"/>
        <v>4.6979748792270541</v>
      </c>
      <c r="AZ112" s="4">
        <f t="shared" si="200"/>
        <v>1.6058483091787443</v>
      </c>
      <c r="BA112" s="4">
        <f t="shared" si="201"/>
        <v>4.350093719806762</v>
      </c>
      <c r="BB112" s="4">
        <f t="shared" si="202"/>
        <v>24.8814637746007</v>
      </c>
      <c r="BC112" s="4">
        <f t="shared" si="203"/>
        <v>4.0775642512077308</v>
      </c>
      <c r="BD112" s="5">
        <f>'[2]Ordinary Experience'!$AD$314</f>
        <v>93.4</v>
      </c>
      <c r="BE112" s="5">
        <f>'[2]Ordinary Experience'!$AC$314</f>
        <v>0.86431159294603388</v>
      </c>
      <c r="BG112" s="4">
        <f t="shared" si="172"/>
        <v>5.8091741540779323</v>
      </c>
      <c r="BI112" s="4">
        <f>BI$13*'[2]Ordinary Experience'!$D$314/'[2]Ordinary Experience'!$D$413</f>
        <v>93603468.220714107</v>
      </c>
      <c r="BJ112" s="4">
        <f>'[2]Ordinary Experience'!$E$314</f>
        <v>32.069873079888389</v>
      </c>
      <c r="BL112" s="4">
        <f t="shared" si="211"/>
        <v>23.051317795167638</v>
      </c>
      <c r="BM112" s="4">
        <f t="shared" si="153"/>
        <v>4.7276473112952688E-2</v>
      </c>
      <c r="BO112" s="4" t="str">
        <f>IF(OR('Summary, hourly ad costs'!R112=-9999,'Summary, PPI''s'!R112="."),".",(('Summary, hourly ad costs'!B112/'Summary, hourly ad costs'!R112)*100/('Summary, hourly ad costs'!B$11/'Summary, hourly ad costs'!R$11))/('Summary, PPI''s'!R112))</f>
        <v>.</v>
      </c>
      <c r="BP112" s="4" t="str">
        <f>IF(OR('Summary, hourly ad costs'!S112=-9999,'Summary, PPI''s'!S112="."),".",(('Summary, hourly ad costs'!C112/'Summary, hourly ad costs'!S112)*100/('Summary, hourly ad costs'!C$11/'Summary, hourly ad costs'!S$11))/('Summary, PPI''s'!S112))</f>
        <v>.</v>
      </c>
      <c r="BQ112" s="4" t="str">
        <f>IF(OR('Summary, hourly ad costs'!T112=-9999,'Summary, PPI''s'!T112="."),".",(('Summary, hourly ad costs'!D112/'Summary, hourly ad costs'!T112)*100/('Summary, hourly ad costs'!D$11/'Summary, hourly ad costs'!T$11))/('Summary, PPI''s'!T112))</f>
        <v>.</v>
      </c>
      <c r="BR112" s="4" t="str">
        <f>IF(OR('Summary, hourly ad costs'!U112=-9999,'Summary, PPI''s'!U112="."),".",(('Summary, hourly ad costs'!E112/'Summary, hourly ad costs'!U112)*100/('Summary, hourly ad costs'!E$11/'Summary, hourly ad costs'!U$11))/('Summary, PPI''s'!U112))</f>
        <v>.</v>
      </c>
      <c r="BS112" s="4" t="str">
        <f>IF(OR('Summary, hourly ad costs'!V112=-9999,'Summary, PPI''s'!V112="."),".",(('Summary, hourly ad costs'!F112/'Summary, hourly ad costs'!V112)*100/('Summary, hourly ad costs'!F$11/'Summary, hourly ad costs'!V$11))/('Summary, PPI''s'!V112))</f>
        <v>.</v>
      </c>
      <c r="BT112" s="4" t="str">
        <f>IF(OR('Summary, hourly ad costs'!W112=-9999,'Summary, PPI''s'!W112="."),".",(('Summary, hourly ad costs'!G112/'Summary, hourly ad costs'!W112)*100/('Summary, hourly ad costs'!G$11/'Summary, hourly ad costs'!W$11))/('Summary, PPI''s'!W112))</f>
        <v>.</v>
      </c>
      <c r="BU112" s="4" t="str">
        <f>IF(OR('Summary, hourly ad costs'!X112=-9999,'Summary, PPI''s'!X112="."),".",(('Summary, hourly ad costs'!H112/'Summary, hourly ad costs'!X112)*100/('Summary, hourly ad costs'!H$11/'Summary, hourly ad costs'!X$11))/('Summary, PPI''s'!X112))</f>
        <v>.</v>
      </c>
      <c r="BV112" s="4" t="str">
        <f>IF(OR('Summary, hourly ad costs'!Y112=-9999,'Summary, PPI''s'!Y112="."),".",(('Summary, hourly ad costs'!I112/'Summary, hourly ad costs'!Y112)*100/('Summary, hourly ad costs'!I$11/'Summary, hourly ad costs'!Y$11))/('Summary, PPI''s'!Y112))</f>
        <v>.</v>
      </c>
      <c r="BW112" s="4" t="str">
        <f>IF(OR('Summary, hourly ad costs'!Z112=-9999,'Summary, PPI''s'!Z112="."),".",(('Summary, hourly ad costs'!J112/'Summary, hourly ad costs'!Z112)*100/('Summary, hourly ad costs'!J$11/'Summary, hourly ad costs'!Z$11))/('Summary, PPI''s'!Z112))</f>
        <v>.</v>
      </c>
      <c r="BX112" s="4" t="str">
        <f>IF(OR('Summary, hourly ad costs'!AA112=-9999,'Summary, PPI''s'!AA112="."),".",(('Summary, hourly ad costs'!K112/'Summary, hourly ad costs'!AA112)*100/('Summary, hourly ad costs'!K$11/'Summary, hourly ad costs'!AA$11))/('Summary, PPI''s'!AA112))</f>
        <v>.</v>
      </c>
      <c r="BY112" s="4" t="str">
        <f>IF(OR('Summary, hourly ad costs'!AB112=-9999,'Summary, PPI''s'!AB112="."),".",(('Summary, hourly ad costs'!L112/'Summary, hourly ad costs'!AB112)*100/('Summary, hourly ad costs'!L$11/'Summary, hourly ad costs'!AB$11))/('Summary, PPI''s'!AB112))</f>
        <v>.</v>
      </c>
      <c r="BZ112" s="4" t="str">
        <f>IF(OR('Summary, hourly ad costs'!AC112=-9999,'Summary, PPI''s'!AC112="."),".",(('Summary, hourly ad costs'!M112/'Summary, hourly ad costs'!AC112)*100/('Summary, hourly ad costs'!M$11/'Summary, hourly ad costs'!AC$11))/('Summary, PPI''s'!AC112))</f>
        <v>.</v>
      </c>
      <c r="CA112" s="4" t="str">
        <f>IF(OR('Summary, hourly ad costs'!AD112=-9999,'Summary, PPI''s'!AD112="."),".",(('Summary, hourly ad costs'!N112/'Summary, hourly ad costs'!AD112)*100/('Summary, hourly ad costs'!N$11/'Summary, hourly ad costs'!AD$11))/('Summary, PPI''s'!AD112))</f>
        <v>.</v>
      </c>
      <c r="CB112" s="4" t="str">
        <f>IF(OR('Summary, hourly ad costs'!AE112=-9999,'Summary, PPI''s'!AE112="."),".",(('Summary, hourly ad costs'!O112/'Summary, hourly ad costs'!AE112)*100/('Summary, hourly ad costs'!O$11/'Summary, hourly ad costs'!AE$11))/('Summary, PPI''s'!AE112))</f>
        <v>.</v>
      </c>
      <c r="CC112" s="4" t="str">
        <f>IF(OR('Summary, hourly ad costs'!AF112=-9999,'Summary, PPI''s'!AF112="."),".",(('Summary, hourly ad costs'!P112/'Summary, hourly ad costs'!AF112)*100/('Summary, hourly ad costs'!P$11/'Summary, hourly ad costs'!AF$11))/('Summary, PPI''s'!AF112))</f>
        <v>.</v>
      </c>
      <c r="CE112" s="4">
        <f t="shared" si="183"/>
        <v>1.2800128559123394E-2</v>
      </c>
      <c r="CF112" s="4" t="str">
        <f t="shared" si="184"/>
        <v>.</v>
      </c>
      <c r="CG112" s="4" t="str">
        <f t="shared" si="185"/>
        <v>.</v>
      </c>
      <c r="CH112" s="4">
        <f t="shared" si="145"/>
        <v>3.9871651618681572E-2</v>
      </c>
      <c r="CI112" s="4">
        <f t="shared" si="145"/>
        <v>4.6987371819428955E-2</v>
      </c>
      <c r="CJ112" s="4" t="str">
        <f t="shared" si="209"/>
        <v>.</v>
      </c>
      <c r="CK112" s="4">
        <f t="shared" si="149"/>
        <v>1.8614664253294236E-3</v>
      </c>
      <c r="CL112" s="4">
        <f t="shared" si="234"/>
        <v>3.2566015043775487E-2</v>
      </c>
      <c r="CM112" s="4">
        <f t="shared" si="234"/>
        <v>2.9434398928463203E-2</v>
      </c>
      <c r="CN112" s="4">
        <f t="shared" si="204"/>
        <v>1.8456219638525242E-2</v>
      </c>
      <c r="CO112" s="4">
        <f t="shared" si="180"/>
        <v>0.30476220185228126</v>
      </c>
      <c r="CP112" s="4">
        <f t="shared" si="180"/>
        <v>6.5703176207333153E-2</v>
      </c>
      <c r="CQ112" s="4" t="str">
        <f t="shared" si="230"/>
        <v>.</v>
      </c>
      <c r="CR112" s="4" t="str">
        <f t="shared" si="231"/>
        <v>.</v>
      </c>
      <c r="CS112" s="4" t="str">
        <f t="shared" si="232"/>
        <v>.</v>
      </c>
      <c r="CU112" s="5">
        <f>IF(CU111=".", ".", IF('Summary, PPI''s'!R112=".",IF(OR('Summary, hourly ad costs'!R112=-9999,'Summary, hourly ad costs'!R112=0), ".", 'Predicted PPIs'!CU111*('Summary, hourly ad costs'!B112/'Summary, hourly ad costs'!R112)/('Summary, hourly ad costs'!B111/'Summary, hourly ad costs'!R111)/(1-CE111)), 'Summary, PPI''s'!R112))</f>
        <v>21.583242042679647</v>
      </c>
      <c r="CV112" s="5" t="str">
        <f>IF(CV111=".", ".", IF('Summary, PPI''s'!S112=".",IF(OR('Summary, hourly ad costs'!S112=-9999,'Summary, hourly ad costs'!S112=0), ".", 'Predicted PPIs'!CV111*('Summary, hourly ad costs'!C112/'Summary, hourly ad costs'!S112)/('Summary, hourly ad costs'!C111/'Summary, hourly ad costs'!S111)/(1-CF111)), 'Summary, PPI''s'!S112))</f>
        <v>.</v>
      </c>
      <c r="CW112" s="5" t="str">
        <f>IF(CW111=".", ".", IF('Summary, PPI''s'!T112=".",IF(OR('Summary, hourly ad costs'!T112=-9999,'Summary, hourly ad costs'!T112=0), ".", 'Predicted PPIs'!CW111*('Summary, hourly ad costs'!D112/'Summary, hourly ad costs'!T112)/('Summary, hourly ad costs'!D111/'Summary, hourly ad costs'!T111)/(1-CG111)), 'Summary, PPI''s'!T112))</f>
        <v>.</v>
      </c>
      <c r="CX112" s="5">
        <f>IF(CX111=".", ".", IF('Summary, PPI''s'!U112=".",IF(OR('Summary, hourly ad costs'!U112=-9999,'Summary, hourly ad costs'!U112=0), ".", 'Predicted PPIs'!CX111*('Summary, hourly ad costs'!E112/'Summary, hourly ad costs'!U112)/('Summary, hourly ad costs'!E111/'Summary, hourly ad costs'!U111)/(1-CH111)), 'Summary, PPI''s'!U112))</f>
        <v>1.0167723155844517</v>
      </c>
      <c r="CY112" s="5">
        <f>IF(CY111=".", ".", IF('Summary, PPI''s'!V112=".",IF(OR('Summary, hourly ad costs'!V112=-9999,'Summary, hourly ad costs'!V112=0), ".", 'Predicted PPIs'!CY111*('Summary, hourly ad costs'!F112/'Summary, hourly ad costs'!V112)/('Summary, hourly ad costs'!F111/'Summary, hourly ad costs'!V111)/(1-CI111)), 'Summary, PPI''s'!V112))</f>
        <v>0.94992870849265265</v>
      </c>
      <c r="CZ112" s="5" t="str">
        <f>IF(CZ111=".", ".", IF('Summary, PPI''s'!W112=".",IF(OR('Summary, hourly ad costs'!W112=-9999,'Summary, hourly ad costs'!W112=0), ".", 'Predicted PPIs'!CZ111*('Summary, hourly ad costs'!G112/'Summary, hourly ad costs'!W112)/('Summary, hourly ad costs'!G111/'Summary, hourly ad costs'!W111)/(1-CJ111)), 'Summary, PPI''s'!W112))</f>
        <v>.</v>
      </c>
      <c r="DA112" s="5">
        <f>IF(DA111=".", ".", IF('Summary, PPI''s'!X112=".",IF(OR('Summary, hourly ad costs'!X112=-9999,'Summary, hourly ad costs'!X112=0), ".", 'Predicted PPIs'!DA111*('Summary, hourly ad costs'!H112/'Summary, hourly ad costs'!X112)/('Summary, hourly ad costs'!H111/'Summary, hourly ad costs'!X111)/(1-CK111)), 'Summary, PPI''s'!X112))</f>
        <v>1.0623645983614904</v>
      </c>
      <c r="DB112" s="5" t="str">
        <f>IF(DB111=".", ".", IF('Summary, PPI''s'!Y112=".",IF(OR('Summary, hourly ad costs'!Y112=-9999,'Summary, hourly ad costs'!Y112=0), ".", 'Predicted PPIs'!DB111*('Summary, hourly ad costs'!I112/'Summary, hourly ad costs'!Y112)/('Summary, hourly ad costs'!I111/'Summary, hourly ad costs'!Y111)/(1-CL111)), 'Summary, PPI''s'!Y112))</f>
        <v>.</v>
      </c>
      <c r="DC112" s="5" t="str">
        <f>IF(DC111=".", ".", IF('Summary, PPI''s'!Z112=".",IF(OR('Summary, hourly ad costs'!Z112=-9999,'Summary, hourly ad costs'!Z112=0), ".", 'Predicted PPIs'!DC111*('Summary, hourly ad costs'!J112/'Summary, hourly ad costs'!Z112)/('Summary, hourly ad costs'!J111/'Summary, hourly ad costs'!Z111)/(1-CM111)), 'Summary, PPI''s'!Z112))</f>
        <v>.</v>
      </c>
      <c r="DD112" s="5" t="str">
        <f>IF(DD111=".", ".", IF('Summary, PPI''s'!AA112=".",IF(OR('Summary, hourly ad costs'!AA112=-9999,'Summary, hourly ad costs'!AA112=0), ".", 'Predicted PPIs'!DD111*('Summary, hourly ad costs'!K112/'Summary, hourly ad costs'!AA112)/('Summary, hourly ad costs'!K111/'Summary, hourly ad costs'!AA111)/(1-CN111)), 'Summary, PPI''s'!AA112))</f>
        <v>.</v>
      </c>
      <c r="DE112" s="5" t="str">
        <f>IF(DE111=".", ".", IF('Summary, PPI''s'!AB112=".",IF(OR('Summary, hourly ad costs'!AB112=-9999,'Summary, hourly ad costs'!AB112=0), ".", 'Predicted PPIs'!DE111*('Summary, hourly ad costs'!L112/'Summary, hourly ad costs'!AB112)/('Summary, hourly ad costs'!L111/'Summary, hourly ad costs'!AB111)/(1-CO111)), 'Summary, PPI''s'!AB112))</f>
        <v>.</v>
      </c>
      <c r="DF112" s="5" t="str">
        <f>IF(DF111=".", ".", IF('Summary, PPI''s'!AC112=".",IF(OR('Summary, hourly ad costs'!AC112=-9999,'Summary, hourly ad costs'!AC112=0), ".", 'Predicted PPIs'!DF111*('Summary, hourly ad costs'!M112/'Summary, hourly ad costs'!AC112)/('Summary, hourly ad costs'!M111/'Summary, hourly ad costs'!AC111)/(1-CP111)), 'Summary, PPI''s'!AC112))</f>
        <v>.</v>
      </c>
      <c r="DG112" s="5" t="str">
        <f>IF(DG111=".", ".", IF('Summary, PPI''s'!AD112=".",IF(OR('Summary, hourly ad costs'!AD112=-9999,'Summary, hourly ad costs'!AD112=0), ".", 'Predicted PPIs'!DG111*('Summary, hourly ad costs'!N112/'Summary, hourly ad costs'!AD112)/('Summary, hourly ad costs'!N111/'Summary, hourly ad costs'!AD111)/(1-CQ111)), 'Summary, PPI''s'!AD112))</f>
        <v>.</v>
      </c>
      <c r="DH112" s="5" t="str">
        <f>IF(DH111=".", ".", IF('Summary, PPI''s'!AE112=".",IF(OR('Summary, hourly ad costs'!AE112=-9999,'Summary, hourly ad costs'!AE112=0), ".", 'Predicted PPIs'!DH111*('Summary, hourly ad costs'!O112/'Summary, hourly ad costs'!AE112)/('Summary, hourly ad costs'!O111/'Summary, hourly ad costs'!AE111)/(1-CR111)), 'Summary, PPI''s'!AE112))</f>
        <v>.</v>
      </c>
      <c r="DI112" s="5" t="str">
        <f>IF(DI111=".", ".", IF('Summary, PPI''s'!AF112=".",IF(OR('Summary, hourly ad costs'!AF112=-9999,'Summary, hourly ad costs'!AF112=0), ".", 'Predicted PPIs'!DI111*('Summary, hourly ad costs'!P112/'Summary, hourly ad costs'!AF112)/('Summary, hourly ad costs'!P111/'Summary, hourly ad costs'!AF111)/(1-CS111)), 'Summary, PPI''s'!AF112))</f>
        <v>.</v>
      </c>
      <c r="DK112" s="4">
        <f t="shared" si="205"/>
        <v>1.1052077192982452</v>
      </c>
      <c r="DM112" s="5">
        <f t="shared" si="186"/>
        <v>-0.11652069671034282</v>
      </c>
      <c r="DN112" s="4">
        <f t="shared" si="187"/>
        <v>-2.8805587486700597E-2</v>
      </c>
      <c r="DO112" s="4">
        <f t="shared" si="233"/>
        <v>-2.251834774874362E-2</v>
      </c>
      <c r="DP112" s="5">
        <f t="shared" si="188"/>
        <v>-6.0153291367413542E-2</v>
      </c>
      <c r="DQ112" s="5">
        <f t="shared" si="189"/>
        <v>-5.9326889495508905E-2</v>
      </c>
      <c r="DR112" s="4">
        <f t="shared" si="146"/>
        <v>-4.7448611942936094E-3</v>
      </c>
      <c r="DS112" s="5">
        <f t="shared" si="190"/>
        <v>-5.1710035440290625E-2</v>
      </c>
      <c r="DT112" s="4">
        <f t="shared" si="206"/>
        <v>-2.3513465665657377E-2</v>
      </c>
      <c r="DU112" s="4">
        <f t="shared" si="171"/>
        <v>-1.2181927667626193E-2</v>
      </c>
      <c r="DV112" s="4">
        <f t="shared" si="235"/>
        <v>-9.1185174914096788E-4</v>
      </c>
      <c r="DW112" s="4">
        <f t="shared" si="182"/>
        <v>-0.15516816395785649</v>
      </c>
      <c r="DX112" s="4">
        <f t="shared" si="182"/>
        <v>0.11199934432046676</v>
      </c>
      <c r="DY112" s="4">
        <f t="shared" si="228"/>
        <v>-1.4096770354924253E-2</v>
      </c>
      <c r="DZ112" s="4">
        <f t="shared" si="236"/>
        <v>-7.1710829526122604E-3</v>
      </c>
      <c r="EA112" s="4">
        <f t="shared" si="229"/>
        <v>-8.1941564366781947E-3</v>
      </c>
      <c r="EC112" s="1">
        <f t="shared" si="213"/>
        <v>21.583242042679647</v>
      </c>
      <c r="ED112" s="1">
        <f t="shared" si="214"/>
        <v>1.1257742573476339</v>
      </c>
      <c r="EE112" s="1">
        <f t="shared" si="215"/>
        <v>0.60912896320781829</v>
      </c>
      <c r="EF112" s="1">
        <f t="shared" si="216"/>
        <v>1.0167723155844517</v>
      </c>
      <c r="EG112" s="1">
        <f t="shared" si="217"/>
        <v>0.94992870849265265</v>
      </c>
      <c r="EH112" s="1">
        <f t="shared" si="218"/>
        <v>0.89941755252130329</v>
      </c>
      <c r="EI112" s="1">
        <f t="shared" si="219"/>
        <v>1.0623645983614904</v>
      </c>
      <c r="EJ112" s="1">
        <f t="shared" si="220"/>
        <v>1.6334278397218194</v>
      </c>
      <c r="EK112" s="1">
        <f t="shared" si="221"/>
        <v>1.9622560455153939</v>
      </c>
      <c r="EL112" s="1">
        <f t="shared" si="222"/>
        <v>0.91827696522595592</v>
      </c>
      <c r="EM112" s="1">
        <f t="shared" si="223"/>
        <v>5.6950062413363881E-2</v>
      </c>
      <c r="EN112" s="1">
        <f t="shared" si="224"/>
        <v>0.35107018328631623</v>
      </c>
      <c r="EO112" s="1">
        <f t="shared" si="225"/>
        <v>0.45412363642971137</v>
      </c>
      <c r="EP112" s="1">
        <f t="shared" si="226"/>
        <v>0.83808335907156695</v>
      </c>
      <c r="EQ112" s="1">
        <f t="shared" si="227"/>
        <v>0.67565615081514796</v>
      </c>
      <c r="ES112" s="1">
        <f>IF(EF$26=".", 0, 'Summary, PPI''s'!E112)+IF(EG$26=".", 0, 'Summary, PPI''s'!F112)+IF(EH$26=".", 0, 'Summary, PPI''s'!G112)+IF(EI$26=".", 0, 'Summary, PPI''s'!H112)+IF(EJ$26=".", 0, 'Summary, PPI''s'!I112)+IF(EK$26=".", 0, 'Summary, PPI''s'!J112)+IF(EL$26=".", 0, 'Summary, PPI''s'!K112)+IF(EM$26=".", 0, 'Summary, PPI''s'!L112)+IF(EN$26=".", 0, 'Summary, PPI''s'!M112)+IF(EC$26=".", 0, 'Summary, PPI''s'!B112)+IF(ED$26=".", 0, 'Summary, PPI''s'!C112)+IF(EE$26=".", 0, 'Summary, PPI''s'!D112)+IF(EO$26=".", 0, 'Summary, PPI''s'!N112)+IF(EP$26=".", 0, 'Summary, PPI''s'!O112)+IF(EQ$26=".", 0, 'Summary, PPI''s'!P112)</f>
        <v>721767.19900433614</v>
      </c>
      <c r="ET112" s="1">
        <f>'Summary, hourly ad costs'!E112+'Summary, hourly ad costs'!F112+'Summary, hourly ad costs'!H112+'Summary, hourly ad costs'!I112+'Summary, hourly ad costs'!J112+'Summary, hourly ad costs'!K112+'Summary, hourly ad costs'!L112+'Summary, hourly ad costs'!M112+'Summary, hourly ad costs'!B112</f>
        <v>438137.20186043018</v>
      </c>
      <c r="EV112" s="13">
        <f>EV111*IF(EF$26=".", 1, (EF112/EF111)^(('Summary, PPI''s'!$E112+'Summary, PPI''s'!$E111)/('Predicted PPIs'!ES112+'Predicted PPIs'!ES111)))*IF(EG$26=".", 1, (EG112/EG111)^(('Summary, PPI''s'!$F112+'Summary, PPI''s'!$F111)/('Predicted PPIs'!ES112+'Predicted PPIs'!ES111)))*IF(EH$26=".", 1, (EH112/EH111)^(('Summary, PPI''s'!$G112+'Summary, PPI''s'!$G111)/('Predicted PPIs'!ES112+'Predicted PPIs'!ES111)))*IF(EI$26=".", 1, (EI112/EI111)^(('Summary, PPI''s'!$H112+'Summary, PPI''s'!$H111)/('Predicted PPIs'!ES112+'Predicted PPIs'!ES111)))*IF(EJ$26=".", 1, (EJ112/EJ111)^(('Summary, PPI''s'!$I112+'Summary, PPI''s'!$I111)/('Predicted PPIs'!ES112+'Predicted PPIs'!ES111)))*IF(EK$26=".", 1, (EK112/EK111)^(('Summary, PPI''s'!$J112+'Summary, PPI''s'!$J111)/('Predicted PPIs'!ES112+'Predicted PPIs'!ES111)))*IF(EL$26=".", 1, (EL112/EL111)^(('Summary, PPI''s'!$K112+'Summary, PPI''s'!$K111)/('Predicted PPIs'!ES112+'Predicted PPIs'!ES111)))*IF(EM$26=".", 1, (EM112/EM111)^(('Summary, PPI''s'!$L112+'Summary, PPI''s'!$L111)/('Predicted PPIs'!ES112+'Predicted PPIs'!ES111)))*IF(EN$26=".", 1, (EN112/EN111)^(('Summary, PPI''s'!$M112+'Summary, PPI''s'!$M111)/('Predicted PPIs'!ES112+'Predicted PPIs'!ES111)))*IF(EC$26=".", 1, (EC112/EC111)^(('Summary, PPI''s'!$B112+'Summary, PPI''s'!$B111)/('Predicted PPIs'!ES112+'Predicted PPIs'!ES111)))*IF(ED$26=".", 1, (ED112/ED111)^(('Summary, PPI''s'!$C112+'Summary, PPI''s'!$C111)/('Predicted PPIs'!ES112+'Predicted PPIs'!ES111)))*IF(EE$26=".", 1, (EE112/EE111)^(('Summary, PPI''s'!$D112+'Summary, PPI''s'!$D111)/('Predicted PPIs'!ES112+'Predicted PPIs'!ES111)))*IF(EO$26=".", 1, (EO112/EO111)^(('Summary, PPI''s'!$N112+'Summary, PPI''s'!$N111)/('Predicted PPIs'!ES112+'Predicted PPIs'!ES111)))*IF(EP$26=".", 1, (EP112/EP111)^(('Summary, PPI''s'!$O112+'Summary, PPI''s'!$O111)/('Predicted PPIs'!ES112+'Predicted PPIs'!ES111)))*IF(EQ$26=".", 1, (EQ112/EQ111)^(('Summary, PPI''s'!$P112+'Summary, PPI''s'!$P111)/('Predicted PPIs'!ES112+'Predicted PPIs'!ES111)))</f>
        <v>1.6014741742494643</v>
      </c>
      <c r="EW112" s="13">
        <f>EW111*IF(EF$26=".", 1, (EF112/EF111)^(('Summary, PPI''s'!$E112+'Summary, PPI''s'!$E111)/('Predicted PPIs'!ET112+'Predicted PPIs'!ET111)))*IF(EG$26=".", 1, (EG112/EG111)^(('Summary, PPI''s'!$F112+'Summary, PPI''s'!$F111)/('Predicted PPIs'!ET112+'Predicted PPIs'!ET111)))*IF(EH$26=".", 1, (EH112/EH111)^(('Summary, PPI''s'!$G112+'Summary, PPI''s'!$G111)/('Predicted PPIs'!ET112+'Predicted PPIs'!ET111)))*IF(EK$26=".", 1, (EK112/EK111)^(('Summary, PPI''s'!$J112+'Summary, PPI''s'!$J111)/('Predicted PPIs'!ET112+'Predicted PPIs'!ET111)))*IF(EL$26=".", 1, (EL112/EL111)^(('Summary, PPI''s'!$K112+'Summary, PPI''s'!$K111)/('Predicted PPIs'!ET112+'Predicted PPIs'!ET111)))*IF(EM$26=".", 1, (EM112/EM111)^(('Summary, PPI''s'!$L112+'Summary, PPI''s'!$L111)/('Predicted PPIs'!ET112+'Predicted PPIs'!ET111)))*IF(EN$26=".", 1, (EN112/EN111)^(('Summary, PPI''s'!$M112+'Summary, PPI''s'!$M111)/('Predicted PPIs'!ET112+'Predicted PPIs'!ET111)))*IF(EC$26=".", 1, (EC112/EC111)^(('Summary, PPI''s'!$B112+'Summary, PPI''s'!$B111)/('Predicted PPIs'!ET112+'Predicted PPIs'!ET111)))</f>
        <v>3.3613762694698495</v>
      </c>
      <c r="EY112" s="2"/>
    </row>
    <row r="113" spans="1:155" x14ac:dyDescent="0.3">
      <c r="A113" s="4">
        <v>1910</v>
      </c>
      <c r="B113" s="10">
        <f>IF(B112=".", ".", IF('Summary, PPI''s'!R113=".",IF(OR('Summary, hourly ad costs'!R113=-9999,'Summary, hourly ad costs'!R113=0), ".", 'Predicted PPIs'!B112*('Summary, hourly ad costs'!B113/'Summary, hourly ad costs'!R113)/('Summary, hourly ad costs'!B112/'Summary, hourly ad costs'!R112)), 'Summary, PPI''s'!R113))</f>
        <v>58.720877496716362</v>
      </c>
      <c r="C113" s="10" t="str">
        <f>IF(C112=".", ".", IF('Summary, PPI''s'!S113=".",IF(OR('Summary, hourly ad costs'!S113=-9999,'Summary, hourly ad costs'!S113=0), ".", 'Predicted PPIs'!C112*('Summary, hourly ad costs'!C113/'Summary, hourly ad costs'!S113)/('Summary, hourly ad costs'!C112/'Summary, hourly ad costs'!S112)), 'Summary, PPI''s'!S113))</f>
        <v>.</v>
      </c>
      <c r="D113" s="10" t="str">
        <f>IF(D112=".", ".", IF('Summary, PPI''s'!T113=".",IF(OR('Summary, hourly ad costs'!T113=-9999,'Summary, hourly ad costs'!T113=0), ".", 'Predicted PPIs'!D112*('Summary, hourly ad costs'!D113/'Summary, hourly ad costs'!T113)/('Summary, hourly ad costs'!D112/'Summary, hourly ad costs'!T112)), 'Summary, PPI''s'!T113))</f>
        <v>.</v>
      </c>
      <c r="E113" s="10">
        <f>IF(E112=".", ".", IF('Summary, PPI''s'!U113=".",IF(OR('Summary, hourly ad costs'!U113=-9999,'Summary, hourly ad costs'!U113=0), ".", 'Predicted PPIs'!E112*('Summary, hourly ad costs'!E113/'Summary, hourly ad costs'!U113)/('Summary, hourly ad costs'!E112/'Summary, hourly ad costs'!U112)), 'Summary, PPI''s'!U113))</f>
        <v>1.0708990417978685</v>
      </c>
      <c r="F113" s="10">
        <f>IF(F112=".", ".", IF('Summary, PPI''s'!V113=".",IF(OR('Summary, hourly ad costs'!V113=-9999,'Summary, hourly ad costs'!V113=0), ".", 'Predicted PPIs'!F112*('Summary, hourly ad costs'!F113/'Summary, hourly ad costs'!V113)/('Summary, hourly ad costs'!F112/'Summary, hourly ad costs'!V112)), 'Summary, PPI''s'!V113))</f>
        <v>0.89401836289388248</v>
      </c>
      <c r="G113" s="10" t="str">
        <f>IF(G112=".", ".", IF('Summary, PPI''s'!W113=".",IF(OR('Summary, hourly ad costs'!W113=-9999,'Summary, hourly ad costs'!W113=0), ".", 'Predicted PPIs'!G112*('Summary, hourly ad costs'!G113/'Summary, hourly ad costs'!W113)/('Summary, hourly ad costs'!G112/'Summary, hourly ad costs'!W112)), 'Summary, PPI''s'!W113))</f>
        <v>.</v>
      </c>
      <c r="H113" s="10">
        <f>IF(H112=".", ".", IF('Summary, PPI''s'!X113=".",IF(OR('Summary, hourly ad costs'!X113=-9999,'Summary, hourly ad costs'!X113=0), ".", 'Predicted PPIs'!H112*('Summary, hourly ad costs'!H113/'Summary, hourly ad costs'!X113)/('Summary, hourly ad costs'!H112/'Summary, hourly ad costs'!X112)), 'Summary, PPI''s'!X113))</f>
        <v>0.91292620680044567</v>
      </c>
      <c r="I113" s="10" t="str">
        <f>IF(I112=".", ".", IF('Summary, PPI''s'!Y113=".",IF(OR('Summary, hourly ad costs'!Y113=-9999,'Summary, hourly ad costs'!Y113=0), ".", 'Predicted PPIs'!I112*('Summary, hourly ad costs'!I113/'Summary, hourly ad costs'!Y113)/('Summary, hourly ad costs'!I112/'Summary, hourly ad costs'!Y112)), 'Summary, PPI''s'!Y113))</f>
        <v>.</v>
      </c>
      <c r="J113" s="10" t="str">
        <f>IF(J112=".", ".", IF('Summary, PPI''s'!Z113=".",IF(OR('Summary, hourly ad costs'!Z113=-9999,'Summary, hourly ad costs'!Z113=0), ".", 'Predicted PPIs'!J112*('Summary, hourly ad costs'!J113/'Summary, hourly ad costs'!Z113)/('Summary, hourly ad costs'!J112/'Summary, hourly ad costs'!Z112)), 'Summary, PPI''s'!Z113))</f>
        <v>.</v>
      </c>
      <c r="K113" s="10" t="str">
        <f>IF(K112=".", ".", IF('Summary, PPI''s'!AA113=".",IF(OR('Summary, hourly ad costs'!AA113=-9999,'Summary, hourly ad costs'!AA113=0), ".", 'Predicted PPIs'!K112*('Summary, hourly ad costs'!K113/'Summary, hourly ad costs'!AA113)/('Summary, hourly ad costs'!K112/'Summary, hourly ad costs'!AA112)), 'Summary, PPI''s'!AA113))</f>
        <v>.</v>
      </c>
      <c r="L113" s="10" t="str">
        <f>IF(L112=".", ".", IF('Summary, PPI''s'!AB113=".",IF(OR('Summary, hourly ad costs'!AB113=-9999,'Summary, hourly ad costs'!AB113=0), ".", 'Predicted PPIs'!L112*('Summary, hourly ad costs'!L113/'Summary, hourly ad costs'!AB113)/('Summary, hourly ad costs'!L112/'Summary, hourly ad costs'!AB112)), 'Summary, PPI''s'!AB113))</f>
        <v>.</v>
      </c>
      <c r="M113" s="10" t="str">
        <f>IF(M112=".", ".", IF('Summary, PPI''s'!AC113=".",IF(OR('Summary, hourly ad costs'!AC113=-9999,'Summary, hourly ad costs'!AC113=0), ".", 'Predicted PPIs'!M112*('Summary, hourly ad costs'!M113/'Summary, hourly ad costs'!AC113)/('Summary, hourly ad costs'!M112/'Summary, hourly ad costs'!AC112)), 'Summary, PPI''s'!AC113))</f>
        <v>.</v>
      </c>
      <c r="N113" s="10" t="str">
        <f>IF(N112=".", ".", IF('Summary, PPI''s'!AD113=".",IF(OR('Summary, hourly ad costs'!AD113=-9999,'Summary, hourly ad costs'!AD113=0), ".", 'Predicted PPIs'!N112*('Summary, hourly ad costs'!N113/'Summary, hourly ad costs'!AD113)/('Summary, hourly ad costs'!N112/'Summary, hourly ad costs'!AD112)), 'Summary, PPI''s'!AD113))</f>
        <v>.</v>
      </c>
      <c r="O113" s="10" t="str">
        <f>IF(O112=".", ".", IF('Summary, PPI''s'!AE113=".",IF(OR('Summary, hourly ad costs'!AE113=-9999,'Summary, hourly ad costs'!AE113=0), ".", 'Predicted PPIs'!O112*('Summary, hourly ad costs'!O113/'Summary, hourly ad costs'!AE113)/('Summary, hourly ad costs'!O112/'Summary, hourly ad costs'!AE112)), 'Summary, PPI''s'!AE113))</f>
        <v>.</v>
      </c>
      <c r="P113" s="10" t="str">
        <f>IF(P112=".", ".", IF('Summary, PPI''s'!AF113=".",IF(OR('Summary, hourly ad costs'!AF113=-9999,'Summary, hourly ad costs'!AF113=0), ".", 'Predicted PPIs'!P112*('Summary, hourly ad costs'!P113/'Summary, hourly ad costs'!AF113)/('Summary, hourly ad costs'!P112/'Summary, hourly ad costs'!AF112)), 'Summary, PPI''s'!AF113))</f>
        <v>.</v>
      </c>
      <c r="R113" s="1">
        <f>IF(E$26=".", 0, 'Summary, PPI''s'!E113)+IF(F$26=".", 0, 'Summary, PPI''s'!F113)+IF(G$26=".", 0, 'Summary, PPI''s'!G113)+IF(H$26=".", 0, 'Summary, PPI''s'!H113)+IF(I$26=".", 0, 'Summary, PPI''s'!I113)+IF(J$26=".", 0, 'Summary, PPI''s'!J113)+IF(K$26=".", 0, 'Summary, PPI''s'!K113)+IF(L$26=".", 0, 'Summary, PPI''s'!L113)+IF(M$26=".", 0, 'Summary, PPI''s'!M113)+IF(B$26=".", 0, 'Summary, PPI''s'!B113)+IF(C$26=".", 0, 'Summary, PPI''s'!C113)+IF(D$26=".", 0, 'Summary, PPI''s'!D113)+IF(N$26=".", 0, 'Summary, PPI''s'!N113)+IF(O$26=".", 0, 'Summary, PPI''s'!O113)+IF(P$26=".", 0, 'Summary, PPI''s'!P113)</f>
        <v>708313.29554886546</v>
      </c>
      <c r="S113" s="1">
        <f>IF(E$36=".", 0, 'Summary, PPI''s'!E113)+IF(F$36=".", 0, 'Summary, PPI''s'!F113)+IF(G$36=".", 0, 'Summary, PPI''s'!G113)+IF(H$36=".", 0, 'Summary, PPI''s'!H113)+IF(I$36=".", 0, 'Summary, PPI''s'!I113)+IF(J$36=".", 0, 'Summary, PPI''s'!J113)+IF(K$36=".", 0, 'Summary, PPI''s'!K113)+IF(L$36=".", 0, 'Summary, PPI''s'!L113)+IF(M$36=".", 0, 'Summary, PPI''s'!M113)+IF(B$36=".", 0, 'Summary, PPI''s'!B113)+IF(C$36=".", 0, 'Summary, PPI''s'!C113)+IF(D$36=".", 0, 'Summary, PPI''s'!D113)+IF(N$36=".", 0, 'Summary, PPI''s'!N113)+IF(O$36=".", 0, 'Summary, PPI''s'!O113)+IF(P$36=".", 0, 'Summary, PPI''s'!P113)</f>
        <v>708313.29554886546</v>
      </c>
      <c r="T113" s="1">
        <f>IF(E$46=".", 0, 'Summary, PPI''s'!E113)+IF(F$46=".", 0, 'Summary, PPI''s'!F113)+IF(G$46=".", 0, 'Summary, PPI''s'!G113)+IF(H$46=".", 0, 'Summary, PPI''s'!H113)+IF(I$46=".", 0, 'Summary, PPI''s'!I113)+IF(J$46=".", 0, 'Summary, PPI''s'!J113)+IF(K$46=".", 0, 'Summary, PPI''s'!K113)+IF(L$46=".", 0, 'Summary, PPI''s'!L113)+IF(M$46=".", 0, 'Summary, PPI''s'!M113)+IF(B$46=".", 0, 'Summary, PPI''s'!B113)+IF(C$46=".", 0, 'Summary, PPI''s'!C113)+IF(D$46=".", 0, 'Summary, PPI''s'!D113)+IF(N$46=".", 0, 'Summary, PPI''s'!N113)+IF(O$46=".", 0, 'Summary, PPI''s'!O113)+IF(P$46=".", 0, 'Summary, PPI''s'!P113)</f>
        <v>640334.31760053989</v>
      </c>
      <c r="U113" s="1">
        <f>IF(E$60=".", 0, 'Summary, PPI''s'!E113)+IF(F$60=".", 0, 'Summary, PPI''s'!F113)+IF(G$60=".", 0, 'Summary, PPI''s'!G113)+IF(H$60=".", 0, 'Summary, PPI''s'!H113)+IF(I$60=".", 0, 'Summary, PPI''s'!I113)+IF(J$60=".", 0, 'Summary, PPI''s'!J113)+IF(K$60=".", 0, 'Summary, PPI''s'!K113)+IF(L$60=".", 0, 'Summary, PPI''s'!L113)+IF(M$60=".", 0, 'Summary, PPI''s'!M113)+IF(B$60=".", 0, 'Summary, PPI''s'!B113)+IF(C$60=".", 0, 'Summary, PPI''s'!C113)+IF(D$60=".", 0, 'Summary, PPI''s'!D113)+IF(N$60=".", 0, 'Summary, PPI''s'!N113)+IF(O$60=".", 0, 'Summary, PPI''s'!O113)+IF(P$60=".", 0, 'Summary, PPI''s'!P113)</f>
        <v>614051.76646287227</v>
      </c>
      <c r="V113" s="1">
        <f>IF(E$73=".", 0, 'Summary, PPI''s'!E113)+IF(F$73=".", 0, 'Summary, PPI''s'!F113)+IF(G$73=".", 0, 'Summary, PPI''s'!G113)+IF(H$73=".", 0, 'Summary, PPI''s'!H113)+IF(I$73=".", 0, 'Summary, PPI''s'!I113)+IF(J$73=".", 0, 'Summary, PPI''s'!J113)+IF(K$73=".", 0, 'Summary, PPI''s'!K113)+IF(L$73=".", 0, 'Summary, PPI''s'!L113)+IF(M$73=".", 0, 'Summary, PPI''s'!M113)+IF(B$73=".", 0, 'Summary, PPI''s'!B113)+IF(C$73=".", 0, 'Summary, PPI''s'!C113)+IF(D$73=".", 0, 'Summary, PPI''s'!D113)+IF(N$73=".", 0, 'Summary, PPI''s'!N113)+IF(O$73=".", 0, 'Summary, PPI''s'!O113)+IF(P$73=".", 0, 'Summary, PPI''s'!P113)</f>
        <v>429386.66432796186</v>
      </c>
      <c r="W113" s="1">
        <f>IF(E$94=".",0,'Summary, PPI''s'!E113)+IF(F$94=".",0,'Summary, PPI''s'!F113)+IF(G$94=".",0,'Summary, PPI''s'!G113)+IF(H$94=".",0,'Summary, PPI''s'!H113)+IF(I$94=".",0,'Summary, PPI''s'!I113)+IF(J$94=".",0,'Summary, PPI''s'!J113)+IF(K$94=".",0,'Summary, PPI''s'!K113)+IF(L$94=".",0,'Summary, PPI''s'!L113)+IF(M$94=".",0,'Summary, PPI''s'!M113)+IF(B$94=".",0,'Summary, PPI''s'!B113)+IF(C$94=".",0,'Summary, PPI''s'!C113)+IF(D$94=".",0,'Summary, PPI''s'!D113)+IF(N$94=".",0,'Summary, PPI''s'!N113)+IF(O$94=".",0,'Summary, PPI''s'!O113)+IF(P$94=".",0,'Summary, PPI''s'!P113)</f>
        <v>429386.66432796186</v>
      </c>
      <c r="X113" s="1">
        <f>IF(E$123=".", 0, 'Summary, PPI''s'!E113)+IF(F$123=".", 0, 'Summary, PPI''s'!F113)+IF(G$123=".", 0, 'Summary, PPI''s'!G113)+IF(H$123=".", 0, 'Summary, PPI''s'!H113)+IF(I$123=".", 0, 'Summary, PPI''s'!I113)+IF(J$123=".", 0, 'Summary, PPI''s'!J113)+IF(K$123=".", 0, 'Summary, PPI''s'!K113)+IF(L$123=".", 0, 'Summary, PPI''s'!L113)+IF(M$123=".", 0, 'Summary, PPI''s'!M113)+IF(B$123=".", 0, 'Summary, PPI''s'!B113)+IF(C$123=".", 0, 'Summary, PPI''s'!C113)+IF(D$123=".", 0, 'Summary, PPI''s'!D113)+IF(N$123=".", 0, 'Summary, PPI''s'!N113)+IF(O$123=".", 0, 'Summary, PPI''s'!O113)+IF(P$123=".", 0, 'Summary, PPI''s'!P113)</f>
        <v>429386.66432796186</v>
      </c>
      <c r="Z113" s="4" t="e">
        <f>Z112*IF(E$26=".", 1, (E113/E112)^(('Summary, PPI''s'!$E113+'Summary, PPI''s'!$E112)/('Predicted PPIs'!R113+'Predicted PPIs'!R112)))*IF(F$26=".", 1, (F113/F112)^(('Summary, PPI''s'!$F113+'Summary, PPI''s'!$F112)/('Predicted PPIs'!R113+'Predicted PPIs'!R112)))*IF(G$26=".", 1, (G113/G112)^(('Summary, PPI''s'!$G113+'Summary, PPI''s'!$G112)/('Predicted PPIs'!R113+'Predicted PPIs'!R112)))*IF(H$26=".", 1, (H113/H112)^(('Summary, PPI''s'!$H113+'Summary, PPI''s'!$H112)/('Predicted PPIs'!R113+'Predicted PPIs'!R112)))*IF(I$26=".", 1, (I113/I112)^(('Summary, PPI''s'!$I113+'Summary, PPI''s'!$I112)/('Predicted PPIs'!R113+'Predicted PPIs'!R112)))*IF(J$26=".", 1, (J113/J112)^(('Summary, PPI''s'!$J113+'Summary, PPI''s'!$J112)/('Predicted PPIs'!R113+'Predicted PPIs'!R112)))*IF(K$26=".", 1, (K113/K112)^(('Summary, PPI''s'!$K113+'Summary, PPI''s'!$K112)/('Predicted PPIs'!R113+'Predicted PPIs'!R112)))*IF(L$26=".", 1, (L113/L112)^(('Summary, PPI''s'!$L113+'Summary, PPI''s'!$L112)/('Predicted PPIs'!R113+'Predicted PPIs'!R112)))*IF(M$26=".", 1, (M113/M112)^(('Summary, PPI''s'!$M113+'Summary, PPI''s'!$M112)/('Predicted PPIs'!R113+'Predicted PPIs'!R112)))*IF(B$26=".", 1, (B113/B112)^(('Summary, PPI''s'!$B113+'Summary, PPI''s'!$B112)/('Predicted PPIs'!R113+'Predicted PPIs'!R112)))*IF(C$26=".", 1, (C113/C112)^(('Summary, PPI''s'!$C113+'Summary, PPI''s'!$C112)/('Predicted PPIs'!R113+'Predicted PPIs'!R112)))*IF(D$26=".", 1, (D113/D112)^(('Summary, PPI''s'!$D113+'Summary, PPI''s'!$D112)/('Predicted PPIs'!R113+'Predicted PPIs'!R112)))*IF(N$26=".", 1, (N113/N112)^(('Summary, PPI''s'!$N113+'Summary, PPI''s'!$N112)/('Predicted PPIs'!R113+'Predicted PPIs'!R112)))*IF(O$26=".", 1, (O113/O112)^(('Summary, PPI''s'!$O113+'Summary, PPI''s'!$O112)/('Predicted PPIs'!R113+'Predicted PPIs'!R112)))*IF(P$26=".", 1, (P113/P112)^(('Summary, PPI''s'!$P113+'Summary, PPI''s'!$P112)/('Predicted PPIs'!R113+'Predicted PPIs'!R112)))</f>
        <v>#VALUE!</v>
      </c>
      <c r="AA113" s="4" t="e">
        <f>AA112*IF(E$36=".", 1, (E113/E112)^(('Summary, PPI''s'!$E113+'Summary, PPI''s'!$E112)/('Predicted PPIs'!S113+'Predicted PPIs'!S112)))*IF(F$36=".", 1, (F113/F112)^(('Summary, PPI''s'!$F113+'Summary, PPI''s'!$F112)/('Predicted PPIs'!S113+'Predicted PPIs'!S112)))*IF(G$36=".", 1, (G113/G112)^(('Summary, PPI''s'!$G113+'Summary, PPI''s'!$G112)/('Predicted PPIs'!S113+'Predicted PPIs'!S112)))*IF(H$36=".", 1, (H113/H112)^(('Summary, PPI''s'!$H113+'Summary, PPI''s'!$H112)/('Predicted PPIs'!S113+'Predicted PPIs'!S112)))*IF(I$36=".", 1, (I113/I112)^(('Summary, PPI''s'!$I113+'Summary, PPI''s'!$I112)/('Predicted PPIs'!S113+'Predicted PPIs'!S112)))*IF(J$36=".", 1, (J113/J112)^(('Summary, PPI''s'!$J113+'Summary, PPI''s'!$J112)/('Predicted PPIs'!S113+'Predicted PPIs'!S112)))*IF(K$36=".", 1, (K113/K112)^(('Summary, PPI''s'!$K113+'Summary, PPI''s'!$K112)/('Predicted PPIs'!S113+'Predicted PPIs'!S112)))*IF(L$36=".", 1, (L113/L112)^(('Summary, PPI''s'!$L113+'Summary, PPI''s'!$L112)/('Predicted PPIs'!S113+'Predicted PPIs'!S112)))*IF(M$36=".", 1, (M113/M112)^(('Summary, PPI''s'!$M113+'Summary, PPI''s'!$M112)/('Predicted PPIs'!S113+'Predicted PPIs'!S112)))*IF(B$36=".", 1, (B113/B112)^(('Summary, PPI''s'!$B113+'Summary, PPI''s'!$B112)/('Predicted PPIs'!S113+'Predicted PPIs'!S112)))*IF(C$36=".", 1, (C113/C112)^(('Summary, PPI''s'!$C113+'Summary, PPI''s'!$C112)/('Predicted PPIs'!S113+'Predicted PPIs'!S112)))*IF(D$36=".", 1, (D113/D112)^(('Summary, PPI''s'!$D113+'Summary, PPI''s'!$D112)/('Predicted PPIs'!S113+'Predicted PPIs'!S112)))*IF(N$36=".", 1, (N113/N112)^(('Summary, PPI''s'!$N113+'Summary, PPI''s'!$N112)/('Predicted PPIs'!S113+'Predicted PPIs'!S112)))*IF(O$36=".", 1, (O113/O112)^(('Summary, PPI''s'!$O113+'Summary, PPI''s'!$O112)/('Predicted PPIs'!S113+'Predicted PPIs'!S112)))*IF(P$36=".", 1, (P113/P112)^(('Summary, PPI''s'!$P113+'Summary, PPI''s'!$P112)/('Predicted PPIs'!S113+'Predicted PPIs'!S112)))</f>
        <v>#VALUE!</v>
      </c>
      <c r="AB113" s="4" t="e">
        <f>AB112*IF(E$46=".", 1, (E113/E112)^(('Summary, PPI''s'!$E113+'Summary, PPI''s'!$E112)/('Predicted PPIs'!T113+'Predicted PPIs'!T112)))*IF(F$46=".", 1, (F113/F112)^(('Summary, PPI''s'!$F113+'Summary, PPI''s'!$F112)/('Predicted PPIs'!T113+'Predicted PPIs'!T112)))*IF(G$46=".", 1, (G113/G112)^(('Summary, PPI''s'!$G113+'Summary, PPI''s'!$G112)/('Predicted PPIs'!T113+'Predicted PPIs'!T112)))*IF(H$46=".", 1, (H113/H112)^(('Summary, PPI''s'!$H113+'Summary, PPI''s'!$H112)/('Predicted PPIs'!T113+'Predicted PPIs'!T112)))*IF(I$46=".", 1, (I113/I112)^(('Summary, PPI''s'!$I113+'Summary, PPI''s'!$I112)/('Predicted PPIs'!T113+'Predicted PPIs'!T112)))*IF(J$46=".", 1, (J113/J112)^(('Summary, PPI''s'!$J113+'Summary, PPI''s'!$J112)/('Predicted PPIs'!T113+'Predicted PPIs'!T112)))*IF(K$46=".", 1, (K113/K112)^(('Summary, PPI''s'!$K113+'Summary, PPI''s'!$K112)/('Predicted PPIs'!T113+'Predicted PPIs'!T112)))*IF(L$46=".", 1, (L113/L112)^(('Summary, PPI''s'!$L113+'Summary, PPI''s'!$L112)/('Predicted PPIs'!T113+'Predicted PPIs'!T112)))*IF(M$46=".", 1, (M113/M112)^(('Summary, PPI''s'!$M113+'Summary, PPI''s'!$M112)/('Predicted PPIs'!T113+'Predicted PPIs'!T112)))*IF(B$46=".", 1, (B113/B112)^(('Summary, PPI''s'!$B113+'Summary, PPI''s'!$B112)/('Predicted PPIs'!T113+'Predicted PPIs'!T112)))*IF(C$46=".", 1, (C113/C112)^(('Summary, PPI''s'!$C113+'Summary, PPI''s'!$C112)/('Predicted PPIs'!T113+'Predicted PPIs'!T112)))*IF(D$46=".", 1, (D113/D112)^(('Summary, PPI''s'!$D113+'Summary, PPI''s'!$D112)/('Predicted PPIs'!T113+'Predicted PPIs'!T112)))*IF(N$46=".", 1, (N113/N112)^(('Summary, PPI''s'!$N113+'Summary, PPI''s'!$N112)/('Predicted PPIs'!T113+'Predicted PPIs'!T112)))*IF(O$46=".", 1, (O113/O112)^(('Summary, PPI''s'!$O113+'Summary, PPI''s'!$O112)/('Predicted PPIs'!T113+'Predicted PPIs'!T112)))*IF(P$46=".", 1, (P113/P112)^(('Summary, PPI''s'!$P113+'Summary, PPI''s'!$P112)/('Predicted PPIs'!T113+'Predicted PPIs'!T112)))</f>
        <v>#VALUE!</v>
      </c>
      <c r="AC113" s="4" t="e">
        <f>AC112*IF(E$60=".",1,(E113/E112)^(('Summary, PPI''s'!$E113+'Summary, PPI''s'!$E112)/('Predicted PPIs'!U113+'Predicted PPIs'!U112)))*IF(F$60=".",1,(F113/F112)^(('Summary, PPI''s'!$F113+'Summary, PPI''s'!$F112)/('Predicted PPIs'!U113+'Predicted PPIs'!U112)))*IF(G$60=".",1,(G113/G112)^(('Summary, PPI''s'!$G113+'Summary, PPI''s'!$G112)/('Predicted PPIs'!U113+'Predicted PPIs'!U112)))*IF(H$60=".",1,(H113/H112)^(('Summary, PPI''s'!$H113+'Summary, PPI''s'!$H112)/('Predicted PPIs'!U113+'Predicted PPIs'!U112)))*IF(I$60=".",1,(I113/I112)^(('Summary, PPI''s'!$I113+'Summary, PPI''s'!$I112)/('Predicted PPIs'!U113+'Predicted PPIs'!U112)))*IF(J$60=".",1,(J113/J112)^(('Summary, PPI''s'!$J113+'Summary, PPI''s'!$J112)/('Predicted PPIs'!U113+'Predicted PPIs'!U112)))*IF(K$60=".",1,(K113/K112)^(('Summary, PPI''s'!$K113+'Summary, PPI''s'!$K112)/('Predicted PPIs'!U113+'Predicted PPIs'!U112)))*IF(L$60=".",1,(L113/L112)^(('Summary, PPI''s'!$L113+'Summary, PPI''s'!$L112)/('Predicted PPIs'!U113+'Predicted PPIs'!U112)))*IF(M$60=".",1,(M113/M112)^(('Summary, PPI''s'!$M113+'Summary, PPI''s'!$M112)/('Predicted PPIs'!U113+'Predicted PPIs'!U112)))*IF(B$60=".",1,(B113/B112)^(('Summary, PPI''s'!$B113+'Summary, PPI''s'!$B112)/('Predicted PPIs'!U113+'Predicted PPIs'!U112)))*IF(C$60=".",1,(C113/C112)^(('Summary, PPI''s'!$C113+'Summary, PPI''s'!$C112)/('Predicted PPIs'!U113+'Predicted PPIs'!U112)))*IF(D$60=".",1,(D113/D112)^(('Summary, PPI''s'!$D113+'Summary, PPI''s'!$D112)/('Predicted PPIs'!U113+'Predicted PPIs'!U112)))*IF(N$60=".",1,(N113/N112)^(('Summary, PPI''s'!$N113+'Summary, PPI''s'!$N112)/('Predicted PPIs'!U113+'Predicted PPIs'!U112)))*IF(O$60=".",1,(O113/O112)^(('Summary, PPI''s'!$O113+'Summary, PPI''s'!$O112)/('Predicted PPIs'!U113+'Predicted PPIs'!U112)))*IF(P$60=".",1,(P113/P112)^(('Summary, PPI''s'!$P113+'Summary, PPI''s'!$P112)/('Predicted PPIs'!U113+'Predicted PPIs'!U112)))</f>
        <v>#VALUE!</v>
      </c>
      <c r="AD113" s="4" t="e">
        <f>AD112*IF(E$73=".", 1, (E113/E112)^(('Summary, PPI''s'!$E113+'Summary, PPI''s'!$E112)/('Predicted PPIs'!V113+'Predicted PPIs'!V112)))*IF(F$73=".", 1, (F113/F112)^(('Summary, PPI''s'!$F113+'Summary, PPI''s'!$F112)/('Predicted PPIs'!V113+'Predicted PPIs'!V112)))*IF(G$73=".", 1, (G113/G112)^(('Summary, PPI''s'!$G113+'Summary, PPI''s'!$G112)/('Predicted PPIs'!V113+'Predicted PPIs'!V112)))*IF(H$73=".", 1, (H113/H112)^(('Summary, PPI''s'!$H113+'Summary, PPI''s'!$H112)/('Predicted PPIs'!V113+'Predicted PPIs'!V112)))*IF(I$73=".", 1, (I113/I112)^(('Summary, PPI''s'!$I113+'Summary, PPI''s'!$I112)/('Predicted PPIs'!V113+'Predicted PPIs'!V112)))*IF(J$73=".", 1, (J113/J112)^(('Summary, PPI''s'!$J113+'Summary, PPI''s'!$J112)/('Predicted PPIs'!V113+'Predicted PPIs'!V112)))*IF(K$73=".", 1, (K113/K112)^(('Summary, PPI''s'!$K113+'Summary, PPI''s'!$K112)/('Predicted PPIs'!V113+'Predicted PPIs'!V112)))*IF(L$73=".", 1, (L113/L112)^(('Summary, PPI''s'!$L113+'Summary, PPI''s'!$L112)/('Predicted PPIs'!V113+'Predicted PPIs'!V112)))*IF(M$73=".", 1, (M113/M112)^(('Summary, PPI''s'!$M113+'Summary, PPI''s'!$M112)/('Predicted PPIs'!V113+'Predicted PPIs'!V112)))*IF(B$73=".", 1, (B113/B112)^(('Summary, PPI''s'!$B113+'Summary, PPI''s'!$B112)/('Predicted PPIs'!V113+'Predicted PPIs'!V112)))*IF(C$73=".", 1, (C113/C112)^(('Summary, PPI''s'!$C113+'Summary, PPI''s'!$C112)/('Predicted PPIs'!V113+'Predicted PPIs'!V112)))*IF(D$73=".", 1, (D113/D112)^(('Summary, PPI''s'!$D113+'Summary, PPI''s'!$D112)/('Predicted PPIs'!V113+'Predicted PPIs'!V112)))*IF(N$73=".", 1, (N113/N112)^(('Summary, PPI''s'!$N113+'Summary, PPI''s'!$N112)/('Predicted PPIs'!V113+'Predicted PPIs'!V112)))*IF(O$73=".", 1, (O113/O112)^(('Summary, PPI''s'!$O113+'Summary, PPI''s'!$O112)/('Predicted PPIs'!V113+'Predicted PPIs'!V112)))*IF(P$73=".", 1, (P113/P112)^(('Summary, PPI''s'!$P113+'Summary, PPI''s'!$P112)/('Predicted PPIs'!V113+'Predicted PPIs'!V112)))</f>
        <v>#VALUE!</v>
      </c>
      <c r="AE113" s="4" t="e">
        <f>AE112*IF(E$94=".", 1, (E113/E112)^(('Summary, PPI''s'!$E113+'Summary, PPI''s'!$E112)/('Predicted PPIs'!W113+'Predicted PPIs'!W112)))*IF(F$94=".", 1, (F113/F112)^(('Summary, PPI''s'!$F113+'Summary, PPI''s'!$F112)/('Predicted PPIs'!W113+'Predicted PPIs'!W112)))*IF(G$94=".", 1, (G113/G112)^(('Summary, PPI''s'!$G113+'Summary, PPI''s'!$G112)/('Predicted PPIs'!W113+'Predicted PPIs'!W112)))*IF(H$94=".", 1, (H113/H112)^(('Summary, PPI''s'!$H113+'Summary, PPI''s'!$H112)/('Predicted PPIs'!W113+'Predicted PPIs'!W112)))*IF(I$94=".", 1, (I113/I112)^(('Summary, PPI''s'!$I113+'Summary, PPI''s'!$I112)/('Predicted PPIs'!W113+'Predicted PPIs'!W112)))*IF(J$94=".", 1, (J113/J112)^(('Summary, PPI''s'!$J113+'Summary, PPI''s'!$J112)/('Predicted PPIs'!W113+'Predicted PPIs'!W112)))*IF(K$94=".", 1, (K113/K112)^(('Summary, PPI''s'!$K113+'Summary, PPI''s'!$K112)/('Predicted PPIs'!W113+'Predicted PPIs'!W112)))*IF(L$94=".", 1, (L113/L112)^(('Summary, PPI''s'!$L113+'Summary, PPI''s'!$L112)/('Predicted PPIs'!W113+'Predicted PPIs'!W112)))*IF(M$94=".", 1, (M113/M112)^(('Summary, PPI''s'!$M113+'Summary, PPI''s'!$M112)/('Predicted PPIs'!W113+'Predicted PPIs'!W112)))*IF(B$94=".", 1, (B113/B112)^(('Summary, PPI''s'!$B113+'Summary, PPI''s'!$B112)/('Predicted PPIs'!W113+'Predicted PPIs'!W112)))*IF(C$94=".", 1, (C113/C112)^(('Summary, PPI''s'!$C113+'Summary, PPI''s'!$C112)/('Predicted PPIs'!W113+'Predicted PPIs'!W112)))*IF(D$94=".", 1, (D113/D112)^(('Summary, PPI''s'!$D113+'Summary, PPI''s'!$D112)/('Predicted PPIs'!W113+'Predicted PPIs'!W112)))*IF(N$94=".", 1, (N113/N112)^(('Summary, PPI''s'!$N113+'Summary, PPI''s'!$N112)/('Predicted PPIs'!W113+'Predicted PPIs'!W112)))*IF(O$94=".", 1, (O113/O112)^(('Summary, PPI''s'!$O113+'Summary, PPI''s'!$O112)/('Predicted PPIs'!W113+'Predicted PPIs'!W112)))*IF(P$94=".", 1, (P113/P112)^(('Summary, PPI''s'!$P113+'Summary, PPI''s'!$P112)/('Predicted PPIs'!W113+'Predicted PPIs'!W112)))</f>
        <v>#VALUE!</v>
      </c>
      <c r="AF113" s="4">
        <f>AF112*IF(E$123=".", 1, (E113/E112)^(('Summary, PPI''s'!$E113+'Summary, PPI''s'!$E112)/('Predicted PPIs'!X113+'Predicted PPIs'!X112)))*IF(F$123=".", 1, (F113/F112)^(('Summary, PPI''s'!$F113+'Summary, PPI''s'!$F112)/('Predicted PPIs'!X113+'Predicted PPIs'!X112)))*IF(G$123=".", 1, (G113/G112)^(('Summary, PPI''s'!$G113+'Summary, PPI''s'!$G112)/('Predicted PPIs'!X113+'Predicted PPIs'!X112)))*IF(H$123=".", 1, (H113/H112)^(('Summary, PPI''s'!$H113+'Summary, PPI''s'!$H112)/('Predicted PPIs'!X113+'Predicted PPIs'!X112)))*IF(I$123=".", 1, (I113/I112)^(('Summary, PPI''s'!$I113+'Summary, PPI''s'!$I112)/('Predicted PPIs'!X113+'Predicted PPIs'!X112)))*IF(J$123=".", 1, (J113/J112)^(('Summary, PPI''s'!$J113+'Summary, PPI''s'!$J112)/('Predicted PPIs'!X113+'Predicted PPIs'!X112)))*IF(K$123=".", 1, (K113/K112)^(('Summary, PPI''s'!$K113+'Summary, PPI''s'!$K112)/('Predicted PPIs'!X113+'Predicted PPIs'!X112)))*IF(L$123=".", 1, (L113/L112)^(('Summary, PPI''s'!$L113+'Summary, PPI''s'!$L112)/('Predicted PPIs'!X113+'Predicted PPIs'!X112)))*IF(M$123=".", 1, (M113/M112)^(('Summary, PPI''s'!$M113+'Summary, PPI''s'!$M112)/('Predicted PPIs'!X113+'Predicted PPIs'!X112)))*IF(B$123=".", 1, (B113/B112)^(('Summary, PPI''s'!$B113+'Summary, PPI''s'!$B112)/('Predicted PPIs'!X113+'Predicted PPIs'!X112)))*IF(C$123=".", 1, (C113/C112)^(('Summary, PPI''s'!$C113+'Summary, PPI''s'!$C112)/('Predicted PPIs'!X113+'Predicted PPIs'!X112)))*IF(D$123=".", 1, (D113/D112)^(('Summary, PPI''s'!$D113+'Summary, PPI''s'!$D112)/('Predicted PPIs'!X113+'Predicted PPIs'!X112)))*IF(N$123=".", 1, (N113/N112)^(('Summary, PPI''s'!$N113+'Summary, PPI''s'!$N112)/('Predicted PPIs'!X113+'Predicted PPIs'!X112)))*IF(O$123=".", 1, (O113/O112)^(('Summary, PPI''s'!$O113+'Summary, PPI''s'!$O112)/('Predicted PPIs'!X113+'Predicted PPIs'!X112)))*IF(P$123=".", 1, (P113/P112)^(('Summary, PPI''s'!$P113+'Summary, PPI''s'!$P112)/('Predicted PPIs'!X113+'Predicted PPIs'!X112)))</f>
        <v>2.4163701305534695</v>
      </c>
      <c r="AH113" s="13">
        <f t="shared" si="212"/>
        <v>3.4507140871928681</v>
      </c>
      <c r="AJ113" s="4">
        <f t="shared" si="207"/>
        <v>22.972737389323438</v>
      </c>
      <c r="AK113" s="4">
        <f t="shared" si="191"/>
        <v>-0.50842763756990983</v>
      </c>
      <c r="AL113" s="4">
        <f t="shared" si="192"/>
        <v>-1.7416540439347534</v>
      </c>
      <c r="AM113" s="4">
        <f t="shared" si="193"/>
        <v>-0.27098332346837595</v>
      </c>
      <c r="AN113" s="4">
        <f t="shared" si="176"/>
        <v>30.635046339437498</v>
      </c>
      <c r="AO113" s="4">
        <v>5.2</v>
      </c>
      <c r="AP113" s="4">
        <f t="shared" si="177"/>
        <v>-0.4810695187165776</v>
      </c>
      <c r="AQ113" s="4">
        <f t="shared" si="178"/>
        <v>-0.90944385026737928</v>
      </c>
      <c r="AR113" s="4">
        <f t="shared" si="210"/>
        <v>-2.545950569503511E-5</v>
      </c>
      <c r="AS113" s="4">
        <f t="shared" si="208"/>
        <v>-5.2334509234280971E-2</v>
      </c>
      <c r="AT113" s="4">
        <f t="shared" si="194"/>
        <v>4.3246608695652178</v>
      </c>
      <c r="AU113" s="4">
        <f t="shared" si="195"/>
        <v>7.1210826086956507</v>
      </c>
      <c r="AV113" s="4">
        <f t="shared" si="196"/>
        <v>5.5384130434782604</v>
      </c>
      <c r="AW113" s="4">
        <f t="shared" si="197"/>
        <v>3.0969521739130443</v>
      </c>
      <c r="AX113" s="4">
        <f t="shared" si="198"/>
        <v>4.1193675702014509</v>
      </c>
      <c r="AY113" s="4">
        <f t="shared" si="199"/>
        <v>4.8438434782608697</v>
      </c>
      <c r="AZ113" s="4">
        <f t="shared" si="200"/>
        <v>1.655708695652174</v>
      </c>
      <c r="BA113" s="4">
        <f t="shared" si="201"/>
        <v>4.4851608695652159</v>
      </c>
      <c r="BB113" s="4">
        <f t="shared" si="202"/>
        <v>25.654014577024061</v>
      </c>
      <c r="BC113" s="4">
        <f t="shared" si="203"/>
        <v>4.2041695652173923</v>
      </c>
      <c r="BD113" s="5">
        <f>'[2]Ordinary Experience'!$AD$313</f>
        <v>96.3</v>
      </c>
      <c r="BE113" s="5">
        <f>'[2]Ordinary Experience'!$AC$313</f>
        <v>0.84664253142073165</v>
      </c>
      <c r="BG113" s="4">
        <f t="shared" si="172"/>
        <v>5.467735536869256</v>
      </c>
      <c r="BI113" s="4">
        <f>BI$13*'[2]Ordinary Experience'!$D$313/'[2]Ordinary Experience'!$D$413</f>
        <v>92307936.725523144</v>
      </c>
      <c r="BJ113" s="4">
        <f>'[2]Ordinary Experience'!$E$313</f>
        <v>32.1</v>
      </c>
      <c r="BL113" s="4">
        <f t="shared" si="211"/>
        <v>22.010728195439437</v>
      </c>
      <c r="BM113" s="4">
        <f t="shared" si="153"/>
        <v>-5.2217115139261416E-3</v>
      </c>
      <c r="BO113" s="4" t="str">
        <f>IF(OR('Summary, hourly ad costs'!R113=-9999,'Summary, PPI''s'!R113="."),".",(('Summary, hourly ad costs'!B113/'Summary, hourly ad costs'!R113)*100/('Summary, hourly ad costs'!B$11/'Summary, hourly ad costs'!R$11))/('Summary, PPI''s'!R113))</f>
        <v>.</v>
      </c>
      <c r="BP113" s="4" t="str">
        <f>IF(OR('Summary, hourly ad costs'!S113=-9999,'Summary, PPI''s'!S113="."),".",(('Summary, hourly ad costs'!C113/'Summary, hourly ad costs'!S113)*100/('Summary, hourly ad costs'!C$11/'Summary, hourly ad costs'!S$11))/('Summary, PPI''s'!S113))</f>
        <v>.</v>
      </c>
      <c r="BQ113" s="4" t="str">
        <f>IF(OR('Summary, hourly ad costs'!T113=-9999,'Summary, PPI''s'!T113="."),".",(('Summary, hourly ad costs'!D113/'Summary, hourly ad costs'!T113)*100/('Summary, hourly ad costs'!D$11/'Summary, hourly ad costs'!T$11))/('Summary, PPI''s'!T113))</f>
        <v>.</v>
      </c>
      <c r="BR113" s="4" t="str">
        <f>IF(OR('Summary, hourly ad costs'!U113=-9999,'Summary, PPI''s'!U113="."),".",(('Summary, hourly ad costs'!E113/'Summary, hourly ad costs'!U113)*100/('Summary, hourly ad costs'!E$11/'Summary, hourly ad costs'!U$11))/('Summary, PPI''s'!U113))</f>
        <v>.</v>
      </c>
      <c r="BS113" s="4" t="str">
        <f>IF(OR('Summary, hourly ad costs'!V113=-9999,'Summary, PPI''s'!V113="."),".",(('Summary, hourly ad costs'!F113/'Summary, hourly ad costs'!V113)*100/('Summary, hourly ad costs'!F$11/'Summary, hourly ad costs'!V$11))/('Summary, PPI''s'!V113))</f>
        <v>.</v>
      </c>
      <c r="BT113" s="4" t="str">
        <f>IF(OR('Summary, hourly ad costs'!W113=-9999,'Summary, PPI''s'!W113="."),".",(('Summary, hourly ad costs'!G113/'Summary, hourly ad costs'!W113)*100/('Summary, hourly ad costs'!G$11/'Summary, hourly ad costs'!W$11))/('Summary, PPI''s'!W113))</f>
        <v>.</v>
      </c>
      <c r="BU113" s="4" t="str">
        <f>IF(OR('Summary, hourly ad costs'!X113=-9999,'Summary, PPI''s'!X113="."),".",(('Summary, hourly ad costs'!H113/'Summary, hourly ad costs'!X113)*100/('Summary, hourly ad costs'!H$11/'Summary, hourly ad costs'!X$11))/('Summary, PPI''s'!X113))</f>
        <v>.</v>
      </c>
      <c r="BV113" s="4" t="str">
        <f>IF(OR('Summary, hourly ad costs'!Y113=-9999,'Summary, PPI''s'!Y113="."),".",(('Summary, hourly ad costs'!I113/'Summary, hourly ad costs'!Y113)*100/('Summary, hourly ad costs'!I$11/'Summary, hourly ad costs'!Y$11))/('Summary, PPI''s'!Y113))</f>
        <v>.</v>
      </c>
      <c r="BW113" s="4" t="str">
        <f>IF(OR('Summary, hourly ad costs'!Z113=-9999,'Summary, PPI''s'!Z113="."),".",(('Summary, hourly ad costs'!J113/'Summary, hourly ad costs'!Z113)*100/('Summary, hourly ad costs'!J$11/'Summary, hourly ad costs'!Z$11))/('Summary, PPI''s'!Z113))</f>
        <v>.</v>
      </c>
      <c r="BX113" s="4" t="str">
        <f>IF(OR('Summary, hourly ad costs'!AA113=-9999,'Summary, PPI''s'!AA113="."),".",(('Summary, hourly ad costs'!K113/'Summary, hourly ad costs'!AA113)*100/('Summary, hourly ad costs'!K$11/'Summary, hourly ad costs'!AA$11))/('Summary, PPI''s'!AA113))</f>
        <v>.</v>
      </c>
      <c r="BY113" s="4" t="str">
        <f>IF(OR('Summary, hourly ad costs'!AB113=-9999,'Summary, PPI''s'!AB113="."),".",(('Summary, hourly ad costs'!L113/'Summary, hourly ad costs'!AB113)*100/('Summary, hourly ad costs'!L$11/'Summary, hourly ad costs'!AB$11))/('Summary, PPI''s'!AB113))</f>
        <v>.</v>
      </c>
      <c r="BZ113" s="4" t="str">
        <f>IF(OR('Summary, hourly ad costs'!AC113=-9999,'Summary, PPI''s'!AC113="."),".",(('Summary, hourly ad costs'!M113/'Summary, hourly ad costs'!AC113)*100/('Summary, hourly ad costs'!M$11/'Summary, hourly ad costs'!AC$11))/('Summary, PPI''s'!AC113))</f>
        <v>.</v>
      </c>
      <c r="CA113" s="4" t="str">
        <f>IF(OR('Summary, hourly ad costs'!AD113=-9999,'Summary, PPI''s'!AD113="."),".",(('Summary, hourly ad costs'!N113/'Summary, hourly ad costs'!AD113)*100/('Summary, hourly ad costs'!N$11/'Summary, hourly ad costs'!AD$11))/('Summary, PPI''s'!AD113))</f>
        <v>.</v>
      </c>
      <c r="CB113" s="4" t="str">
        <f>IF(OR('Summary, hourly ad costs'!AE113=-9999,'Summary, PPI''s'!AE113="."),".",(('Summary, hourly ad costs'!O113/'Summary, hourly ad costs'!AE113)*100/('Summary, hourly ad costs'!O$11/'Summary, hourly ad costs'!AE$11))/('Summary, PPI''s'!AE113))</f>
        <v>.</v>
      </c>
      <c r="CC113" s="4" t="str">
        <f>IF(OR('Summary, hourly ad costs'!AF113=-9999,'Summary, PPI''s'!AF113="."),".",(('Summary, hourly ad costs'!P113/'Summary, hourly ad costs'!AF113)*100/('Summary, hourly ad costs'!P$11/'Summary, hourly ad costs'!AF$11))/('Summary, PPI''s'!AF113))</f>
        <v>.</v>
      </c>
      <c r="CE113" s="4">
        <f t="shared" si="183"/>
        <v>-3.6846198724184917E-2</v>
      </c>
      <c r="CF113" s="4" t="str">
        <f t="shared" si="184"/>
        <v>.</v>
      </c>
      <c r="CG113" s="4" t="str">
        <f t="shared" si="185"/>
        <v>.</v>
      </c>
      <c r="CH113" s="4">
        <f t="shared" si="145"/>
        <v>-2.796736339997075E-2</v>
      </c>
      <c r="CI113" s="4">
        <f t="shared" si="145"/>
        <v>-3.0059169033764963E-2</v>
      </c>
      <c r="CJ113" s="4" t="str">
        <f t="shared" si="209"/>
        <v>.</v>
      </c>
      <c r="CK113" s="4">
        <f t="shared" si="149"/>
        <v>4.8336482812441949E-3</v>
      </c>
      <c r="CL113" s="4">
        <f t="shared" si="234"/>
        <v>-2.1291990210234854E-2</v>
      </c>
      <c r="CM113" s="4">
        <f t="shared" si="234"/>
        <v>7.8092850213862669E-3</v>
      </c>
      <c r="CN113" s="4">
        <f t="shared" si="204"/>
        <v>-3.5872728959501388E-2</v>
      </c>
      <c r="CO113" s="4">
        <f t="shared" si="180"/>
        <v>-4.0159265219443907E-2</v>
      </c>
      <c r="CP113" s="4">
        <f t="shared" si="180"/>
        <v>0.2047175254617376</v>
      </c>
      <c r="CQ113" s="4" t="str">
        <f t="shared" si="230"/>
        <v>.</v>
      </c>
      <c r="CR113" s="4" t="str">
        <f t="shared" si="231"/>
        <v>.</v>
      </c>
      <c r="CS113" s="4" t="str">
        <f t="shared" si="232"/>
        <v>.</v>
      </c>
      <c r="CU113" s="5">
        <f>IF(CU112=".", ".", IF('Summary, PPI''s'!R113=".",IF(OR('Summary, hourly ad costs'!R113=-9999,'Summary, hourly ad costs'!R113=0), ".", 'Predicted PPIs'!CU112*('Summary, hourly ad costs'!B113/'Summary, hourly ad costs'!R113)/('Summary, hourly ad costs'!B112/'Summary, hourly ad costs'!R112)/(1-CE112)), 'Summary, PPI''s'!R113))</f>
        <v>23.930404769411208</v>
      </c>
      <c r="CV113" s="5" t="str">
        <f>IF(CV112=".", ".", IF('Summary, PPI''s'!S113=".",IF(OR('Summary, hourly ad costs'!S113=-9999,'Summary, hourly ad costs'!S113=0), ".", 'Predicted PPIs'!CV112*('Summary, hourly ad costs'!C113/'Summary, hourly ad costs'!S113)/('Summary, hourly ad costs'!C112/'Summary, hourly ad costs'!S112)/(1-CF112)), 'Summary, PPI''s'!S113))</f>
        <v>.</v>
      </c>
      <c r="CW113" s="5" t="str">
        <f>IF(CW112=".", ".", IF('Summary, PPI''s'!T113=".",IF(OR('Summary, hourly ad costs'!T113=-9999,'Summary, hourly ad costs'!T113=0), ".", 'Predicted PPIs'!CW112*('Summary, hourly ad costs'!D113/'Summary, hourly ad costs'!T113)/('Summary, hourly ad costs'!D112/'Summary, hourly ad costs'!T112)/(1-CG112)), 'Summary, PPI''s'!T113))</f>
        <v>.</v>
      </c>
      <c r="CX113" s="5">
        <f>IF(CX112=".", ".", IF('Summary, PPI''s'!U113=".",IF(OR('Summary, hourly ad costs'!U113=-9999,'Summary, hourly ad costs'!U113=0), ".", 'Predicted PPIs'!CX112*('Summary, hourly ad costs'!E113/'Summary, hourly ad costs'!U113)/('Summary, hourly ad costs'!E112/'Summary, hourly ad costs'!U112)/(1-CH112)), 'Summary, PPI''s'!U113))</f>
        <v>1.0597329341124369</v>
      </c>
      <c r="CY113" s="5">
        <f>IF(CY112=".", ".", IF('Summary, PPI''s'!V113=".",IF(OR('Summary, hourly ad costs'!V113=-9999,'Summary, hourly ad costs'!V113=0), ".", 'Predicted PPIs'!CY112*('Summary, hourly ad costs'!F113/'Summary, hourly ad costs'!V113)/('Summary, hourly ad costs'!F112/'Summary, hourly ad costs'!V112)/(1-CI112)), 'Summary, PPI''s'!V113))</f>
        <v>0.98919526014224202</v>
      </c>
      <c r="CZ113" s="5" t="str">
        <f>IF(CZ112=".", ".", IF('Summary, PPI''s'!W113=".",IF(OR('Summary, hourly ad costs'!W113=-9999,'Summary, hourly ad costs'!W113=0), ".", 'Predicted PPIs'!CZ112*('Summary, hourly ad costs'!G113/'Summary, hourly ad costs'!W113)/('Summary, hourly ad costs'!G112/'Summary, hourly ad costs'!W112)/(1-CJ112)), 'Summary, PPI''s'!W113))</f>
        <v>.</v>
      </c>
      <c r="DA113" s="5">
        <f>IF(DA112=".", ".", IF('Summary, PPI''s'!X113=".",IF(OR('Summary, hourly ad costs'!X113=-9999,'Summary, hourly ad costs'!X113=0), ".", 'Predicted PPIs'!DA112*('Summary, hourly ad costs'!H113/'Summary, hourly ad costs'!X113)/('Summary, hourly ad costs'!H112/'Summary, hourly ad costs'!X112)/(1-CK112)), 'Summary, PPI''s'!X113))</f>
        <v>1.0973929831293705</v>
      </c>
      <c r="DB113" s="5" t="str">
        <f>IF(DB112=".", ".", IF('Summary, PPI''s'!Y113=".",IF(OR('Summary, hourly ad costs'!Y113=-9999,'Summary, hourly ad costs'!Y113=0), ".", 'Predicted PPIs'!DB112*('Summary, hourly ad costs'!I113/'Summary, hourly ad costs'!Y113)/('Summary, hourly ad costs'!I112/'Summary, hourly ad costs'!Y112)/(1-CL112)), 'Summary, PPI''s'!Y113))</f>
        <v>.</v>
      </c>
      <c r="DC113" s="5" t="str">
        <f>IF(DC112=".", ".", IF('Summary, PPI''s'!Z113=".",IF(OR('Summary, hourly ad costs'!Z113=-9999,'Summary, hourly ad costs'!Z113=0), ".", 'Predicted PPIs'!DC112*('Summary, hourly ad costs'!J113/'Summary, hourly ad costs'!Z113)/('Summary, hourly ad costs'!J112/'Summary, hourly ad costs'!Z112)/(1-CM112)), 'Summary, PPI''s'!Z113))</f>
        <v>.</v>
      </c>
      <c r="DD113" s="5" t="str">
        <f>IF(DD112=".", ".", IF('Summary, PPI''s'!AA113=".",IF(OR('Summary, hourly ad costs'!AA113=-9999,'Summary, hourly ad costs'!AA113=0), ".", 'Predicted PPIs'!DD112*('Summary, hourly ad costs'!K113/'Summary, hourly ad costs'!AA113)/('Summary, hourly ad costs'!K112/'Summary, hourly ad costs'!AA112)/(1-CN112)), 'Summary, PPI''s'!AA113))</f>
        <v>.</v>
      </c>
      <c r="DE113" s="5" t="str">
        <f>IF(DE112=".", ".", IF('Summary, PPI''s'!AB113=".",IF(OR('Summary, hourly ad costs'!AB113=-9999,'Summary, hourly ad costs'!AB113=0), ".", 'Predicted PPIs'!DE112*('Summary, hourly ad costs'!L113/'Summary, hourly ad costs'!AB113)/('Summary, hourly ad costs'!L112/'Summary, hourly ad costs'!AB112)/(1-CO112)), 'Summary, PPI''s'!AB113))</f>
        <v>.</v>
      </c>
      <c r="DF113" s="5" t="str">
        <f>IF(DF112=".", ".", IF('Summary, PPI''s'!AC113=".",IF(OR('Summary, hourly ad costs'!AC113=-9999,'Summary, hourly ad costs'!AC113=0), ".", 'Predicted PPIs'!DF112*('Summary, hourly ad costs'!M113/'Summary, hourly ad costs'!AC113)/('Summary, hourly ad costs'!M112/'Summary, hourly ad costs'!AC112)/(1-CP112)), 'Summary, PPI''s'!AC113))</f>
        <v>.</v>
      </c>
      <c r="DG113" s="5" t="str">
        <f>IF(DG112=".", ".", IF('Summary, PPI''s'!AD113=".",IF(OR('Summary, hourly ad costs'!AD113=-9999,'Summary, hourly ad costs'!AD113=0), ".", 'Predicted PPIs'!DG112*('Summary, hourly ad costs'!N113/'Summary, hourly ad costs'!AD113)/('Summary, hourly ad costs'!N112/'Summary, hourly ad costs'!AD112)/(1-CQ112)), 'Summary, PPI''s'!AD113))</f>
        <v>.</v>
      </c>
      <c r="DH113" s="5" t="str">
        <f>IF(DH112=".", ".", IF('Summary, PPI''s'!AE113=".",IF(OR('Summary, hourly ad costs'!AE113=-9999,'Summary, hourly ad costs'!AE113=0), ".", 'Predicted PPIs'!DH112*('Summary, hourly ad costs'!O113/'Summary, hourly ad costs'!AE113)/('Summary, hourly ad costs'!O112/'Summary, hourly ad costs'!AE112)/(1-CR112)), 'Summary, PPI''s'!AE113))</f>
        <v>.</v>
      </c>
      <c r="DI113" s="5" t="str">
        <f>IF(DI112=".", ".", IF('Summary, PPI''s'!AF113=".",IF(OR('Summary, hourly ad costs'!AF113=-9999,'Summary, hourly ad costs'!AF113=0), ".", 'Predicted PPIs'!DI112*('Summary, hourly ad costs'!P113/'Summary, hourly ad costs'!AF113)/('Summary, hourly ad costs'!P112/'Summary, hourly ad costs'!AF112)/(1-CS112)), 'Summary, PPI''s'!AF113))</f>
        <v>.</v>
      </c>
      <c r="DK113" s="4">
        <f t="shared" si="205"/>
        <v>1.0826140350877189</v>
      </c>
      <c r="DM113" s="5">
        <f t="shared" si="186"/>
        <v>-5.8500275750613118E-2</v>
      </c>
      <c r="DN113" s="4">
        <f t="shared" si="187"/>
        <v>-1.8633387189513205E-2</v>
      </c>
      <c r="DO113" s="4">
        <f t="shared" si="233"/>
        <v>-2.2880349196150018E-2</v>
      </c>
      <c r="DP113" s="5">
        <f t="shared" si="188"/>
        <v>-3.5983207392368044E-2</v>
      </c>
      <c r="DQ113" s="5">
        <f t="shared" si="189"/>
        <v>-2.5953282815287859E-2</v>
      </c>
      <c r="DR113" s="4">
        <f t="shared" si="146"/>
        <v>-1.2011126243103173E-2</v>
      </c>
      <c r="DS113" s="5">
        <f t="shared" si="190"/>
        <v>-7.2103658236333246E-4</v>
      </c>
      <c r="DT113" s="4">
        <f t="shared" si="206"/>
        <v>1.4412844071114296E-2</v>
      </c>
      <c r="DU113" s="4">
        <f t="shared" si="171"/>
        <v>-3.3303649827354204E-2</v>
      </c>
      <c r="DV113" s="4">
        <f t="shared" si="235"/>
        <v>1.0468409391703366E-3</v>
      </c>
      <c r="DW113" s="4">
        <f t="shared" si="182"/>
        <v>-2.8685776041933782E-3</v>
      </c>
      <c r="DX113" s="4">
        <f t="shared" si="182"/>
        <v>-0.17055866759452049</v>
      </c>
      <c r="DY113" s="4">
        <f t="shared" si="228"/>
        <v>-2.0848004492168639E-2</v>
      </c>
      <c r="DZ113" s="4">
        <f t="shared" si="236"/>
        <v>-1.4533186884057993E-2</v>
      </c>
      <c r="EA113" s="4">
        <f t="shared" si="229"/>
        <v>-1.2412210161590219E-2</v>
      </c>
      <c r="EC113" s="1">
        <f t="shared" si="213"/>
        <v>23.930404769411208</v>
      </c>
      <c r="ED113" s="1">
        <f t="shared" si="214"/>
        <v>1.0718838877326022</v>
      </c>
      <c r="EE113" s="1">
        <f t="shared" si="215"/>
        <v>0.58353630883229157</v>
      </c>
      <c r="EF113" s="1">
        <f t="shared" si="216"/>
        <v>1.0597329341124369</v>
      </c>
      <c r="EG113" s="1">
        <f t="shared" si="217"/>
        <v>0.98919526014224202</v>
      </c>
      <c r="EH113" s="1">
        <f t="shared" si="218"/>
        <v>0.8768701949559593</v>
      </c>
      <c r="EI113" s="1">
        <f t="shared" si="219"/>
        <v>1.0973929831293705</v>
      </c>
      <c r="EJ113" s="1">
        <f t="shared" si="220"/>
        <v>1.5632777116843177</v>
      </c>
      <c r="EK113" s="1">
        <f t="shared" si="221"/>
        <v>1.8990082016808831</v>
      </c>
      <c r="EL113" s="1">
        <f t="shared" si="222"/>
        <v>0.89868522566948339</v>
      </c>
      <c r="EM113" s="1">
        <f t="shared" si="223"/>
        <v>4.8292394134275475E-2</v>
      </c>
      <c r="EN113" s="1">
        <f t="shared" si="224"/>
        <v>0.38726692131473639</v>
      </c>
      <c r="EO113" s="1">
        <f t="shared" si="225"/>
        <v>0.43865638039012433</v>
      </c>
      <c r="EP113" s="1">
        <f t="shared" si="226"/>
        <v>0.81510529183653258</v>
      </c>
      <c r="EQ113" s="1">
        <f t="shared" si="227"/>
        <v>0.65646458580514511</v>
      </c>
      <c r="ES113" s="1">
        <f>IF(EF$26=".", 0, 'Summary, PPI''s'!E113)+IF(EG$26=".", 0, 'Summary, PPI''s'!F113)+IF(EH$26=".", 0, 'Summary, PPI''s'!G113)+IF(EI$26=".", 0, 'Summary, PPI''s'!H113)+IF(EJ$26=".", 0, 'Summary, PPI''s'!I113)+IF(EK$26=".", 0, 'Summary, PPI''s'!J113)+IF(EL$26=".", 0, 'Summary, PPI''s'!K113)+IF(EM$26=".", 0, 'Summary, PPI''s'!L113)+IF(EN$26=".", 0, 'Summary, PPI''s'!M113)+IF(EC$26=".", 0, 'Summary, PPI''s'!B113)+IF(ED$26=".", 0, 'Summary, PPI''s'!C113)+IF(EE$26=".", 0, 'Summary, PPI''s'!D113)+IF(EO$26=".", 0, 'Summary, PPI''s'!N113)+IF(EP$26=".", 0, 'Summary, PPI''s'!O113)+IF(EQ$26=".", 0, 'Summary, PPI''s'!P113)</f>
        <v>708313.29554886546</v>
      </c>
      <c r="ET113" s="1">
        <f>'Summary, hourly ad costs'!E113+'Summary, hourly ad costs'!F113+'Summary, hourly ad costs'!H113+'Summary, hourly ad costs'!I113+'Summary, hourly ad costs'!J113+'Summary, hourly ad costs'!K113+'Summary, hourly ad costs'!L113+'Summary, hourly ad costs'!M113+'Summary, hourly ad costs'!B113</f>
        <v>429386.66432796186</v>
      </c>
      <c r="EV113" s="13">
        <f>EV112*IF(EF$26=".", 1, (EF113/EF112)^(('Summary, PPI''s'!$E113+'Summary, PPI''s'!$E112)/('Predicted PPIs'!ES113+'Predicted PPIs'!ES112)))*IF(EG$26=".", 1, (EG113/EG112)^(('Summary, PPI''s'!$F113+'Summary, PPI''s'!$F112)/('Predicted PPIs'!ES113+'Predicted PPIs'!ES112)))*IF(EH$26=".", 1, (EH113/EH112)^(('Summary, PPI''s'!$G113+'Summary, PPI''s'!$G112)/('Predicted PPIs'!ES113+'Predicted PPIs'!ES112)))*IF(EI$26=".", 1, (EI113/EI112)^(('Summary, PPI''s'!$H113+'Summary, PPI''s'!$H112)/('Predicted PPIs'!ES113+'Predicted PPIs'!ES112)))*IF(EJ$26=".", 1, (EJ113/EJ112)^(('Summary, PPI''s'!$I113+'Summary, PPI''s'!$I112)/('Predicted PPIs'!ES113+'Predicted PPIs'!ES112)))*IF(EK$26=".", 1, (EK113/EK112)^(('Summary, PPI''s'!$J113+'Summary, PPI''s'!$J112)/('Predicted PPIs'!ES113+'Predicted PPIs'!ES112)))*IF(EL$26=".", 1, (EL113/EL112)^(('Summary, PPI''s'!$K113+'Summary, PPI''s'!$K112)/('Predicted PPIs'!ES113+'Predicted PPIs'!ES112)))*IF(EM$26=".", 1, (EM113/EM112)^(('Summary, PPI''s'!$L113+'Summary, PPI''s'!$L112)/('Predicted PPIs'!ES113+'Predicted PPIs'!ES112)))*IF(EN$26=".", 1, (EN113/EN112)^(('Summary, PPI''s'!$M113+'Summary, PPI''s'!$M112)/('Predicted PPIs'!ES113+'Predicted PPIs'!ES112)))*IF(EC$26=".", 1, (EC113/EC112)^(('Summary, PPI''s'!$B113+'Summary, PPI''s'!$B112)/('Predicted PPIs'!ES113+'Predicted PPIs'!ES112)))*IF(ED$26=".", 1, (ED113/ED112)^(('Summary, PPI''s'!$C113+'Summary, PPI''s'!$C112)/('Predicted PPIs'!ES113+'Predicted PPIs'!ES112)))*IF(EE$26=".", 1, (EE113/EE112)^(('Summary, PPI''s'!$D113+'Summary, PPI''s'!$D112)/('Predicted PPIs'!ES113+'Predicted PPIs'!ES112)))*IF(EO$26=".", 1, (EO113/EO112)^(('Summary, PPI''s'!$N113+'Summary, PPI''s'!$N112)/('Predicted PPIs'!ES113+'Predicted PPIs'!ES112)))*IF(EP$26=".", 1, (EP113/EP112)^(('Summary, PPI''s'!$O113+'Summary, PPI''s'!$O112)/('Predicted PPIs'!ES113+'Predicted PPIs'!ES112)))*IF(EQ$26=".", 1, (EQ113/EQ112)^(('Summary, PPI''s'!$P113+'Summary, PPI''s'!$P112)/('Predicted PPIs'!ES113+'Predicted PPIs'!ES112)))</f>
        <v>1.6405104950102025</v>
      </c>
      <c r="EW113" s="13">
        <f>EW112*IF(EF$26=".", 1, (EF113/EF112)^(('Summary, PPI''s'!$E113+'Summary, PPI''s'!$E112)/('Predicted PPIs'!ET113+'Predicted PPIs'!ET112)))*IF(EG$26=".", 1, (EG113/EG112)^(('Summary, PPI''s'!$F113+'Summary, PPI''s'!$F112)/('Predicted PPIs'!ET113+'Predicted PPIs'!ET112)))*IF(EH$26=".", 1, (EH113/EH112)^(('Summary, PPI''s'!$G113+'Summary, PPI''s'!$G112)/('Predicted PPIs'!ET113+'Predicted PPIs'!ET112)))*IF(EK$26=".", 1, (EK113/EK112)^(('Summary, PPI''s'!$J113+'Summary, PPI''s'!$J112)/('Predicted PPIs'!ET113+'Predicted PPIs'!ET112)))*IF(EL$26=".", 1, (EL113/EL112)^(('Summary, PPI''s'!$K113+'Summary, PPI''s'!$K112)/('Predicted PPIs'!ET113+'Predicted PPIs'!ET112)))*IF(EM$26=".", 1, (EM113/EM112)^(('Summary, PPI''s'!$L113+'Summary, PPI''s'!$L112)/('Predicted PPIs'!ET113+'Predicted PPIs'!ET112)))*IF(EN$26=".", 1, (EN113/EN112)^(('Summary, PPI''s'!$M113+'Summary, PPI''s'!$M112)/('Predicted PPIs'!ET113+'Predicted PPIs'!ET112)))*IF(EC$26=".", 1, (EC113/EC112)^(('Summary, PPI''s'!$B113+'Summary, PPI''s'!$B112)/('Predicted PPIs'!ET113+'Predicted PPIs'!ET112)))</f>
        <v>3.598838411139631</v>
      </c>
      <c r="EY113" s="2"/>
    </row>
    <row r="114" spans="1:155" x14ac:dyDescent="0.3">
      <c r="A114" s="4">
        <v>1909</v>
      </c>
      <c r="B114" s="10">
        <f>IF(B113=".", ".", IF('Summary, PPI''s'!R114=".",IF(OR('Summary, hourly ad costs'!R114=-9999,'Summary, hourly ad costs'!R114=0), ".", 'Predicted PPIs'!B113*('Summary, hourly ad costs'!B114/'Summary, hourly ad costs'!R114)/('Summary, hourly ad costs'!B113/'Summary, hourly ad costs'!R113)), 'Summary, PPI''s'!R114))</f>
        <v>61.293629251082045</v>
      </c>
      <c r="C114" s="10" t="str">
        <f>IF(C113=".", ".", IF('Summary, PPI''s'!S114=".",IF(OR('Summary, hourly ad costs'!S114=-9999,'Summary, hourly ad costs'!S114=0), ".", 'Predicted PPIs'!C113*('Summary, hourly ad costs'!C114/'Summary, hourly ad costs'!S114)/('Summary, hourly ad costs'!C113/'Summary, hourly ad costs'!S113)), 'Summary, PPI''s'!S114))</f>
        <v>.</v>
      </c>
      <c r="D114" s="10" t="str">
        <f>IF(D113=".", ".", IF('Summary, PPI''s'!T114=".",IF(OR('Summary, hourly ad costs'!T114=-9999,'Summary, hourly ad costs'!T114=0), ".", 'Predicted PPIs'!D113*('Summary, hourly ad costs'!D114/'Summary, hourly ad costs'!T114)/('Summary, hourly ad costs'!D113/'Summary, hourly ad costs'!T113)), 'Summary, PPI''s'!T114))</f>
        <v>.</v>
      </c>
      <c r="E114" s="10">
        <f>IF(E113=".", ".", IF('Summary, PPI''s'!U114=".",IF(OR('Summary, hourly ad costs'!U114=-9999,'Summary, hourly ad costs'!U114=0), ".", 'Predicted PPIs'!E113*('Summary, hourly ad costs'!E114/'Summary, hourly ad costs'!U114)/('Summary, hourly ad costs'!E113/'Summary, hourly ad costs'!U113)), 'Summary, PPI''s'!U114))</f>
        <v>1.082360451257248</v>
      </c>
      <c r="F114" s="10">
        <f>IF(F113=".", ".", IF('Summary, PPI''s'!V114=".",IF(OR('Summary, hourly ad costs'!V114=-9999,'Summary, hourly ad costs'!V114=0), ".", 'Predicted PPIs'!F113*('Summary, hourly ad costs'!F114/'Summary, hourly ad costs'!V114)/('Summary, hourly ad costs'!F113/'Summary, hourly ad costs'!V113)), 'Summary, PPI''s'!V114))</f>
        <v>0.89610207319964263</v>
      </c>
      <c r="G114" s="10" t="str">
        <f>IF(G113=".", ".", IF('Summary, PPI''s'!W114=".",IF(OR('Summary, hourly ad costs'!W114=-9999,'Summary, hourly ad costs'!W114=0), ".", 'Predicted PPIs'!G113*('Summary, hourly ad costs'!G114/'Summary, hourly ad costs'!W114)/('Summary, hourly ad costs'!G113/'Summary, hourly ad costs'!W113)), 'Summary, PPI''s'!W114))</f>
        <v>.</v>
      </c>
      <c r="H114" s="10">
        <f>IF(H113=".", ".", IF('Summary, PPI''s'!X114=".",IF(OR('Summary, hourly ad costs'!X114=-9999,'Summary, hourly ad costs'!X114=0), ".", 'Predicted PPIs'!H113*('Summary, hourly ad costs'!H114/'Summary, hourly ad costs'!X114)/('Summary, hourly ad costs'!H113/'Summary, hourly ad costs'!X113)), 'Summary, PPI''s'!X114))</f>
        <v>0.86173408305462629</v>
      </c>
      <c r="I114" s="10" t="str">
        <f>IF(I113=".", ".", IF('Summary, PPI''s'!Y114=".",IF(OR('Summary, hourly ad costs'!Y114=-9999,'Summary, hourly ad costs'!Y114=0), ".", 'Predicted PPIs'!I113*('Summary, hourly ad costs'!I114/'Summary, hourly ad costs'!Y114)/('Summary, hourly ad costs'!I113/'Summary, hourly ad costs'!Y113)), 'Summary, PPI''s'!Y114))</f>
        <v>.</v>
      </c>
      <c r="J114" s="10" t="str">
        <f>IF(J113=".", ".", IF('Summary, PPI''s'!Z114=".",IF(OR('Summary, hourly ad costs'!Z114=-9999,'Summary, hourly ad costs'!Z114=0), ".", 'Predicted PPIs'!J113*('Summary, hourly ad costs'!J114/'Summary, hourly ad costs'!Z114)/('Summary, hourly ad costs'!J113/'Summary, hourly ad costs'!Z113)), 'Summary, PPI''s'!Z114))</f>
        <v>.</v>
      </c>
      <c r="K114" s="10" t="str">
        <f>IF(K113=".", ".", IF('Summary, PPI''s'!AA114=".",IF(OR('Summary, hourly ad costs'!AA114=-9999,'Summary, hourly ad costs'!AA114=0), ".", 'Predicted PPIs'!K113*('Summary, hourly ad costs'!K114/'Summary, hourly ad costs'!AA114)/('Summary, hourly ad costs'!K113/'Summary, hourly ad costs'!AA113)), 'Summary, PPI''s'!AA114))</f>
        <v>.</v>
      </c>
      <c r="L114" s="10" t="str">
        <f>IF(L113=".", ".", IF('Summary, PPI''s'!AB114=".",IF(OR('Summary, hourly ad costs'!AB114=-9999,'Summary, hourly ad costs'!AB114=0), ".", 'Predicted PPIs'!L113*('Summary, hourly ad costs'!L114/'Summary, hourly ad costs'!AB114)/('Summary, hourly ad costs'!L113/'Summary, hourly ad costs'!AB113)), 'Summary, PPI''s'!AB114))</f>
        <v>.</v>
      </c>
      <c r="M114" s="10" t="str">
        <f>IF(M113=".", ".", IF('Summary, PPI''s'!AC114=".",IF(OR('Summary, hourly ad costs'!AC114=-9999,'Summary, hourly ad costs'!AC114=0), ".", 'Predicted PPIs'!M113*('Summary, hourly ad costs'!M114/'Summary, hourly ad costs'!AC114)/('Summary, hourly ad costs'!M113/'Summary, hourly ad costs'!AC113)), 'Summary, PPI''s'!AC114))</f>
        <v>.</v>
      </c>
      <c r="N114" s="10" t="str">
        <f>IF(N113=".", ".", IF('Summary, PPI''s'!AD114=".",IF(OR('Summary, hourly ad costs'!AD114=-9999,'Summary, hourly ad costs'!AD114=0), ".", 'Predicted PPIs'!N113*('Summary, hourly ad costs'!N114/'Summary, hourly ad costs'!AD114)/('Summary, hourly ad costs'!N113/'Summary, hourly ad costs'!AD113)), 'Summary, PPI''s'!AD114))</f>
        <v>.</v>
      </c>
      <c r="O114" s="10" t="str">
        <f>IF(O113=".", ".", IF('Summary, PPI''s'!AE114=".",IF(OR('Summary, hourly ad costs'!AE114=-9999,'Summary, hourly ad costs'!AE114=0), ".", 'Predicted PPIs'!O113*('Summary, hourly ad costs'!O114/'Summary, hourly ad costs'!AE114)/('Summary, hourly ad costs'!O113/'Summary, hourly ad costs'!AE113)), 'Summary, PPI''s'!AE114))</f>
        <v>.</v>
      </c>
      <c r="P114" s="10" t="str">
        <f>IF(P113=".", ".", IF('Summary, PPI''s'!AF114=".",IF(OR('Summary, hourly ad costs'!AF114=-9999,'Summary, hourly ad costs'!AF114=0), ".", 'Predicted PPIs'!P113*('Summary, hourly ad costs'!P114/'Summary, hourly ad costs'!AF114)/('Summary, hourly ad costs'!P113/'Summary, hourly ad costs'!AF113)), 'Summary, PPI''s'!AF114))</f>
        <v>.</v>
      </c>
      <c r="R114" s="1">
        <f>IF(E$26=".", 0, 'Summary, PPI''s'!E114)+IF(F$26=".", 0, 'Summary, PPI''s'!F114)+IF(G$26=".", 0, 'Summary, PPI''s'!G114)+IF(H$26=".", 0, 'Summary, PPI''s'!H114)+IF(I$26=".", 0, 'Summary, PPI''s'!I114)+IF(J$26=".", 0, 'Summary, PPI''s'!J114)+IF(K$26=".", 0, 'Summary, PPI''s'!K114)+IF(L$26=".", 0, 'Summary, PPI''s'!L114)+IF(M$26=".", 0, 'Summary, PPI''s'!M114)+IF(B$26=".", 0, 'Summary, PPI''s'!B114)+IF(C$26=".", 0, 'Summary, PPI''s'!C114)+IF(D$26=".", 0, 'Summary, PPI''s'!D114)+IF(N$26=".", 0, 'Summary, PPI''s'!N114)+IF(O$26=".", 0, 'Summary, PPI''s'!O114)+IF(P$26=".", 0, 'Summary, PPI''s'!P114)</f>
        <v>702320.15741260629</v>
      </c>
      <c r="S114" s="1">
        <f>IF(E$36=".", 0, 'Summary, PPI''s'!E114)+IF(F$36=".", 0, 'Summary, PPI''s'!F114)+IF(G$36=".", 0, 'Summary, PPI''s'!G114)+IF(H$36=".", 0, 'Summary, PPI''s'!H114)+IF(I$36=".", 0, 'Summary, PPI''s'!I114)+IF(J$36=".", 0, 'Summary, PPI''s'!J114)+IF(K$36=".", 0, 'Summary, PPI''s'!K114)+IF(L$36=".", 0, 'Summary, PPI''s'!L114)+IF(M$36=".", 0, 'Summary, PPI''s'!M114)+IF(B$36=".", 0, 'Summary, PPI''s'!B114)+IF(C$36=".", 0, 'Summary, PPI''s'!C114)+IF(D$36=".", 0, 'Summary, PPI''s'!D114)+IF(N$36=".", 0, 'Summary, PPI''s'!N114)+IF(O$36=".", 0, 'Summary, PPI''s'!O114)+IF(P$36=".", 0, 'Summary, PPI''s'!P114)</f>
        <v>702320.15741260629</v>
      </c>
      <c r="T114" s="1">
        <f>IF(E$46=".", 0, 'Summary, PPI''s'!E114)+IF(F$46=".", 0, 'Summary, PPI''s'!F114)+IF(G$46=".", 0, 'Summary, PPI''s'!G114)+IF(H$46=".", 0, 'Summary, PPI''s'!H114)+IF(I$46=".", 0, 'Summary, PPI''s'!I114)+IF(J$46=".", 0, 'Summary, PPI''s'!J114)+IF(K$46=".", 0, 'Summary, PPI''s'!K114)+IF(L$46=".", 0, 'Summary, PPI''s'!L114)+IF(M$46=".", 0, 'Summary, PPI''s'!M114)+IF(B$46=".", 0, 'Summary, PPI''s'!B114)+IF(C$46=".", 0, 'Summary, PPI''s'!C114)+IF(D$46=".", 0, 'Summary, PPI''s'!D114)+IF(N$46=".", 0, 'Summary, PPI''s'!N114)+IF(O$46=".", 0, 'Summary, PPI''s'!O114)+IF(P$46=".", 0, 'Summary, PPI''s'!P114)</f>
        <v>636249.89242575364</v>
      </c>
      <c r="U114" s="1">
        <f>IF(E$60=".", 0, 'Summary, PPI''s'!E114)+IF(F$60=".", 0, 'Summary, PPI''s'!F114)+IF(G$60=".", 0, 'Summary, PPI''s'!G114)+IF(H$60=".", 0, 'Summary, PPI''s'!H114)+IF(I$60=".", 0, 'Summary, PPI''s'!I114)+IF(J$60=".", 0, 'Summary, PPI''s'!J114)+IF(K$60=".", 0, 'Summary, PPI''s'!K114)+IF(L$60=".", 0, 'Summary, PPI''s'!L114)+IF(M$60=".", 0, 'Summary, PPI''s'!M114)+IF(B$60=".", 0, 'Summary, PPI''s'!B114)+IF(C$60=".", 0, 'Summary, PPI''s'!C114)+IF(D$60=".", 0, 'Summary, PPI''s'!D114)+IF(N$60=".", 0, 'Summary, PPI''s'!N114)+IF(O$60=".", 0, 'Summary, PPI''s'!O114)+IF(P$60=".", 0, 'Summary, PPI''s'!P114)</f>
        <v>611743.11926063313</v>
      </c>
      <c r="V114" s="1">
        <f>IF(E$73=".", 0, 'Summary, PPI''s'!E114)+IF(F$73=".", 0, 'Summary, PPI''s'!F114)+IF(G$73=".", 0, 'Summary, PPI''s'!G114)+IF(H$73=".", 0, 'Summary, PPI''s'!H114)+IF(I$73=".", 0, 'Summary, PPI''s'!I114)+IF(J$73=".", 0, 'Summary, PPI''s'!J114)+IF(K$73=".", 0, 'Summary, PPI''s'!K114)+IF(L$73=".", 0, 'Summary, PPI''s'!L114)+IF(M$73=".", 0, 'Summary, PPI''s'!M114)+IF(B$73=".", 0, 'Summary, PPI''s'!B114)+IF(C$73=".", 0, 'Summary, PPI''s'!C114)+IF(D$73=".", 0, 'Summary, PPI''s'!D114)+IF(N$73=".", 0, 'Summary, PPI''s'!N114)+IF(O$73=".", 0, 'Summary, PPI''s'!O114)+IF(P$73=".", 0, 'Summary, PPI''s'!P114)</f>
        <v>425101.99373103661</v>
      </c>
      <c r="W114" s="1">
        <f>IF(E$94=".",0,'Summary, PPI''s'!E114)+IF(F$94=".",0,'Summary, PPI''s'!F114)+IF(G$94=".",0,'Summary, PPI''s'!G114)+IF(H$94=".",0,'Summary, PPI''s'!H114)+IF(I$94=".",0,'Summary, PPI''s'!I114)+IF(J$94=".",0,'Summary, PPI''s'!J114)+IF(K$94=".",0,'Summary, PPI''s'!K114)+IF(L$94=".",0,'Summary, PPI''s'!L114)+IF(M$94=".",0,'Summary, PPI''s'!M114)+IF(B$94=".",0,'Summary, PPI''s'!B114)+IF(C$94=".",0,'Summary, PPI''s'!C114)+IF(D$94=".",0,'Summary, PPI''s'!D114)+IF(N$94=".",0,'Summary, PPI''s'!N114)+IF(O$94=".",0,'Summary, PPI''s'!O114)+IF(P$94=".",0,'Summary, PPI''s'!P114)</f>
        <v>425101.99373103661</v>
      </c>
      <c r="X114" s="1">
        <f>IF(E$123=".", 0, 'Summary, PPI''s'!E114)+IF(F$123=".", 0, 'Summary, PPI''s'!F114)+IF(G$123=".", 0, 'Summary, PPI''s'!G114)+IF(H$123=".", 0, 'Summary, PPI''s'!H114)+IF(I$123=".", 0, 'Summary, PPI''s'!I114)+IF(J$123=".", 0, 'Summary, PPI''s'!J114)+IF(K$123=".", 0, 'Summary, PPI''s'!K114)+IF(L$123=".", 0, 'Summary, PPI''s'!L114)+IF(M$123=".", 0, 'Summary, PPI''s'!M114)+IF(B$123=".", 0, 'Summary, PPI''s'!B114)+IF(C$123=".", 0, 'Summary, PPI''s'!C114)+IF(D$123=".", 0, 'Summary, PPI''s'!D114)+IF(N$123=".", 0, 'Summary, PPI''s'!N114)+IF(O$123=".", 0, 'Summary, PPI''s'!O114)+IF(P$123=".", 0, 'Summary, PPI''s'!P114)</f>
        <v>425101.99373103661</v>
      </c>
      <c r="Z114" s="4" t="e">
        <f>Z113*IF(E$26=".", 1, (E114/E113)^(('Summary, PPI''s'!$E114+'Summary, PPI''s'!$E113)/('Predicted PPIs'!R114+'Predicted PPIs'!R113)))*IF(F$26=".", 1, (F114/F113)^(('Summary, PPI''s'!$F114+'Summary, PPI''s'!$F113)/('Predicted PPIs'!R114+'Predicted PPIs'!R113)))*IF(G$26=".", 1, (G114/G113)^(('Summary, PPI''s'!$G114+'Summary, PPI''s'!$G113)/('Predicted PPIs'!R114+'Predicted PPIs'!R113)))*IF(H$26=".", 1, (H114/H113)^(('Summary, PPI''s'!$H114+'Summary, PPI''s'!$H113)/('Predicted PPIs'!R114+'Predicted PPIs'!R113)))*IF(I$26=".", 1, (I114/I113)^(('Summary, PPI''s'!$I114+'Summary, PPI''s'!$I113)/('Predicted PPIs'!R114+'Predicted PPIs'!R113)))*IF(J$26=".", 1, (J114/J113)^(('Summary, PPI''s'!$J114+'Summary, PPI''s'!$J113)/('Predicted PPIs'!R114+'Predicted PPIs'!R113)))*IF(K$26=".", 1, (K114/K113)^(('Summary, PPI''s'!$K114+'Summary, PPI''s'!$K113)/('Predicted PPIs'!R114+'Predicted PPIs'!R113)))*IF(L$26=".", 1, (L114/L113)^(('Summary, PPI''s'!$L114+'Summary, PPI''s'!$L113)/('Predicted PPIs'!R114+'Predicted PPIs'!R113)))*IF(M$26=".", 1, (M114/M113)^(('Summary, PPI''s'!$M114+'Summary, PPI''s'!$M113)/('Predicted PPIs'!R114+'Predicted PPIs'!R113)))*IF(B$26=".", 1, (B114/B113)^(('Summary, PPI''s'!$B114+'Summary, PPI''s'!$B113)/('Predicted PPIs'!R114+'Predicted PPIs'!R113)))*IF(C$26=".", 1, (C114/C113)^(('Summary, PPI''s'!$C114+'Summary, PPI''s'!$C113)/('Predicted PPIs'!R114+'Predicted PPIs'!R113)))*IF(D$26=".", 1, (D114/D113)^(('Summary, PPI''s'!$D114+'Summary, PPI''s'!$D113)/('Predicted PPIs'!R114+'Predicted PPIs'!R113)))*IF(N$26=".", 1, (N114/N113)^(('Summary, PPI''s'!$N114+'Summary, PPI''s'!$N113)/('Predicted PPIs'!R114+'Predicted PPIs'!R113)))*IF(O$26=".", 1, (O114/O113)^(('Summary, PPI''s'!$O114+'Summary, PPI''s'!$O113)/('Predicted PPIs'!R114+'Predicted PPIs'!R113)))*IF(P$26=".", 1, (P114/P113)^(('Summary, PPI''s'!$P114+'Summary, PPI''s'!$P113)/('Predicted PPIs'!R114+'Predicted PPIs'!R113)))</f>
        <v>#VALUE!</v>
      </c>
      <c r="AA114" s="4" t="e">
        <f>AA113*IF(E$36=".", 1, (E114/E113)^(('Summary, PPI''s'!$E114+'Summary, PPI''s'!$E113)/('Predicted PPIs'!S114+'Predicted PPIs'!S113)))*IF(F$36=".", 1, (F114/F113)^(('Summary, PPI''s'!$F114+'Summary, PPI''s'!$F113)/('Predicted PPIs'!S114+'Predicted PPIs'!S113)))*IF(G$36=".", 1, (G114/G113)^(('Summary, PPI''s'!$G114+'Summary, PPI''s'!$G113)/('Predicted PPIs'!S114+'Predicted PPIs'!S113)))*IF(H$36=".", 1, (H114/H113)^(('Summary, PPI''s'!$H114+'Summary, PPI''s'!$H113)/('Predicted PPIs'!S114+'Predicted PPIs'!S113)))*IF(I$36=".", 1, (I114/I113)^(('Summary, PPI''s'!$I114+'Summary, PPI''s'!$I113)/('Predicted PPIs'!S114+'Predicted PPIs'!S113)))*IF(J$36=".", 1, (J114/J113)^(('Summary, PPI''s'!$J114+'Summary, PPI''s'!$J113)/('Predicted PPIs'!S114+'Predicted PPIs'!S113)))*IF(K$36=".", 1, (K114/K113)^(('Summary, PPI''s'!$K114+'Summary, PPI''s'!$K113)/('Predicted PPIs'!S114+'Predicted PPIs'!S113)))*IF(L$36=".", 1, (L114/L113)^(('Summary, PPI''s'!$L114+'Summary, PPI''s'!$L113)/('Predicted PPIs'!S114+'Predicted PPIs'!S113)))*IF(M$36=".", 1, (M114/M113)^(('Summary, PPI''s'!$M114+'Summary, PPI''s'!$M113)/('Predicted PPIs'!S114+'Predicted PPIs'!S113)))*IF(B$36=".", 1, (B114/B113)^(('Summary, PPI''s'!$B114+'Summary, PPI''s'!$B113)/('Predicted PPIs'!S114+'Predicted PPIs'!S113)))*IF(C$36=".", 1, (C114/C113)^(('Summary, PPI''s'!$C114+'Summary, PPI''s'!$C113)/('Predicted PPIs'!S114+'Predicted PPIs'!S113)))*IF(D$36=".", 1, (D114/D113)^(('Summary, PPI''s'!$D114+'Summary, PPI''s'!$D113)/('Predicted PPIs'!S114+'Predicted PPIs'!S113)))*IF(N$36=".", 1, (N114/N113)^(('Summary, PPI''s'!$N114+'Summary, PPI''s'!$N113)/('Predicted PPIs'!S114+'Predicted PPIs'!S113)))*IF(O$36=".", 1, (O114/O113)^(('Summary, PPI''s'!$O114+'Summary, PPI''s'!$O113)/('Predicted PPIs'!S114+'Predicted PPIs'!S113)))*IF(P$36=".", 1, (P114/P113)^(('Summary, PPI''s'!$P114+'Summary, PPI''s'!$P113)/('Predicted PPIs'!S114+'Predicted PPIs'!S113)))</f>
        <v>#VALUE!</v>
      </c>
      <c r="AB114" s="4" t="e">
        <f>AB113*IF(E$46=".", 1, (E114/E113)^(('Summary, PPI''s'!$E114+'Summary, PPI''s'!$E113)/('Predicted PPIs'!T114+'Predicted PPIs'!T113)))*IF(F$46=".", 1, (F114/F113)^(('Summary, PPI''s'!$F114+'Summary, PPI''s'!$F113)/('Predicted PPIs'!T114+'Predicted PPIs'!T113)))*IF(G$46=".", 1, (G114/G113)^(('Summary, PPI''s'!$G114+'Summary, PPI''s'!$G113)/('Predicted PPIs'!T114+'Predicted PPIs'!T113)))*IF(H$46=".", 1, (H114/H113)^(('Summary, PPI''s'!$H114+'Summary, PPI''s'!$H113)/('Predicted PPIs'!T114+'Predicted PPIs'!T113)))*IF(I$46=".", 1, (I114/I113)^(('Summary, PPI''s'!$I114+'Summary, PPI''s'!$I113)/('Predicted PPIs'!T114+'Predicted PPIs'!T113)))*IF(J$46=".", 1, (J114/J113)^(('Summary, PPI''s'!$J114+'Summary, PPI''s'!$J113)/('Predicted PPIs'!T114+'Predicted PPIs'!T113)))*IF(K$46=".", 1, (K114/K113)^(('Summary, PPI''s'!$K114+'Summary, PPI''s'!$K113)/('Predicted PPIs'!T114+'Predicted PPIs'!T113)))*IF(L$46=".", 1, (L114/L113)^(('Summary, PPI''s'!$L114+'Summary, PPI''s'!$L113)/('Predicted PPIs'!T114+'Predicted PPIs'!T113)))*IF(M$46=".", 1, (M114/M113)^(('Summary, PPI''s'!$M114+'Summary, PPI''s'!$M113)/('Predicted PPIs'!T114+'Predicted PPIs'!T113)))*IF(B$46=".", 1, (B114/B113)^(('Summary, PPI''s'!$B114+'Summary, PPI''s'!$B113)/('Predicted PPIs'!T114+'Predicted PPIs'!T113)))*IF(C$46=".", 1, (C114/C113)^(('Summary, PPI''s'!$C114+'Summary, PPI''s'!$C113)/('Predicted PPIs'!T114+'Predicted PPIs'!T113)))*IF(D$46=".", 1, (D114/D113)^(('Summary, PPI''s'!$D114+'Summary, PPI''s'!$D113)/('Predicted PPIs'!T114+'Predicted PPIs'!T113)))*IF(N$46=".", 1, (N114/N113)^(('Summary, PPI''s'!$N114+'Summary, PPI''s'!$N113)/('Predicted PPIs'!T114+'Predicted PPIs'!T113)))*IF(O$46=".", 1, (O114/O113)^(('Summary, PPI''s'!$O114+'Summary, PPI''s'!$O113)/('Predicted PPIs'!T114+'Predicted PPIs'!T113)))*IF(P$46=".", 1, (P114/P113)^(('Summary, PPI''s'!$P114+'Summary, PPI''s'!$P113)/('Predicted PPIs'!T114+'Predicted PPIs'!T113)))</f>
        <v>#VALUE!</v>
      </c>
      <c r="AC114" s="4" t="e">
        <f>AC113*IF(E$60=".",1,(E114/E113)^(('Summary, PPI''s'!$E114+'Summary, PPI''s'!$E113)/('Predicted PPIs'!U114+'Predicted PPIs'!U113)))*IF(F$60=".",1,(F114/F113)^(('Summary, PPI''s'!$F114+'Summary, PPI''s'!$F113)/('Predicted PPIs'!U114+'Predicted PPIs'!U113)))*IF(G$60=".",1,(G114/G113)^(('Summary, PPI''s'!$G114+'Summary, PPI''s'!$G113)/('Predicted PPIs'!U114+'Predicted PPIs'!U113)))*IF(H$60=".",1,(H114/H113)^(('Summary, PPI''s'!$H114+'Summary, PPI''s'!$H113)/('Predicted PPIs'!U114+'Predicted PPIs'!U113)))*IF(I$60=".",1,(I114/I113)^(('Summary, PPI''s'!$I114+'Summary, PPI''s'!$I113)/('Predicted PPIs'!U114+'Predicted PPIs'!U113)))*IF(J$60=".",1,(J114/J113)^(('Summary, PPI''s'!$J114+'Summary, PPI''s'!$J113)/('Predicted PPIs'!U114+'Predicted PPIs'!U113)))*IF(K$60=".",1,(K114/K113)^(('Summary, PPI''s'!$K114+'Summary, PPI''s'!$K113)/('Predicted PPIs'!U114+'Predicted PPIs'!U113)))*IF(L$60=".",1,(L114/L113)^(('Summary, PPI''s'!$L114+'Summary, PPI''s'!$L113)/('Predicted PPIs'!U114+'Predicted PPIs'!U113)))*IF(M$60=".",1,(M114/M113)^(('Summary, PPI''s'!$M114+'Summary, PPI''s'!$M113)/('Predicted PPIs'!U114+'Predicted PPIs'!U113)))*IF(B$60=".",1,(B114/B113)^(('Summary, PPI''s'!$B114+'Summary, PPI''s'!$B113)/('Predicted PPIs'!U114+'Predicted PPIs'!U113)))*IF(C$60=".",1,(C114/C113)^(('Summary, PPI''s'!$C114+'Summary, PPI''s'!$C113)/('Predicted PPIs'!U114+'Predicted PPIs'!U113)))*IF(D$60=".",1,(D114/D113)^(('Summary, PPI''s'!$D114+'Summary, PPI''s'!$D113)/('Predicted PPIs'!U114+'Predicted PPIs'!U113)))*IF(N$60=".",1,(N114/N113)^(('Summary, PPI''s'!$N114+'Summary, PPI''s'!$N113)/('Predicted PPIs'!U114+'Predicted PPIs'!U113)))*IF(O$60=".",1,(O114/O113)^(('Summary, PPI''s'!$O114+'Summary, PPI''s'!$O113)/('Predicted PPIs'!U114+'Predicted PPIs'!U113)))*IF(P$60=".",1,(P114/P113)^(('Summary, PPI''s'!$P114+'Summary, PPI''s'!$P113)/('Predicted PPIs'!U114+'Predicted PPIs'!U113)))</f>
        <v>#VALUE!</v>
      </c>
      <c r="AD114" s="4" t="e">
        <f>AD113*IF(E$73=".", 1, (E114/E113)^(('Summary, PPI''s'!$E114+'Summary, PPI''s'!$E113)/('Predicted PPIs'!V114+'Predicted PPIs'!V113)))*IF(F$73=".", 1, (F114/F113)^(('Summary, PPI''s'!$F114+'Summary, PPI''s'!$F113)/('Predicted PPIs'!V114+'Predicted PPIs'!V113)))*IF(G$73=".", 1, (G114/G113)^(('Summary, PPI''s'!$G114+'Summary, PPI''s'!$G113)/('Predicted PPIs'!V114+'Predicted PPIs'!V113)))*IF(H$73=".", 1, (H114/H113)^(('Summary, PPI''s'!$H114+'Summary, PPI''s'!$H113)/('Predicted PPIs'!V114+'Predicted PPIs'!V113)))*IF(I$73=".", 1, (I114/I113)^(('Summary, PPI''s'!$I114+'Summary, PPI''s'!$I113)/('Predicted PPIs'!V114+'Predicted PPIs'!V113)))*IF(J$73=".", 1, (J114/J113)^(('Summary, PPI''s'!$J114+'Summary, PPI''s'!$J113)/('Predicted PPIs'!V114+'Predicted PPIs'!V113)))*IF(K$73=".", 1, (K114/K113)^(('Summary, PPI''s'!$K114+'Summary, PPI''s'!$K113)/('Predicted PPIs'!V114+'Predicted PPIs'!V113)))*IF(L$73=".", 1, (L114/L113)^(('Summary, PPI''s'!$L114+'Summary, PPI''s'!$L113)/('Predicted PPIs'!V114+'Predicted PPIs'!V113)))*IF(M$73=".", 1, (M114/M113)^(('Summary, PPI''s'!$M114+'Summary, PPI''s'!$M113)/('Predicted PPIs'!V114+'Predicted PPIs'!V113)))*IF(B$73=".", 1, (B114/B113)^(('Summary, PPI''s'!$B114+'Summary, PPI''s'!$B113)/('Predicted PPIs'!V114+'Predicted PPIs'!V113)))*IF(C$73=".", 1, (C114/C113)^(('Summary, PPI''s'!$C114+'Summary, PPI''s'!$C113)/('Predicted PPIs'!V114+'Predicted PPIs'!V113)))*IF(D$73=".", 1, (D114/D113)^(('Summary, PPI''s'!$D114+'Summary, PPI''s'!$D113)/('Predicted PPIs'!V114+'Predicted PPIs'!V113)))*IF(N$73=".", 1, (N114/N113)^(('Summary, PPI''s'!$N114+'Summary, PPI''s'!$N113)/('Predicted PPIs'!V114+'Predicted PPIs'!V113)))*IF(O$73=".", 1, (O114/O113)^(('Summary, PPI''s'!$O114+'Summary, PPI''s'!$O113)/('Predicted PPIs'!V114+'Predicted PPIs'!V113)))*IF(P$73=".", 1, (P114/P113)^(('Summary, PPI''s'!$P114+'Summary, PPI''s'!$P113)/('Predicted PPIs'!V114+'Predicted PPIs'!V113)))</f>
        <v>#VALUE!</v>
      </c>
      <c r="AE114" s="4" t="e">
        <f>AE113*IF(E$94=".", 1, (E114/E113)^(('Summary, PPI''s'!$E114+'Summary, PPI''s'!$E113)/('Predicted PPIs'!W114+'Predicted PPIs'!W113)))*IF(F$94=".", 1, (F114/F113)^(('Summary, PPI''s'!$F114+'Summary, PPI''s'!$F113)/('Predicted PPIs'!W114+'Predicted PPIs'!W113)))*IF(G$94=".", 1, (G114/G113)^(('Summary, PPI''s'!$G114+'Summary, PPI''s'!$G113)/('Predicted PPIs'!W114+'Predicted PPIs'!W113)))*IF(H$94=".", 1, (H114/H113)^(('Summary, PPI''s'!$H114+'Summary, PPI''s'!$H113)/('Predicted PPIs'!W114+'Predicted PPIs'!W113)))*IF(I$94=".", 1, (I114/I113)^(('Summary, PPI''s'!$I114+'Summary, PPI''s'!$I113)/('Predicted PPIs'!W114+'Predicted PPIs'!W113)))*IF(J$94=".", 1, (J114/J113)^(('Summary, PPI''s'!$J114+'Summary, PPI''s'!$J113)/('Predicted PPIs'!W114+'Predicted PPIs'!W113)))*IF(K$94=".", 1, (K114/K113)^(('Summary, PPI''s'!$K114+'Summary, PPI''s'!$K113)/('Predicted PPIs'!W114+'Predicted PPIs'!W113)))*IF(L$94=".", 1, (L114/L113)^(('Summary, PPI''s'!$L114+'Summary, PPI''s'!$L113)/('Predicted PPIs'!W114+'Predicted PPIs'!W113)))*IF(M$94=".", 1, (M114/M113)^(('Summary, PPI''s'!$M114+'Summary, PPI''s'!$M113)/('Predicted PPIs'!W114+'Predicted PPIs'!W113)))*IF(B$94=".", 1, (B114/B113)^(('Summary, PPI''s'!$B114+'Summary, PPI''s'!$B113)/('Predicted PPIs'!W114+'Predicted PPIs'!W113)))*IF(C$94=".", 1, (C114/C113)^(('Summary, PPI''s'!$C114+'Summary, PPI''s'!$C113)/('Predicted PPIs'!W114+'Predicted PPIs'!W113)))*IF(D$94=".", 1, (D114/D113)^(('Summary, PPI''s'!$D114+'Summary, PPI''s'!$D113)/('Predicted PPIs'!W114+'Predicted PPIs'!W113)))*IF(N$94=".", 1, (N114/N113)^(('Summary, PPI''s'!$N114+'Summary, PPI''s'!$N113)/('Predicted PPIs'!W114+'Predicted PPIs'!W113)))*IF(O$94=".", 1, (O114/O113)^(('Summary, PPI''s'!$O114+'Summary, PPI''s'!$O113)/('Predicted PPIs'!W114+'Predicted PPIs'!W113)))*IF(P$94=".", 1, (P114/P113)^(('Summary, PPI''s'!$P114+'Summary, PPI''s'!$P113)/('Predicted PPIs'!W114+'Predicted PPIs'!W113)))</f>
        <v>#VALUE!</v>
      </c>
      <c r="AF114" s="4">
        <f>AF113*IF(E$123=".", 1, (E114/E113)^(('Summary, PPI''s'!$E114+'Summary, PPI''s'!$E113)/('Predicted PPIs'!X114+'Predicted PPIs'!X113)))*IF(F$123=".", 1, (F114/F113)^(('Summary, PPI''s'!$F114+'Summary, PPI''s'!$F113)/('Predicted PPIs'!X114+'Predicted PPIs'!X113)))*IF(G$123=".", 1, (G114/G113)^(('Summary, PPI''s'!$G114+'Summary, PPI''s'!$G113)/('Predicted PPIs'!X114+'Predicted PPIs'!X113)))*IF(H$123=".", 1, (H114/H113)^(('Summary, PPI''s'!$H114+'Summary, PPI''s'!$H113)/('Predicted PPIs'!X114+'Predicted PPIs'!X113)))*IF(I$123=".", 1, (I114/I113)^(('Summary, PPI''s'!$I114+'Summary, PPI''s'!$I113)/('Predicted PPIs'!X114+'Predicted PPIs'!X113)))*IF(J$123=".", 1, (J114/J113)^(('Summary, PPI''s'!$J114+'Summary, PPI''s'!$J113)/('Predicted PPIs'!X114+'Predicted PPIs'!X113)))*IF(K$123=".", 1, (K114/K113)^(('Summary, PPI''s'!$K114+'Summary, PPI''s'!$K113)/('Predicted PPIs'!X114+'Predicted PPIs'!X113)))*IF(L$123=".", 1, (L114/L113)^(('Summary, PPI''s'!$L114+'Summary, PPI''s'!$L113)/('Predicted PPIs'!X114+'Predicted PPIs'!X113)))*IF(M$123=".", 1, (M114/M113)^(('Summary, PPI''s'!$M114+'Summary, PPI''s'!$M113)/('Predicted PPIs'!X114+'Predicted PPIs'!X113)))*IF(B$123=".", 1, (B114/B113)^(('Summary, PPI''s'!$B114+'Summary, PPI''s'!$B113)/('Predicted PPIs'!X114+'Predicted PPIs'!X113)))*IF(C$123=".", 1, (C114/C113)^(('Summary, PPI''s'!$C114+'Summary, PPI''s'!$C113)/('Predicted PPIs'!X114+'Predicted PPIs'!X113)))*IF(D$123=".", 1, (D114/D113)^(('Summary, PPI''s'!$D114+'Summary, PPI''s'!$D113)/('Predicted PPIs'!X114+'Predicted PPIs'!X113)))*IF(N$123=".", 1, (N114/N113)^(('Summary, PPI''s'!$N114+'Summary, PPI''s'!$N113)/('Predicted PPIs'!X114+'Predicted PPIs'!X113)))*IF(O$123=".", 1, (O114/O113)^(('Summary, PPI''s'!$O114+'Summary, PPI''s'!$O113)/('Predicted PPIs'!X114+'Predicted PPIs'!X113)))*IF(P$123=".", 1, (P114/P113)^(('Summary, PPI''s'!$P114+'Summary, PPI''s'!$P113)/('Predicted PPIs'!X114+'Predicted PPIs'!X113)))</f>
        <v>2.4760244540267498</v>
      </c>
      <c r="AH114" s="13">
        <f t="shared" si="212"/>
        <v>3.5359038566608669</v>
      </c>
      <c r="AJ114" s="4">
        <f t="shared" si="207"/>
        <v>21.289675528735092</v>
      </c>
      <c r="AK114" s="4">
        <f t="shared" si="191"/>
        <v>-0.4711784777871213</v>
      </c>
      <c r="AL114" s="4">
        <f t="shared" si="192"/>
        <v>-1.6140544703180555</v>
      </c>
      <c r="AM114" s="4">
        <f t="shared" si="193"/>
        <v>-0.25113015190872273</v>
      </c>
      <c r="AN114" s="4">
        <f t="shared" si="176"/>
        <v>28.390617335725182</v>
      </c>
      <c r="AO114" s="4">
        <v>4.9000000000000004</v>
      </c>
      <c r="AP114" s="4">
        <f t="shared" si="177"/>
        <v>-0.45331550802139042</v>
      </c>
      <c r="AQ114" s="4">
        <f t="shared" si="178"/>
        <v>-0.85697593582887677</v>
      </c>
      <c r="AR114" s="4">
        <f t="shared" si="210"/>
        <v>-2.4950315581134413E-5</v>
      </c>
      <c r="AS114" s="4">
        <f t="shared" si="208"/>
        <v>-5.1287819049595354E-2</v>
      </c>
      <c r="AT114" s="4">
        <f t="shared" si="194"/>
        <v>4.0821565217391313</v>
      </c>
      <c r="AU114" s="4">
        <f t="shared" si="195"/>
        <v>6.7217695652173903</v>
      </c>
      <c r="AV114" s="4">
        <f t="shared" si="196"/>
        <v>5.2278478260869568</v>
      </c>
      <c r="AW114" s="4">
        <f t="shared" si="197"/>
        <v>2.9232913043478272</v>
      </c>
      <c r="AX114" s="4">
        <f t="shared" si="198"/>
        <v>3.8883749961714638</v>
      </c>
      <c r="AY114" s="4">
        <f t="shared" si="199"/>
        <v>4.5722260869565226</v>
      </c>
      <c r="AZ114" s="4">
        <f t="shared" si="200"/>
        <v>1.5628652173913047</v>
      </c>
      <c r="BA114" s="4">
        <f t="shared" si="201"/>
        <v>4.2336565217391291</v>
      </c>
      <c r="BB114" s="4">
        <f t="shared" si="202"/>
        <v>24.215471703546079</v>
      </c>
      <c r="BC114" s="4">
        <f t="shared" si="203"/>
        <v>3.9684217391304362</v>
      </c>
      <c r="BD114" s="5">
        <f>'[2]Ordinary Experience'!$AD$312</f>
        <v>90.9</v>
      </c>
      <c r="BE114" s="5">
        <f>'[2]Ordinary Experience'!$AC$312</f>
        <v>0.80246987760747601</v>
      </c>
      <c r="BG114" s="4">
        <f t="shared" si="172"/>
        <v>5.3741383102351934</v>
      </c>
      <c r="BI114" s="4">
        <f>BI$13*'[2]Ordinary Experience'!$D$312/'[2]Ordinary Experience'!$D$413</f>
        <v>90563867.919104174</v>
      </c>
      <c r="BJ114" s="4">
        <f>'[2]Ordinary Experience'!$E$312</f>
        <v>32.332288003568223</v>
      </c>
      <c r="BL114" s="4">
        <f t="shared" si="211"/>
        <v>22.126265169032759</v>
      </c>
      <c r="BM114" s="4">
        <f t="shared" si="153"/>
        <v>0.12906067702208168</v>
      </c>
      <c r="BO114" s="4" t="str">
        <f>IF(OR('Summary, hourly ad costs'!R114=-9999,'Summary, PPI''s'!R114="."),".",(('Summary, hourly ad costs'!B114/'Summary, hourly ad costs'!R114)*100/('Summary, hourly ad costs'!B$11/'Summary, hourly ad costs'!R$11))/('Summary, PPI''s'!R114))</f>
        <v>.</v>
      </c>
      <c r="BP114" s="4" t="str">
        <f>IF(OR('Summary, hourly ad costs'!S114=-9999,'Summary, PPI''s'!S114="."),".",(('Summary, hourly ad costs'!C114/'Summary, hourly ad costs'!S114)*100/('Summary, hourly ad costs'!C$11/'Summary, hourly ad costs'!S$11))/('Summary, PPI''s'!S114))</f>
        <v>.</v>
      </c>
      <c r="BQ114" s="4" t="str">
        <f>IF(OR('Summary, hourly ad costs'!T114=-9999,'Summary, PPI''s'!T114="."),".",(('Summary, hourly ad costs'!D114/'Summary, hourly ad costs'!T114)*100/('Summary, hourly ad costs'!D$11/'Summary, hourly ad costs'!T$11))/('Summary, PPI''s'!T114))</f>
        <v>.</v>
      </c>
      <c r="BR114" s="4" t="str">
        <f>IF(OR('Summary, hourly ad costs'!U114=-9999,'Summary, PPI''s'!U114="."),".",(('Summary, hourly ad costs'!E114/'Summary, hourly ad costs'!U114)*100/('Summary, hourly ad costs'!E$11/'Summary, hourly ad costs'!U$11))/('Summary, PPI''s'!U114))</f>
        <v>.</v>
      </c>
      <c r="BS114" s="4" t="str">
        <f>IF(OR('Summary, hourly ad costs'!V114=-9999,'Summary, PPI''s'!V114="."),".",(('Summary, hourly ad costs'!F114/'Summary, hourly ad costs'!V114)*100/('Summary, hourly ad costs'!F$11/'Summary, hourly ad costs'!V$11))/('Summary, PPI''s'!V114))</f>
        <v>.</v>
      </c>
      <c r="BT114" s="4" t="str">
        <f>IF(OR('Summary, hourly ad costs'!W114=-9999,'Summary, PPI''s'!W114="."),".",(('Summary, hourly ad costs'!G114/'Summary, hourly ad costs'!W114)*100/('Summary, hourly ad costs'!G$11/'Summary, hourly ad costs'!W$11))/('Summary, PPI''s'!W114))</f>
        <v>.</v>
      </c>
      <c r="BU114" s="4" t="str">
        <f>IF(OR('Summary, hourly ad costs'!X114=-9999,'Summary, PPI''s'!X114="."),".",(('Summary, hourly ad costs'!H114/'Summary, hourly ad costs'!X114)*100/('Summary, hourly ad costs'!H$11/'Summary, hourly ad costs'!X$11))/('Summary, PPI''s'!X114))</f>
        <v>.</v>
      </c>
      <c r="BV114" s="4" t="str">
        <f>IF(OR('Summary, hourly ad costs'!Y114=-9999,'Summary, PPI''s'!Y114="."),".",(('Summary, hourly ad costs'!I114/'Summary, hourly ad costs'!Y114)*100/('Summary, hourly ad costs'!I$11/'Summary, hourly ad costs'!Y$11))/('Summary, PPI''s'!Y114))</f>
        <v>.</v>
      </c>
      <c r="BW114" s="4" t="str">
        <f>IF(OR('Summary, hourly ad costs'!Z114=-9999,'Summary, PPI''s'!Z114="."),".",(('Summary, hourly ad costs'!J114/'Summary, hourly ad costs'!Z114)*100/('Summary, hourly ad costs'!J$11/'Summary, hourly ad costs'!Z$11))/('Summary, PPI''s'!Z114))</f>
        <v>.</v>
      </c>
      <c r="BX114" s="4" t="str">
        <f>IF(OR('Summary, hourly ad costs'!AA114=-9999,'Summary, PPI''s'!AA114="."),".",(('Summary, hourly ad costs'!K114/'Summary, hourly ad costs'!AA114)*100/('Summary, hourly ad costs'!K$11/'Summary, hourly ad costs'!AA$11))/('Summary, PPI''s'!AA114))</f>
        <v>.</v>
      </c>
      <c r="BY114" s="4" t="str">
        <f>IF(OR('Summary, hourly ad costs'!AB114=-9999,'Summary, PPI''s'!AB114="."),".",(('Summary, hourly ad costs'!L114/'Summary, hourly ad costs'!AB114)*100/('Summary, hourly ad costs'!L$11/'Summary, hourly ad costs'!AB$11))/('Summary, PPI''s'!AB114))</f>
        <v>.</v>
      </c>
      <c r="BZ114" s="4" t="str">
        <f>IF(OR('Summary, hourly ad costs'!AC114=-9999,'Summary, PPI''s'!AC114="."),".",(('Summary, hourly ad costs'!M114/'Summary, hourly ad costs'!AC114)*100/('Summary, hourly ad costs'!M$11/'Summary, hourly ad costs'!AC$11))/('Summary, PPI''s'!AC114))</f>
        <v>.</v>
      </c>
      <c r="CA114" s="4" t="str">
        <f>IF(OR('Summary, hourly ad costs'!AD114=-9999,'Summary, PPI''s'!AD114="."),".",(('Summary, hourly ad costs'!N114/'Summary, hourly ad costs'!AD114)*100/('Summary, hourly ad costs'!N$11/'Summary, hourly ad costs'!AD$11))/('Summary, PPI''s'!AD114))</f>
        <v>.</v>
      </c>
      <c r="CB114" s="4" t="str">
        <f>IF(OR('Summary, hourly ad costs'!AE114=-9999,'Summary, PPI''s'!AE114="."),".",(('Summary, hourly ad costs'!O114/'Summary, hourly ad costs'!AE114)*100/('Summary, hourly ad costs'!O$11/'Summary, hourly ad costs'!AE$11))/('Summary, PPI''s'!AE114))</f>
        <v>.</v>
      </c>
      <c r="CC114" s="4" t="str">
        <f>IF(OR('Summary, hourly ad costs'!AF114=-9999,'Summary, PPI''s'!AF114="."),".",(('Summary, hourly ad costs'!P114/'Summary, hourly ad costs'!AF114)*100/('Summary, hourly ad costs'!P$11/'Summary, hourly ad costs'!AF$11))/('Summary, PPI''s'!AF114))</f>
        <v>.</v>
      </c>
      <c r="CE114" s="4">
        <f t="shared" si="183"/>
        <v>9.0141571558251282E-2</v>
      </c>
      <c r="CF114" s="4" t="str">
        <f t="shared" si="184"/>
        <v>.</v>
      </c>
      <c r="CG114" s="4" t="str">
        <f t="shared" si="185"/>
        <v>.</v>
      </c>
      <c r="CH114" s="4">
        <f t="shared" si="145"/>
        <v>0.14555454097404594</v>
      </c>
      <c r="CI114" s="4">
        <f t="shared" si="145"/>
        <v>0.16701418898301648</v>
      </c>
      <c r="CJ114" s="4" t="str">
        <f t="shared" si="209"/>
        <v>.</v>
      </c>
      <c r="CK114" s="4">
        <f t="shared" si="149"/>
        <v>-2.7687418130463576E-3</v>
      </c>
      <c r="CL114" s="4">
        <f t="shared" si="234"/>
        <v>0.11646861310766583</v>
      </c>
      <c r="CM114" s="4">
        <f t="shared" si="234"/>
        <v>6.3123044315050725E-2</v>
      </c>
      <c r="CN114" s="4">
        <f t="shared" si="204"/>
        <v>0.10309247595651369</v>
      </c>
      <c r="CO114" s="4">
        <f t="shared" si="180"/>
        <v>0.84209749822721447</v>
      </c>
      <c r="CP114" s="4">
        <f t="shared" si="180"/>
        <v>-0.15086008148474561</v>
      </c>
      <c r="CQ114" s="4" t="str">
        <f t="shared" si="230"/>
        <v>.</v>
      </c>
      <c r="CR114" s="4" t="str">
        <f t="shared" si="231"/>
        <v>.</v>
      </c>
      <c r="CS114" s="4" t="str">
        <f t="shared" si="232"/>
        <v>.</v>
      </c>
      <c r="CU114" s="5">
        <f>IF(CU113=".", ".", IF('Summary, PPI''s'!R114=".",IF(OR('Summary, hourly ad costs'!R114=-9999,'Summary, hourly ad costs'!R114=0), ".", 'Predicted PPIs'!CU113*('Summary, hourly ad costs'!B114/'Summary, hourly ad costs'!R114)/('Summary, hourly ad costs'!B113/'Summary, hourly ad costs'!R113)/(1-CE113)), 'Summary, PPI''s'!R114))</f>
        <v>24.091203988360039</v>
      </c>
      <c r="CV114" s="5" t="str">
        <f>IF(CV113=".", ".", IF('Summary, PPI''s'!S114=".",IF(OR('Summary, hourly ad costs'!S114=-9999,'Summary, hourly ad costs'!S114=0), ".", 'Predicted PPIs'!CV113*('Summary, hourly ad costs'!C114/'Summary, hourly ad costs'!S114)/('Summary, hourly ad costs'!C113/'Summary, hourly ad costs'!S113)/(1-CF113)), 'Summary, PPI''s'!S114))</f>
        <v>.</v>
      </c>
      <c r="CW114" s="5" t="str">
        <f>IF(CW113=".", ".", IF('Summary, PPI''s'!T114=".",IF(OR('Summary, hourly ad costs'!T114=-9999,'Summary, hourly ad costs'!T114=0), ".", 'Predicted PPIs'!CW113*('Summary, hourly ad costs'!D114/'Summary, hourly ad costs'!T114)/('Summary, hourly ad costs'!D113/'Summary, hourly ad costs'!T113)/(1-CG113)), 'Summary, PPI''s'!T114))</f>
        <v>.</v>
      </c>
      <c r="CX114" s="5">
        <f>IF(CX113=".", ".", IF('Summary, PPI''s'!U114=".",IF(OR('Summary, hourly ad costs'!U114=-9999,'Summary, hourly ad costs'!U114=0), ".", 'Predicted PPIs'!CX113*('Summary, hourly ad costs'!E114/'Summary, hourly ad costs'!U114)/('Summary, hourly ad costs'!E113/'Summary, hourly ad costs'!U113)/(1-CH113)), 'Summary, PPI''s'!U114))</f>
        <v>1.0419346715338456</v>
      </c>
      <c r="CY114" s="5">
        <f>IF(CY113=".", ".", IF('Summary, PPI''s'!V114=".",IF(OR('Summary, hourly ad costs'!V114=-9999,'Summary, hourly ad costs'!V114=0), ".", 'Predicted PPIs'!CY113*('Summary, hourly ad costs'!F114/'Summary, hourly ad costs'!V114)/('Summary, hourly ad costs'!F113/'Summary, hourly ad costs'!V113)/(1-CI113)), 'Summary, PPI''s'!V114))</f>
        <v>0.96256684213921739</v>
      </c>
      <c r="CZ114" s="5" t="str">
        <f>IF(CZ113=".", ".", IF('Summary, PPI''s'!W114=".",IF(OR('Summary, hourly ad costs'!W114=-9999,'Summary, hourly ad costs'!W114=0), ".", 'Predicted PPIs'!CZ113*('Summary, hourly ad costs'!G114/'Summary, hourly ad costs'!W114)/('Summary, hourly ad costs'!G113/'Summary, hourly ad costs'!W113)/(1-CJ113)), 'Summary, PPI''s'!W114))</f>
        <v>.</v>
      </c>
      <c r="DA114" s="5">
        <f>IF(DA113=".", ".", IF('Summary, PPI''s'!X114=".",IF(OR('Summary, hourly ad costs'!X114=-9999,'Summary, hourly ad costs'!X114=0), ".", 'Predicted PPIs'!DA113*('Summary, hourly ad costs'!H114/'Summary, hourly ad costs'!X114)/('Summary, hourly ad costs'!H113/'Summary, hourly ad costs'!X113)/(1-CK113)), 'Summary, PPI''s'!X114))</f>
        <v>1.0408882155346069</v>
      </c>
      <c r="DB114" s="5" t="str">
        <f>IF(DB113=".", ".", IF('Summary, PPI''s'!Y114=".",IF(OR('Summary, hourly ad costs'!Y114=-9999,'Summary, hourly ad costs'!Y114=0), ".", 'Predicted PPIs'!DB113*('Summary, hourly ad costs'!I114/'Summary, hourly ad costs'!Y114)/('Summary, hourly ad costs'!I113/'Summary, hourly ad costs'!Y113)/(1-CL113)), 'Summary, PPI''s'!Y114))</f>
        <v>.</v>
      </c>
      <c r="DC114" s="5" t="str">
        <f>IF(DC113=".", ".", IF('Summary, PPI''s'!Z114=".",IF(OR('Summary, hourly ad costs'!Z114=-9999,'Summary, hourly ad costs'!Z114=0), ".", 'Predicted PPIs'!DC113*('Summary, hourly ad costs'!J114/'Summary, hourly ad costs'!Z114)/('Summary, hourly ad costs'!J113/'Summary, hourly ad costs'!Z113)/(1-CM113)), 'Summary, PPI''s'!Z114))</f>
        <v>.</v>
      </c>
      <c r="DD114" s="5" t="str">
        <f>IF(DD113=".", ".", IF('Summary, PPI''s'!AA114=".",IF(OR('Summary, hourly ad costs'!AA114=-9999,'Summary, hourly ad costs'!AA114=0), ".", 'Predicted PPIs'!DD113*('Summary, hourly ad costs'!K114/'Summary, hourly ad costs'!AA114)/('Summary, hourly ad costs'!K113/'Summary, hourly ad costs'!AA113)/(1-CN113)), 'Summary, PPI''s'!AA114))</f>
        <v>.</v>
      </c>
      <c r="DE114" s="5" t="str">
        <f>IF(DE113=".", ".", IF('Summary, PPI''s'!AB114=".",IF(OR('Summary, hourly ad costs'!AB114=-9999,'Summary, hourly ad costs'!AB114=0), ".", 'Predicted PPIs'!DE113*('Summary, hourly ad costs'!L114/'Summary, hourly ad costs'!AB114)/('Summary, hourly ad costs'!L113/'Summary, hourly ad costs'!AB113)/(1-CO113)), 'Summary, PPI''s'!AB114))</f>
        <v>.</v>
      </c>
      <c r="DF114" s="5" t="str">
        <f>IF(DF113=".", ".", IF('Summary, PPI''s'!AC114=".",IF(OR('Summary, hourly ad costs'!AC114=-9999,'Summary, hourly ad costs'!AC114=0), ".", 'Predicted PPIs'!DF113*('Summary, hourly ad costs'!M114/'Summary, hourly ad costs'!AC114)/('Summary, hourly ad costs'!M113/'Summary, hourly ad costs'!AC113)/(1-CP113)), 'Summary, PPI''s'!AC114))</f>
        <v>.</v>
      </c>
      <c r="DG114" s="5" t="str">
        <f>IF(DG113=".", ".", IF('Summary, PPI''s'!AD114=".",IF(OR('Summary, hourly ad costs'!AD114=-9999,'Summary, hourly ad costs'!AD114=0), ".", 'Predicted PPIs'!DG113*('Summary, hourly ad costs'!N114/'Summary, hourly ad costs'!AD114)/('Summary, hourly ad costs'!N113/'Summary, hourly ad costs'!AD113)/(1-CQ113)), 'Summary, PPI''s'!AD114))</f>
        <v>.</v>
      </c>
      <c r="DH114" s="5" t="str">
        <f>IF(DH113=".", ".", IF('Summary, PPI''s'!AE114=".",IF(OR('Summary, hourly ad costs'!AE114=-9999,'Summary, hourly ad costs'!AE114=0), ".", 'Predicted PPIs'!DH113*('Summary, hourly ad costs'!O114/'Summary, hourly ad costs'!AE114)/('Summary, hourly ad costs'!O113/'Summary, hourly ad costs'!AE113)/(1-CR113)), 'Summary, PPI''s'!AE114))</f>
        <v>.</v>
      </c>
      <c r="DI114" s="5" t="str">
        <f>IF(DI113=".", ".", IF('Summary, PPI''s'!AF114=".",IF(OR('Summary, hourly ad costs'!AF114=-9999,'Summary, hourly ad costs'!AF114=0), ".", 'Predicted PPIs'!DI113*('Summary, hourly ad costs'!P114/'Summary, hourly ad costs'!AF114)/('Summary, hourly ad costs'!P113/'Summary, hourly ad costs'!AF113)/(1-CS113)), 'Summary, PPI''s'!AF114))</f>
        <v>.</v>
      </c>
      <c r="DK114" s="4">
        <f t="shared" si="205"/>
        <v>1.026129824561403</v>
      </c>
      <c r="DM114" s="5">
        <f t="shared" si="186"/>
        <v>-0.19518377341526016</v>
      </c>
      <c r="DN114" s="4">
        <f t="shared" si="187"/>
        <v>-4.465233169742773E-2</v>
      </c>
      <c r="DO114" s="4">
        <f t="shared" si="233"/>
        <v>-2.1954404435265182E-2</v>
      </c>
      <c r="DP114" s="5">
        <f t="shared" si="188"/>
        <v>-0.15047965465204283</v>
      </c>
      <c r="DQ114" s="5">
        <f t="shared" si="189"/>
        <v>-0.17216937391836062</v>
      </c>
      <c r="DR114" s="4">
        <f t="shared" si="146"/>
        <v>6.5748769382390181E-3</v>
      </c>
      <c r="DS114" s="5">
        <f t="shared" si="190"/>
        <v>-0.10696339318555748</v>
      </c>
      <c r="DT114" s="4">
        <f t="shared" si="206"/>
        <v>-8.2596900094451434E-2</v>
      </c>
      <c r="DU114" s="4">
        <f t="shared" si="171"/>
        <v>2.0722509777220822E-2</v>
      </c>
      <c r="DV114" s="4">
        <f t="shared" si="235"/>
        <v>-3.9631976833802854E-3</v>
      </c>
      <c r="DW114" s="4">
        <f t="shared" si="182"/>
        <v>-0.39242780472735317</v>
      </c>
      <c r="DX114" s="4">
        <f t="shared" si="182"/>
        <v>0.55218184256978398</v>
      </c>
      <c r="DY114" s="4">
        <f t="shared" si="228"/>
        <v>-3.5793722154851201E-3</v>
      </c>
      <c r="DZ114" s="4">
        <f t="shared" si="236"/>
        <v>4.2979576134358766E-3</v>
      </c>
      <c r="EA114" s="4">
        <f t="shared" si="229"/>
        <v>-1.6230689145157028E-3</v>
      </c>
      <c r="EC114" s="1">
        <f t="shared" si="213"/>
        <v>24.091203988360039</v>
      </c>
      <c r="ED114" s="1">
        <f t="shared" si="214"/>
        <v>0.99737503576673969</v>
      </c>
      <c r="EE114" s="1">
        <f t="shared" si="215"/>
        <v>0.54071909449841349</v>
      </c>
      <c r="EF114" s="1">
        <f t="shared" si="216"/>
        <v>1.0419346715338456</v>
      </c>
      <c r="EG114" s="1">
        <f t="shared" si="217"/>
        <v>0.96256684213921739</v>
      </c>
      <c r="EH114" s="1">
        <f t="shared" si="218"/>
        <v>0.82125623335712139</v>
      </c>
      <c r="EI114" s="1">
        <f t="shared" si="219"/>
        <v>1.0408882155346069</v>
      </c>
      <c r="EJ114" s="1">
        <f t="shared" si="220"/>
        <v>1.5033834272075319</v>
      </c>
      <c r="EK114" s="1">
        <f t="shared" si="221"/>
        <v>1.7419173088165003</v>
      </c>
      <c r="EL114" s="1">
        <f t="shared" si="222"/>
        <v>0.85268993158074202</v>
      </c>
      <c r="EM114" s="1">
        <f t="shared" si="223"/>
        <v>4.5641863733931594E-2</v>
      </c>
      <c r="EN114" s="1">
        <f t="shared" si="224"/>
        <v>0.31357820910570139</v>
      </c>
      <c r="EO114" s="1">
        <f t="shared" si="225"/>
        <v>0.40727900599708966</v>
      </c>
      <c r="EP114" s="1">
        <f t="shared" si="226"/>
        <v>0.76151087929592332</v>
      </c>
      <c r="EQ114" s="1">
        <f t="shared" si="227"/>
        <v>0.61458589035578037</v>
      </c>
      <c r="ES114" s="1">
        <f>IF(EF$26=".", 0, 'Summary, PPI''s'!E114)+IF(EG$26=".", 0, 'Summary, PPI''s'!F114)+IF(EH$26=".", 0, 'Summary, PPI''s'!G114)+IF(EI$26=".", 0, 'Summary, PPI''s'!H114)+IF(EJ$26=".", 0, 'Summary, PPI''s'!I114)+IF(EK$26=".", 0, 'Summary, PPI''s'!J114)+IF(EL$26=".", 0, 'Summary, PPI''s'!K114)+IF(EM$26=".", 0, 'Summary, PPI''s'!L114)+IF(EN$26=".", 0, 'Summary, PPI''s'!M114)+IF(EC$26=".", 0, 'Summary, PPI''s'!B114)+IF(ED$26=".", 0, 'Summary, PPI''s'!C114)+IF(EE$26=".", 0, 'Summary, PPI''s'!D114)+IF(EO$26=".", 0, 'Summary, PPI''s'!N114)+IF(EP$26=".", 0, 'Summary, PPI''s'!O114)+IF(EQ$26=".", 0, 'Summary, PPI''s'!P114)</f>
        <v>702320.15741260629</v>
      </c>
      <c r="ET114" s="1">
        <f>'Summary, hourly ad costs'!E114+'Summary, hourly ad costs'!F114+'Summary, hourly ad costs'!H114+'Summary, hourly ad costs'!I114+'Summary, hourly ad costs'!J114+'Summary, hourly ad costs'!K114+'Summary, hourly ad costs'!L114+'Summary, hourly ad costs'!M114+'Summary, hourly ad costs'!B114</f>
        <v>425101.99373103661</v>
      </c>
      <c r="EV114" s="13">
        <f>EV113*IF(EF$26=".", 1, (EF114/EF113)^(('Summary, PPI''s'!$E114+'Summary, PPI''s'!$E113)/('Predicted PPIs'!ES114+'Predicted PPIs'!ES113)))*IF(EG$26=".", 1, (EG114/EG113)^(('Summary, PPI''s'!$F114+'Summary, PPI''s'!$F113)/('Predicted PPIs'!ES114+'Predicted PPIs'!ES113)))*IF(EH$26=".", 1, (EH114/EH113)^(('Summary, PPI''s'!$G114+'Summary, PPI''s'!$G113)/('Predicted PPIs'!ES114+'Predicted PPIs'!ES113)))*IF(EI$26=".", 1, (EI114/EI113)^(('Summary, PPI''s'!$H114+'Summary, PPI''s'!$H113)/('Predicted PPIs'!ES114+'Predicted PPIs'!ES113)))*IF(EJ$26=".", 1, (EJ114/EJ113)^(('Summary, PPI''s'!$I114+'Summary, PPI''s'!$I113)/('Predicted PPIs'!ES114+'Predicted PPIs'!ES113)))*IF(EK$26=".", 1, (EK114/EK113)^(('Summary, PPI''s'!$J114+'Summary, PPI''s'!$J113)/('Predicted PPIs'!ES114+'Predicted PPIs'!ES113)))*IF(EL$26=".", 1, (EL114/EL113)^(('Summary, PPI''s'!$K114+'Summary, PPI''s'!$K113)/('Predicted PPIs'!ES114+'Predicted PPIs'!ES113)))*IF(EM$26=".", 1, (EM114/EM113)^(('Summary, PPI''s'!$L114+'Summary, PPI''s'!$L113)/('Predicted PPIs'!ES114+'Predicted PPIs'!ES113)))*IF(EN$26=".", 1, (EN114/EN113)^(('Summary, PPI''s'!$M114+'Summary, PPI''s'!$M113)/('Predicted PPIs'!ES114+'Predicted PPIs'!ES113)))*IF(EC$26=".", 1, (EC114/EC113)^(('Summary, PPI''s'!$B114+'Summary, PPI''s'!$B113)/('Predicted PPIs'!ES114+'Predicted PPIs'!ES113)))*IF(ED$26=".", 1, (ED114/ED113)^(('Summary, PPI''s'!$C114+'Summary, PPI''s'!$C113)/('Predicted PPIs'!ES114+'Predicted PPIs'!ES113)))*IF(EE$26=".", 1, (EE114/EE113)^(('Summary, PPI''s'!$D114+'Summary, PPI''s'!$D113)/('Predicted PPIs'!ES114+'Predicted PPIs'!ES113)))*IF(EO$26=".", 1, (EO114/EO113)^(('Summary, PPI''s'!$N114+'Summary, PPI''s'!$N113)/('Predicted PPIs'!ES114+'Predicted PPIs'!ES113)))*IF(EP$26=".", 1, (EP114/EP113)^(('Summary, PPI''s'!$O114+'Summary, PPI''s'!$O113)/('Predicted PPIs'!ES114+'Predicted PPIs'!ES113)))*IF(EQ$26=".", 1, (EQ114/EQ113)^(('Summary, PPI''s'!$P114+'Summary, PPI''s'!$P113)/('Predicted PPIs'!ES114+'Predicted PPIs'!ES113)))</f>
        <v>1.5873253655787496</v>
      </c>
      <c r="EW114" s="13">
        <f>EW113*IF(EF$26=".", 1, (EF114/EF113)^(('Summary, PPI''s'!$E114+'Summary, PPI''s'!$E113)/('Predicted PPIs'!ET114+'Predicted PPIs'!ET113)))*IF(EG$26=".", 1, (EG114/EG113)^(('Summary, PPI''s'!$F114+'Summary, PPI''s'!$F113)/('Predicted PPIs'!ET114+'Predicted PPIs'!ET113)))*IF(EH$26=".", 1, (EH114/EH113)^(('Summary, PPI''s'!$G114+'Summary, PPI''s'!$G113)/('Predicted PPIs'!ET114+'Predicted PPIs'!ET113)))*IF(EK$26=".", 1, (EK114/EK113)^(('Summary, PPI''s'!$J114+'Summary, PPI''s'!$J113)/('Predicted PPIs'!ET114+'Predicted PPIs'!ET113)))*IF(EL$26=".", 1, (EL114/EL113)^(('Summary, PPI''s'!$K114+'Summary, PPI''s'!$K113)/('Predicted PPIs'!ET114+'Predicted PPIs'!ET113)))*IF(EM$26=".", 1, (EM114/EM113)^(('Summary, PPI''s'!$L114+'Summary, PPI''s'!$L113)/('Predicted PPIs'!ET114+'Predicted PPIs'!ET113)))*IF(EN$26=".", 1, (EN114/EN113)^(('Summary, PPI''s'!$M114+'Summary, PPI''s'!$M113)/('Predicted PPIs'!ET114+'Predicted PPIs'!ET113)))*IF(EC$26=".", 1, (EC114/EC113)^(('Summary, PPI''s'!$B114+'Summary, PPI''s'!$B113)/('Predicted PPIs'!ET114+'Predicted PPIs'!ET113)))</f>
        <v>3.5725963261949065</v>
      </c>
      <c r="EY114" s="2"/>
    </row>
    <row r="115" spans="1:155" x14ac:dyDescent="0.3">
      <c r="A115" s="4">
        <v>1908</v>
      </c>
      <c r="B115" s="10">
        <f>IF(B114=".", ".", IF('Summary, PPI''s'!R115=".",IF(OR('Summary, hourly ad costs'!R115=-9999,'Summary, hourly ad costs'!R115=0), ".", 'Predicted PPIs'!B114*('Summary, hourly ad costs'!B115/'Summary, hourly ad costs'!R115)/('Summary, hourly ad costs'!B114/'Summary, hourly ad costs'!R114)), 'Summary, PPI''s'!R115))</f>
        <v>65.987745564578006</v>
      </c>
      <c r="C115" s="10" t="str">
        <f>IF(C114=".", ".", IF('Summary, PPI''s'!S115=".",IF(OR('Summary, hourly ad costs'!S115=-9999,'Summary, hourly ad costs'!S115=0), ".", 'Predicted PPIs'!C114*('Summary, hourly ad costs'!C115/'Summary, hourly ad costs'!S115)/('Summary, hourly ad costs'!C114/'Summary, hourly ad costs'!S114)), 'Summary, PPI''s'!S115))</f>
        <v>.</v>
      </c>
      <c r="D115" s="10" t="str">
        <f>IF(D114=".", ".", IF('Summary, PPI''s'!T115=".",IF(OR('Summary, hourly ad costs'!T115=-9999,'Summary, hourly ad costs'!T115=0), ".", 'Predicted PPIs'!D114*('Summary, hourly ad costs'!D115/'Summary, hourly ad costs'!T115)/('Summary, hourly ad costs'!D114/'Summary, hourly ad costs'!T114)), 'Summary, PPI''s'!T115))</f>
        <v>.</v>
      </c>
      <c r="E115" s="10">
        <f>IF(E114=".", ".", IF('Summary, PPI''s'!U115=".",IF(OR('Summary, hourly ad costs'!U115=-9999,'Summary, hourly ad costs'!U115=0), ".", 'Predicted PPIs'!E114*('Summary, hourly ad costs'!E115/'Summary, hourly ad costs'!U115)/('Summary, hourly ad costs'!E114/'Summary, hourly ad costs'!U114)), 'Summary, PPI''s'!U115))</f>
        <v>1.0367005580708173</v>
      </c>
      <c r="F115" s="10">
        <f>IF(F114=".", ".", IF('Summary, PPI''s'!V115=".",IF(OR('Summary, hourly ad costs'!V115=-9999,'Summary, hourly ad costs'!V115=0), ".", 'Predicted PPIs'!F114*('Summary, hourly ad costs'!F115/'Summary, hourly ad costs'!V115)/('Summary, hourly ad costs'!F114/'Summary, hourly ad costs'!V114)), 'Summary, PPI''s'!V115))</f>
        <v>0.85866636635266036</v>
      </c>
      <c r="G115" s="10" t="str">
        <f>IF(G114=".", ".", IF('Summary, PPI''s'!W115=".",IF(OR('Summary, hourly ad costs'!W115=-9999,'Summary, hourly ad costs'!W115=0), ".", 'Predicted PPIs'!G114*('Summary, hourly ad costs'!G115/'Summary, hourly ad costs'!W115)/('Summary, hourly ad costs'!G114/'Summary, hourly ad costs'!W114)), 'Summary, PPI''s'!W115))</f>
        <v>.</v>
      </c>
      <c r="H115" s="10">
        <f>IF(H114=".", ".", IF('Summary, PPI''s'!X115=".",IF(OR('Summary, hourly ad costs'!X115=-9999,'Summary, hourly ad costs'!X115=0), ".", 'Predicted PPIs'!H114*('Summary, hourly ad costs'!H115/'Summary, hourly ad costs'!X115)/('Summary, hourly ad costs'!H114/'Summary, hourly ad costs'!X114)), 'Summary, PPI''s'!X115))</f>
        <v>0.92145822742474881</v>
      </c>
      <c r="I115" s="10" t="str">
        <f>IF(I114=".", ".", IF('Summary, PPI''s'!Y115=".",IF(OR('Summary, hourly ad costs'!Y115=-9999,'Summary, hourly ad costs'!Y115=0), ".", 'Predicted PPIs'!I114*('Summary, hourly ad costs'!I115/'Summary, hourly ad costs'!Y115)/('Summary, hourly ad costs'!I114/'Summary, hourly ad costs'!Y114)), 'Summary, PPI''s'!Y115))</f>
        <v>.</v>
      </c>
      <c r="J115" s="10" t="str">
        <f>IF(J114=".", ".", IF('Summary, PPI''s'!Z115=".",IF(OR('Summary, hourly ad costs'!Z115=-9999,'Summary, hourly ad costs'!Z115=0), ".", 'Predicted PPIs'!J114*('Summary, hourly ad costs'!J115/'Summary, hourly ad costs'!Z115)/('Summary, hourly ad costs'!J114/'Summary, hourly ad costs'!Z114)), 'Summary, PPI''s'!Z115))</f>
        <v>.</v>
      </c>
      <c r="K115" s="10" t="str">
        <f>IF(K114=".", ".", IF('Summary, PPI''s'!AA115=".",IF(OR('Summary, hourly ad costs'!AA115=-9999,'Summary, hourly ad costs'!AA115=0), ".", 'Predicted PPIs'!K114*('Summary, hourly ad costs'!K115/'Summary, hourly ad costs'!AA115)/('Summary, hourly ad costs'!K114/'Summary, hourly ad costs'!AA114)), 'Summary, PPI''s'!AA115))</f>
        <v>.</v>
      </c>
      <c r="L115" s="10" t="str">
        <f>IF(L114=".", ".", IF('Summary, PPI''s'!AB115=".",IF(OR('Summary, hourly ad costs'!AB115=-9999,'Summary, hourly ad costs'!AB115=0), ".", 'Predicted PPIs'!L114*('Summary, hourly ad costs'!L115/'Summary, hourly ad costs'!AB115)/('Summary, hourly ad costs'!L114/'Summary, hourly ad costs'!AB114)), 'Summary, PPI''s'!AB115))</f>
        <v>.</v>
      </c>
      <c r="M115" s="10" t="str">
        <f>IF(M114=".", ".", IF('Summary, PPI''s'!AC115=".",IF(OR('Summary, hourly ad costs'!AC115=-9999,'Summary, hourly ad costs'!AC115=0), ".", 'Predicted PPIs'!M114*('Summary, hourly ad costs'!M115/'Summary, hourly ad costs'!AC115)/('Summary, hourly ad costs'!M114/'Summary, hourly ad costs'!AC114)), 'Summary, PPI''s'!AC115))</f>
        <v>.</v>
      </c>
      <c r="N115" s="10" t="str">
        <f>IF(N114=".", ".", IF('Summary, PPI''s'!AD115=".",IF(OR('Summary, hourly ad costs'!AD115=-9999,'Summary, hourly ad costs'!AD115=0), ".", 'Predicted PPIs'!N114*('Summary, hourly ad costs'!N115/'Summary, hourly ad costs'!AD115)/('Summary, hourly ad costs'!N114/'Summary, hourly ad costs'!AD114)), 'Summary, PPI''s'!AD115))</f>
        <v>.</v>
      </c>
      <c r="O115" s="10" t="str">
        <f>IF(O114=".", ".", IF('Summary, PPI''s'!AE115=".",IF(OR('Summary, hourly ad costs'!AE115=-9999,'Summary, hourly ad costs'!AE115=0), ".", 'Predicted PPIs'!O114*('Summary, hourly ad costs'!O115/'Summary, hourly ad costs'!AE115)/('Summary, hourly ad costs'!O114/'Summary, hourly ad costs'!AE114)), 'Summary, PPI''s'!AE115))</f>
        <v>.</v>
      </c>
      <c r="P115" s="10" t="str">
        <f>IF(P114=".", ".", IF('Summary, PPI''s'!AF115=".",IF(OR('Summary, hourly ad costs'!AF115=-9999,'Summary, hourly ad costs'!AF115=0), ".", 'Predicted PPIs'!P114*('Summary, hourly ad costs'!P115/'Summary, hourly ad costs'!AF115)/('Summary, hourly ad costs'!P114/'Summary, hourly ad costs'!AF114)), 'Summary, PPI''s'!AF115))</f>
        <v>.</v>
      </c>
      <c r="R115" s="1">
        <f>IF(E$26=".", 0, 'Summary, PPI''s'!E115)+IF(F$26=".", 0, 'Summary, PPI''s'!F115)+IF(G$26=".", 0, 'Summary, PPI''s'!G115)+IF(H$26=".", 0, 'Summary, PPI''s'!H115)+IF(I$26=".", 0, 'Summary, PPI''s'!I115)+IF(J$26=".", 0, 'Summary, PPI''s'!J115)+IF(K$26=".", 0, 'Summary, PPI''s'!K115)+IF(L$26=".", 0, 'Summary, PPI''s'!L115)+IF(M$26=".", 0, 'Summary, PPI''s'!M115)+IF(B$26=".", 0, 'Summary, PPI''s'!B115)+IF(C$26=".", 0, 'Summary, PPI''s'!C115)+IF(D$26=".", 0, 'Summary, PPI''s'!D115)+IF(N$26=".", 0, 'Summary, PPI''s'!N115)+IF(O$26=".", 0, 'Summary, PPI''s'!O115)+IF(P$26=".", 0, 'Summary, PPI''s'!P115)</f>
        <v>650362.06391907681</v>
      </c>
      <c r="S115" s="1">
        <f>IF(E$36=".", 0, 'Summary, PPI''s'!E115)+IF(F$36=".", 0, 'Summary, PPI''s'!F115)+IF(G$36=".", 0, 'Summary, PPI''s'!G115)+IF(H$36=".", 0, 'Summary, PPI''s'!H115)+IF(I$36=".", 0, 'Summary, PPI''s'!I115)+IF(J$36=".", 0, 'Summary, PPI''s'!J115)+IF(K$36=".", 0, 'Summary, PPI''s'!K115)+IF(L$36=".", 0, 'Summary, PPI''s'!L115)+IF(M$36=".", 0, 'Summary, PPI''s'!M115)+IF(B$36=".", 0, 'Summary, PPI''s'!B115)+IF(C$36=".", 0, 'Summary, PPI''s'!C115)+IF(D$36=".", 0, 'Summary, PPI''s'!D115)+IF(N$36=".", 0, 'Summary, PPI''s'!N115)+IF(O$36=".", 0, 'Summary, PPI''s'!O115)+IF(P$36=".", 0, 'Summary, PPI''s'!P115)</f>
        <v>650362.06391907681</v>
      </c>
      <c r="T115" s="1">
        <f>IF(E$46=".", 0, 'Summary, PPI''s'!E115)+IF(F$46=".", 0, 'Summary, PPI''s'!F115)+IF(G$46=".", 0, 'Summary, PPI''s'!G115)+IF(H$46=".", 0, 'Summary, PPI''s'!H115)+IF(I$46=".", 0, 'Summary, PPI''s'!I115)+IF(J$46=".", 0, 'Summary, PPI''s'!J115)+IF(K$46=".", 0, 'Summary, PPI''s'!K115)+IF(L$46=".", 0, 'Summary, PPI''s'!L115)+IF(M$46=".", 0, 'Summary, PPI''s'!M115)+IF(B$46=".", 0, 'Summary, PPI''s'!B115)+IF(C$46=".", 0, 'Summary, PPI''s'!C115)+IF(D$46=".", 0, 'Summary, PPI''s'!D115)+IF(N$46=".", 0, 'Summary, PPI''s'!N115)+IF(O$46=".", 0, 'Summary, PPI''s'!O115)+IF(P$46=".", 0, 'Summary, PPI''s'!P115)</f>
        <v>588955.12416843977</v>
      </c>
      <c r="U115" s="1">
        <f>IF(E$60=".", 0, 'Summary, PPI''s'!E115)+IF(F$60=".", 0, 'Summary, PPI''s'!F115)+IF(G$60=".", 0, 'Summary, PPI''s'!G115)+IF(H$60=".", 0, 'Summary, PPI''s'!H115)+IF(I$60=".", 0, 'Summary, PPI''s'!I115)+IF(J$60=".", 0, 'Summary, PPI''s'!J115)+IF(K$60=".", 0, 'Summary, PPI''s'!K115)+IF(L$60=".", 0, 'Summary, PPI''s'!L115)+IF(M$60=".", 0, 'Summary, PPI''s'!M115)+IF(B$60=".", 0, 'Summary, PPI''s'!B115)+IF(C$60=".", 0, 'Summary, PPI''s'!C115)+IF(D$60=".", 0, 'Summary, PPI''s'!D115)+IF(N$60=".", 0, 'Summary, PPI''s'!N115)+IF(O$60=".", 0, 'Summary, PPI''s'!O115)+IF(P$60=".", 0, 'Summary, PPI''s'!P115)</f>
        <v>566168.69260981912</v>
      </c>
      <c r="V115" s="1">
        <f>IF(E$73=".", 0, 'Summary, PPI''s'!E115)+IF(F$73=".", 0, 'Summary, PPI''s'!F115)+IF(G$73=".", 0, 'Summary, PPI''s'!G115)+IF(H$73=".", 0, 'Summary, PPI''s'!H115)+IF(I$73=".", 0, 'Summary, PPI''s'!I115)+IF(J$73=".", 0, 'Summary, PPI''s'!J115)+IF(K$73=".", 0, 'Summary, PPI''s'!K115)+IF(L$73=".", 0, 'Summary, PPI''s'!L115)+IF(M$73=".", 0, 'Summary, PPI''s'!M115)+IF(B$73=".", 0, 'Summary, PPI''s'!B115)+IF(C$73=".", 0, 'Summary, PPI''s'!C115)+IF(D$73=".", 0, 'Summary, PPI''s'!D115)+IF(N$73=".", 0, 'Summary, PPI''s'!N115)+IF(O$73=".", 0, 'Summary, PPI''s'!O115)+IF(P$73=".", 0, 'Summary, PPI''s'!P115)</f>
        <v>393998.63271464536</v>
      </c>
      <c r="W115" s="1">
        <f>IF(E$94=".",0,'Summary, PPI''s'!E115)+IF(F$94=".",0,'Summary, PPI''s'!F115)+IF(G$94=".",0,'Summary, PPI''s'!G115)+IF(H$94=".",0,'Summary, PPI''s'!H115)+IF(I$94=".",0,'Summary, PPI''s'!I115)+IF(J$94=".",0,'Summary, PPI''s'!J115)+IF(K$94=".",0,'Summary, PPI''s'!K115)+IF(L$94=".",0,'Summary, PPI''s'!L115)+IF(M$94=".",0,'Summary, PPI''s'!M115)+IF(B$94=".",0,'Summary, PPI''s'!B115)+IF(C$94=".",0,'Summary, PPI''s'!C115)+IF(D$94=".",0,'Summary, PPI''s'!D115)+IF(N$94=".",0,'Summary, PPI''s'!N115)+IF(O$94=".",0,'Summary, PPI''s'!O115)+IF(P$94=".",0,'Summary, PPI''s'!P115)</f>
        <v>393998.63271464536</v>
      </c>
      <c r="X115" s="1">
        <f>IF(E$123=".", 0, 'Summary, PPI''s'!E115)+IF(F$123=".", 0, 'Summary, PPI''s'!F115)+IF(G$123=".", 0, 'Summary, PPI''s'!G115)+IF(H$123=".", 0, 'Summary, PPI''s'!H115)+IF(I$123=".", 0, 'Summary, PPI''s'!I115)+IF(J$123=".", 0, 'Summary, PPI''s'!J115)+IF(K$123=".", 0, 'Summary, PPI''s'!K115)+IF(L$123=".", 0, 'Summary, PPI''s'!L115)+IF(M$123=".", 0, 'Summary, PPI''s'!M115)+IF(B$123=".", 0, 'Summary, PPI''s'!B115)+IF(C$123=".", 0, 'Summary, PPI''s'!C115)+IF(D$123=".", 0, 'Summary, PPI''s'!D115)+IF(N$123=".", 0, 'Summary, PPI''s'!N115)+IF(O$123=".", 0, 'Summary, PPI''s'!O115)+IF(P$123=".", 0, 'Summary, PPI''s'!P115)</f>
        <v>393998.63271464536</v>
      </c>
      <c r="Z115" s="4" t="e">
        <f>Z114*IF(E$26=".", 1, (E115/E114)^(('Summary, PPI''s'!$E115+'Summary, PPI''s'!$E114)/('Predicted PPIs'!R115+'Predicted PPIs'!R114)))*IF(F$26=".", 1, (F115/F114)^(('Summary, PPI''s'!$F115+'Summary, PPI''s'!$F114)/('Predicted PPIs'!R115+'Predicted PPIs'!R114)))*IF(G$26=".", 1, (G115/G114)^(('Summary, PPI''s'!$G115+'Summary, PPI''s'!$G114)/('Predicted PPIs'!R115+'Predicted PPIs'!R114)))*IF(H$26=".", 1, (H115/H114)^(('Summary, PPI''s'!$H115+'Summary, PPI''s'!$H114)/('Predicted PPIs'!R115+'Predicted PPIs'!R114)))*IF(I$26=".", 1, (I115/I114)^(('Summary, PPI''s'!$I115+'Summary, PPI''s'!$I114)/('Predicted PPIs'!R115+'Predicted PPIs'!R114)))*IF(J$26=".", 1, (J115/J114)^(('Summary, PPI''s'!$J115+'Summary, PPI''s'!$J114)/('Predicted PPIs'!R115+'Predicted PPIs'!R114)))*IF(K$26=".", 1, (K115/K114)^(('Summary, PPI''s'!$K115+'Summary, PPI''s'!$K114)/('Predicted PPIs'!R115+'Predicted PPIs'!R114)))*IF(L$26=".", 1, (L115/L114)^(('Summary, PPI''s'!$L115+'Summary, PPI''s'!$L114)/('Predicted PPIs'!R115+'Predicted PPIs'!R114)))*IF(M$26=".", 1, (M115/M114)^(('Summary, PPI''s'!$M115+'Summary, PPI''s'!$M114)/('Predicted PPIs'!R115+'Predicted PPIs'!R114)))*IF(B$26=".", 1, (B115/B114)^(('Summary, PPI''s'!$B115+'Summary, PPI''s'!$B114)/('Predicted PPIs'!R115+'Predicted PPIs'!R114)))*IF(C$26=".", 1, (C115/C114)^(('Summary, PPI''s'!$C115+'Summary, PPI''s'!$C114)/('Predicted PPIs'!R115+'Predicted PPIs'!R114)))*IF(D$26=".", 1, (D115/D114)^(('Summary, PPI''s'!$D115+'Summary, PPI''s'!$D114)/('Predicted PPIs'!R115+'Predicted PPIs'!R114)))*IF(N$26=".", 1, (N115/N114)^(('Summary, PPI''s'!$N115+'Summary, PPI''s'!$N114)/('Predicted PPIs'!R115+'Predicted PPIs'!R114)))*IF(O$26=".", 1, (O115/O114)^(('Summary, PPI''s'!$O115+'Summary, PPI''s'!$O114)/('Predicted PPIs'!R115+'Predicted PPIs'!R114)))*IF(P$26=".", 1, (P115/P114)^(('Summary, PPI''s'!$P115+'Summary, PPI''s'!$P114)/('Predicted PPIs'!R115+'Predicted PPIs'!R114)))</f>
        <v>#VALUE!</v>
      </c>
      <c r="AA115" s="4" t="e">
        <f>AA114*IF(E$36=".", 1, (E115/E114)^(('Summary, PPI''s'!$E115+'Summary, PPI''s'!$E114)/('Predicted PPIs'!S115+'Predicted PPIs'!S114)))*IF(F$36=".", 1, (F115/F114)^(('Summary, PPI''s'!$F115+'Summary, PPI''s'!$F114)/('Predicted PPIs'!S115+'Predicted PPIs'!S114)))*IF(G$36=".", 1, (G115/G114)^(('Summary, PPI''s'!$G115+'Summary, PPI''s'!$G114)/('Predicted PPIs'!S115+'Predicted PPIs'!S114)))*IF(H$36=".", 1, (H115/H114)^(('Summary, PPI''s'!$H115+'Summary, PPI''s'!$H114)/('Predicted PPIs'!S115+'Predicted PPIs'!S114)))*IF(I$36=".", 1, (I115/I114)^(('Summary, PPI''s'!$I115+'Summary, PPI''s'!$I114)/('Predicted PPIs'!S115+'Predicted PPIs'!S114)))*IF(J$36=".", 1, (J115/J114)^(('Summary, PPI''s'!$J115+'Summary, PPI''s'!$J114)/('Predicted PPIs'!S115+'Predicted PPIs'!S114)))*IF(K$36=".", 1, (K115/K114)^(('Summary, PPI''s'!$K115+'Summary, PPI''s'!$K114)/('Predicted PPIs'!S115+'Predicted PPIs'!S114)))*IF(L$36=".", 1, (L115/L114)^(('Summary, PPI''s'!$L115+'Summary, PPI''s'!$L114)/('Predicted PPIs'!S115+'Predicted PPIs'!S114)))*IF(M$36=".", 1, (M115/M114)^(('Summary, PPI''s'!$M115+'Summary, PPI''s'!$M114)/('Predicted PPIs'!S115+'Predicted PPIs'!S114)))*IF(B$36=".", 1, (B115/B114)^(('Summary, PPI''s'!$B115+'Summary, PPI''s'!$B114)/('Predicted PPIs'!S115+'Predicted PPIs'!S114)))*IF(C$36=".", 1, (C115/C114)^(('Summary, PPI''s'!$C115+'Summary, PPI''s'!$C114)/('Predicted PPIs'!S115+'Predicted PPIs'!S114)))*IF(D$36=".", 1, (D115/D114)^(('Summary, PPI''s'!$D115+'Summary, PPI''s'!$D114)/('Predicted PPIs'!S115+'Predicted PPIs'!S114)))*IF(N$36=".", 1, (N115/N114)^(('Summary, PPI''s'!$N115+'Summary, PPI''s'!$N114)/('Predicted PPIs'!S115+'Predicted PPIs'!S114)))*IF(O$36=".", 1, (O115/O114)^(('Summary, PPI''s'!$O115+'Summary, PPI''s'!$O114)/('Predicted PPIs'!S115+'Predicted PPIs'!S114)))*IF(P$36=".", 1, (P115/P114)^(('Summary, PPI''s'!$P115+'Summary, PPI''s'!$P114)/('Predicted PPIs'!S115+'Predicted PPIs'!S114)))</f>
        <v>#VALUE!</v>
      </c>
      <c r="AB115" s="4" t="e">
        <f>AB114*IF(E$46=".", 1, (E115/E114)^(('Summary, PPI''s'!$E115+'Summary, PPI''s'!$E114)/('Predicted PPIs'!T115+'Predicted PPIs'!T114)))*IF(F$46=".", 1, (F115/F114)^(('Summary, PPI''s'!$F115+'Summary, PPI''s'!$F114)/('Predicted PPIs'!T115+'Predicted PPIs'!T114)))*IF(G$46=".", 1, (G115/G114)^(('Summary, PPI''s'!$G115+'Summary, PPI''s'!$G114)/('Predicted PPIs'!T115+'Predicted PPIs'!T114)))*IF(H$46=".", 1, (H115/H114)^(('Summary, PPI''s'!$H115+'Summary, PPI''s'!$H114)/('Predicted PPIs'!T115+'Predicted PPIs'!T114)))*IF(I$46=".", 1, (I115/I114)^(('Summary, PPI''s'!$I115+'Summary, PPI''s'!$I114)/('Predicted PPIs'!T115+'Predicted PPIs'!T114)))*IF(J$46=".", 1, (J115/J114)^(('Summary, PPI''s'!$J115+'Summary, PPI''s'!$J114)/('Predicted PPIs'!T115+'Predicted PPIs'!T114)))*IF(K$46=".", 1, (K115/K114)^(('Summary, PPI''s'!$K115+'Summary, PPI''s'!$K114)/('Predicted PPIs'!T115+'Predicted PPIs'!T114)))*IF(L$46=".", 1, (L115/L114)^(('Summary, PPI''s'!$L115+'Summary, PPI''s'!$L114)/('Predicted PPIs'!T115+'Predicted PPIs'!T114)))*IF(M$46=".", 1, (M115/M114)^(('Summary, PPI''s'!$M115+'Summary, PPI''s'!$M114)/('Predicted PPIs'!T115+'Predicted PPIs'!T114)))*IF(B$46=".", 1, (B115/B114)^(('Summary, PPI''s'!$B115+'Summary, PPI''s'!$B114)/('Predicted PPIs'!T115+'Predicted PPIs'!T114)))*IF(C$46=".", 1, (C115/C114)^(('Summary, PPI''s'!$C115+'Summary, PPI''s'!$C114)/('Predicted PPIs'!T115+'Predicted PPIs'!T114)))*IF(D$46=".", 1, (D115/D114)^(('Summary, PPI''s'!$D115+'Summary, PPI''s'!$D114)/('Predicted PPIs'!T115+'Predicted PPIs'!T114)))*IF(N$46=".", 1, (N115/N114)^(('Summary, PPI''s'!$N115+'Summary, PPI''s'!$N114)/('Predicted PPIs'!T115+'Predicted PPIs'!T114)))*IF(O$46=".", 1, (O115/O114)^(('Summary, PPI''s'!$O115+'Summary, PPI''s'!$O114)/('Predicted PPIs'!T115+'Predicted PPIs'!T114)))*IF(P$46=".", 1, (P115/P114)^(('Summary, PPI''s'!$P115+'Summary, PPI''s'!$P114)/('Predicted PPIs'!T115+'Predicted PPIs'!T114)))</f>
        <v>#VALUE!</v>
      </c>
      <c r="AC115" s="4" t="e">
        <f>AC114*IF(E$60=".",1,(E115/E114)^(('Summary, PPI''s'!$E115+'Summary, PPI''s'!$E114)/('Predicted PPIs'!U115+'Predicted PPIs'!U114)))*IF(F$60=".",1,(F115/F114)^(('Summary, PPI''s'!$F115+'Summary, PPI''s'!$F114)/('Predicted PPIs'!U115+'Predicted PPIs'!U114)))*IF(G$60=".",1,(G115/G114)^(('Summary, PPI''s'!$G115+'Summary, PPI''s'!$G114)/('Predicted PPIs'!U115+'Predicted PPIs'!U114)))*IF(H$60=".",1,(H115/H114)^(('Summary, PPI''s'!$H115+'Summary, PPI''s'!$H114)/('Predicted PPIs'!U115+'Predicted PPIs'!U114)))*IF(I$60=".",1,(I115/I114)^(('Summary, PPI''s'!$I115+'Summary, PPI''s'!$I114)/('Predicted PPIs'!U115+'Predicted PPIs'!U114)))*IF(J$60=".",1,(J115/J114)^(('Summary, PPI''s'!$J115+'Summary, PPI''s'!$J114)/('Predicted PPIs'!U115+'Predicted PPIs'!U114)))*IF(K$60=".",1,(K115/K114)^(('Summary, PPI''s'!$K115+'Summary, PPI''s'!$K114)/('Predicted PPIs'!U115+'Predicted PPIs'!U114)))*IF(L$60=".",1,(L115/L114)^(('Summary, PPI''s'!$L115+'Summary, PPI''s'!$L114)/('Predicted PPIs'!U115+'Predicted PPIs'!U114)))*IF(M$60=".",1,(M115/M114)^(('Summary, PPI''s'!$M115+'Summary, PPI''s'!$M114)/('Predicted PPIs'!U115+'Predicted PPIs'!U114)))*IF(B$60=".",1,(B115/B114)^(('Summary, PPI''s'!$B115+'Summary, PPI''s'!$B114)/('Predicted PPIs'!U115+'Predicted PPIs'!U114)))*IF(C$60=".",1,(C115/C114)^(('Summary, PPI''s'!$C115+'Summary, PPI''s'!$C114)/('Predicted PPIs'!U115+'Predicted PPIs'!U114)))*IF(D$60=".",1,(D115/D114)^(('Summary, PPI''s'!$D115+'Summary, PPI''s'!$D114)/('Predicted PPIs'!U115+'Predicted PPIs'!U114)))*IF(N$60=".",1,(N115/N114)^(('Summary, PPI''s'!$N115+'Summary, PPI''s'!$N114)/('Predicted PPIs'!U115+'Predicted PPIs'!U114)))*IF(O$60=".",1,(O115/O114)^(('Summary, PPI''s'!$O115+'Summary, PPI''s'!$O114)/('Predicted PPIs'!U115+'Predicted PPIs'!U114)))*IF(P$60=".",1,(P115/P114)^(('Summary, PPI''s'!$P115+'Summary, PPI''s'!$P114)/('Predicted PPIs'!U115+'Predicted PPIs'!U114)))</f>
        <v>#VALUE!</v>
      </c>
      <c r="AD115" s="4" t="e">
        <f>AD114*IF(E$73=".", 1, (E115/E114)^(('Summary, PPI''s'!$E115+'Summary, PPI''s'!$E114)/('Predicted PPIs'!V115+'Predicted PPIs'!V114)))*IF(F$73=".", 1, (F115/F114)^(('Summary, PPI''s'!$F115+'Summary, PPI''s'!$F114)/('Predicted PPIs'!V115+'Predicted PPIs'!V114)))*IF(G$73=".", 1, (G115/G114)^(('Summary, PPI''s'!$G115+'Summary, PPI''s'!$G114)/('Predicted PPIs'!V115+'Predicted PPIs'!V114)))*IF(H$73=".", 1, (H115/H114)^(('Summary, PPI''s'!$H115+'Summary, PPI''s'!$H114)/('Predicted PPIs'!V115+'Predicted PPIs'!V114)))*IF(I$73=".", 1, (I115/I114)^(('Summary, PPI''s'!$I115+'Summary, PPI''s'!$I114)/('Predicted PPIs'!V115+'Predicted PPIs'!V114)))*IF(J$73=".", 1, (J115/J114)^(('Summary, PPI''s'!$J115+'Summary, PPI''s'!$J114)/('Predicted PPIs'!V115+'Predicted PPIs'!V114)))*IF(K$73=".", 1, (K115/K114)^(('Summary, PPI''s'!$K115+'Summary, PPI''s'!$K114)/('Predicted PPIs'!V115+'Predicted PPIs'!V114)))*IF(L$73=".", 1, (L115/L114)^(('Summary, PPI''s'!$L115+'Summary, PPI''s'!$L114)/('Predicted PPIs'!V115+'Predicted PPIs'!V114)))*IF(M$73=".", 1, (M115/M114)^(('Summary, PPI''s'!$M115+'Summary, PPI''s'!$M114)/('Predicted PPIs'!V115+'Predicted PPIs'!V114)))*IF(B$73=".", 1, (B115/B114)^(('Summary, PPI''s'!$B115+'Summary, PPI''s'!$B114)/('Predicted PPIs'!V115+'Predicted PPIs'!V114)))*IF(C$73=".", 1, (C115/C114)^(('Summary, PPI''s'!$C115+'Summary, PPI''s'!$C114)/('Predicted PPIs'!V115+'Predicted PPIs'!V114)))*IF(D$73=".", 1, (D115/D114)^(('Summary, PPI''s'!$D115+'Summary, PPI''s'!$D114)/('Predicted PPIs'!V115+'Predicted PPIs'!V114)))*IF(N$73=".", 1, (N115/N114)^(('Summary, PPI''s'!$N115+'Summary, PPI''s'!$N114)/('Predicted PPIs'!V115+'Predicted PPIs'!V114)))*IF(O$73=".", 1, (O115/O114)^(('Summary, PPI''s'!$O115+'Summary, PPI''s'!$O114)/('Predicted PPIs'!V115+'Predicted PPIs'!V114)))*IF(P$73=".", 1, (P115/P114)^(('Summary, PPI''s'!$P115+'Summary, PPI''s'!$P114)/('Predicted PPIs'!V115+'Predicted PPIs'!V114)))</f>
        <v>#VALUE!</v>
      </c>
      <c r="AE115" s="4" t="e">
        <f>AE114*IF(E$94=".", 1, (E115/E114)^(('Summary, PPI''s'!$E115+'Summary, PPI''s'!$E114)/('Predicted PPIs'!W115+'Predicted PPIs'!W114)))*IF(F$94=".", 1, (F115/F114)^(('Summary, PPI''s'!$F115+'Summary, PPI''s'!$F114)/('Predicted PPIs'!W115+'Predicted PPIs'!W114)))*IF(G$94=".", 1, (G115/G114)^(('Summary, PPI''s'!$G115+'Summary, PPI''s'!$G114)/('Predicted PPIs'!W115+'Predicted PPIs'!W114)))*IF(H$94=".", 1, (H115/H114)^(('Summary, PPI''s'!$H115+'Summary, PPI''s'!$H114)/('Predicted PPIs'!W115+'Predicted PPIs'!W114)))*IF(I$94=".", 1, (I115/I114)^(('Summary, PPI''s'!$I115+'Summary, PPI''s'!$I114)/('Predicted PPIs'!W115+'Predicted PPIs'!W114)))*IF(J$94=".", 1, (J115/J114)^(('Summary, PPI''s'!$J115+'Summary, PPI''s'!$J114)/('Predicted PPIs'!W115+'Predicted PPIs'!W114)))*IF(K$94=".", 1, (K115/K114)^(('Summary, PPI''s'!$K115+'Summary, PPI''s'!$K114)/('Predicted PPIs'!W115+'Predicted PPIs'!W114)))*IF(L$94=".", 1, (L115/L114)^(('Summary, PPI''s'!$L115+'Summary, PPI''s'!$L114)/('Predicted PPIs'!W115+'Predicted PPIs'!W114)))*IF(M$94=".", 1, (M115/M114)^(('Summary, PPI''s'!$M115+'Summary, PPI''s'!$M114)/('Predicted PPIs'!W115+'Predicted PPIs'!W114)))*IF(B$94=".", 1, (B115/B114)^(('Summary, PPI''s'!$B115+'Summary, PPI''s'!$B114)/('Predicted PPIs'!W115+'Predicted PPIs'!W114)))*IF(C$94=".", 1, (C115/C114)^(('Summary, PPI''s'!$C115+'Summary, PPI''s'!$C114)/('Predicted PPIs'!W115+'Predicted PPIs'!W114)))*IF(D$94=".", 1, (D115/D114)^(('Summary, PPI''s'!$D115+'Summary, PPI''s'!$D114)/('Predicted PPIs'!W115+'Predicted PPIs'!W114)))*IF(N$94=".", 1, (N115/N114)^(('Summary, PPI''s'!$N115+'Summary, PPI''s'!$N114)/('Predicted PPIs'!W115+'Predicted PPIs'!W114)))*IF(O$94=".", 1, (O115/O114)^(('Summary, PPI''s'!$O115+'Summary, PPI''s'!$O114)/('Predicted PPIs'!W115+'Predicted PPIs'!W114)))*IF(P$94=".", 1, (P115/P114)^(('Summary, PPI''s'!$P115+'Summary, PPI''s'!$P114)/('Predicted PPIs'!W115+'Predicted PPIs'!W114)))</f>
        <v>#VALUE!</v>
      </c>
      <c r="AF115" s="4">
        <f>AF114*IF(E$123=".", 1, (E115/E114)^(('Summary, PPI''s'!$E115+'Summary, PPI''s'!$E114)/('Predicted PPIs'!X115+'Predicted PPIs'!X114)))*IF(F$123=".", 1, (F115/F114)^(('Summary, PPI''s'!$F115+'Summary, PPI''s'!$F114)/('Predicted PPIs'!X115+'Predicted PPIs'!X114)))*IF(G$123=".", 1, (G115/G114)^(('Summary, PPI''s'!$G115+'Summary, PPI''s'!$G114)/('Predicted PPIs'!X115+'Predicted PPIs'!X114)))*IF(H$123=".", 1, (H115/H114)^(('Summary, PPI''s'!$H115+'Summary, PPI''s'!$H114)/('Predicted PPIs'!X115+'Predicted PPIs'!X114)))*IF(I$123=".", 1, (I115/I114)^(('Summary, PPI''s'!$I115+'Summary, PPI''s'!$I114)/('Predicted PPIs'!X115+'Predicted PPIs'!X114)))*IF(J$123=".", 1, (J115/J114)^(('Summary, PPI''s'!$J115+'Summary, PPI''s'!$J114)/('Predicted PPIs'!X115+'Predicted PPIs'!X114)))*IF(K$123=".", 1, (K115/K114)^(('Summary, PPI''s'!$K115+'Summary, PPI''s'!$K114)/('Predicted PPIs'!X115+'Predicted PPIs'!X114)))*IF(L$123=".", 1, (L115/L114)^(('Summary, PPI''s'!$L115+'Summary, PPI''s'!$L114)/('Predicted PPIs'!X115+'Predicted PPIs'!X114)))*IF(M$123=".", 1, (M115/M114)^(('Summary, PPI''s'!$M115+'Summary, PPI''s'!$M114)/('Predicted PPIs'!X115+'Predicted PPIs'!X114)))*IF(B$123=".", 1, (B115/B114)^(('Summary, PPI''s'!$B115+'Summary, PPI''s'!$B114)/('Predicted PPIs'!X115+'Predicted PPIs'!X114)))*IF(C$123=".", 1, (C115/C114)^(('Summary, PPI''s'!$C115+'Summary, PPI''s'!$C114)/('Predicted PPIs'!X115+'Predicted PPIs'!X114)))*IF(D$123=".", 1, (D115/D114)^(('Summary, PPI''s'!$D115+'Summary, PPI''s'!$D114)/('Predicted PPIs'!X115+'Predicted PPIs'!X114)))*IF(N$123=".", 1, (N115/N114)^(('Summary, PPI''s'!$N115+'Summary, PPI''s'!$N114)/('Predicted PPIs'!X115+'Predicted PPIs'!X114)))*IF(O$123=".", 1, (O115/O114)^(('Summary, PPI''s'!$O115+'Summary, PPI''s'!$O114)/('Predicted PPIs'!X115+'Predicted PPIs'!X114)))*IF(P$123=".", 1, (P115/P114)^(('Summary, PPI''s'!$P115+'Summary, PPI''s'!$P114)/('Predicted PPIs'!X115+'Predicted PPIs'!X114)))</f>
        <v>2.499998437441961</v>
      </c>
      <c r="AH115" s="13">
        <f t="shared" si="212"/>
        <v>3.5701400695865946</v>
      </c>
      <c r="AJ115" s="4">
        <f t="shared" si="207"/>
        <v>19.82218804017484</v>
      </c>
      <c r="AK115" s="4">
        <f t="shared" si="191"/>
        <v>-0.438700363214722</v>
      </c>
      <c r="AL115" s="4">
        <f t="shared" si="192"/>
        <v>-1.5027984421155804</v>
      </c>
      <c r="AM115" s="4">
        <f t="shared" si="193"/>
        <v>-0.23381986667544741</v>
      </c>
      <c r="AN115" s="4">
        <f t="shared" si="176"/>
        <v>26.433665212314693</v>
      </c>
      <c r="AO115" s="4">
        <v>4.2</v>
      </c>
      <c r="AP115" s="4">
        <f t="shared" si="177"/>
        <v>-0.38855614973262037</v>
      </c>
      <c r="AQ115" s="4">
        <f t="shared" si="178"/>
        <v>-0.73455080213903712</v>
      </c>
      <c r="AR115" s="4">
        <f t="shared" si="210"/>
        <v>-2.0152177969377797E-5</v>
      </c>
      <c r="AS115" s="4">
        <f t="shared" si="208"/>
        <v>-4.1424776924673168E-2</v>
      </c>
      <c r="AT115" s="4">
        <f t="shared" si="194"/>
        <v>4.3650782608695655</v>
      </c>
      <c r="AU115" s="4">
        <f t="shared" si="195"/>
        <v>7.1876347826086935</v>
      </c>
      <c r="AV115" s="4">
        <f t="shared" si="196"/>
        <v>5.5901739130434782</v>
      </c>
      <c r="AW115" s="4">
        <f t="shared" si="197"/>
        <v>3.1258956521739143</v>
      </c>
      <c r="AX115" s="4">
        <f t="shared" si="198"/>
        <v>4.1578663325397827</v>
      </c>
      <c r="AY115" s="4">
        <f t="shared" si="199"/>
        <v>4.8891130434782619</v>
      </c>
      <c r="AZ115" s="4">
        <f t="shared" si="200"/>
        <v>1.6711826086956525</v>
      </c>
      <c r="BA115" s="4">
        <f t="shared" si="201"/>
        <v>4.5270782608695637</v>
      </c>
      <c r="BB115" s="4">
        <f t="shared" si="202"/>
        <v>25.893771722603727</v>
      </c>
      <c r="BC115" s="4">
        <f t="shared" si="203"/>
        <v>4.2434608695652187</v>
      </c>
      <c r="BD115" s="5">
        <f>'[2]Ordinary Experience'!$AD$311</f>
        <v>97.2</v>
      </c>
      <c r="BE115" s="5">
        <f>'[2]Ordinary Experience'!$AC$311</f>
        <v>0.76418691096932112</v>
      </c>
      <c r="BG115" s="4">
        <f t="shared" si="172"/>
        <v>4.6537521614428643</v>
      </c>
      <c r="BI115" s="4">
        <f>BI$13*'[2]Ordinary Experience'!$D$311/'[2]Ordinary Experience'!$D$413</f>
        <v>88852751.598781422</v>
      </c>
      <c r="BJ115" s="4">
        <f>'[2]Ordinary Experience'!$E$311</f>
        <v>32.566256932887278</v>
      </c>
      <c r="BL115" s="4">
        <f t="shared" si="211"/>
        <v>19.597055870718297</v>
      </c>
      <c r="BM115" s="4">
        <f t="shared" si="153"/>
        <v>2.659307260096222E-3</v>
      </c>
      <c r="BO115" s="4" t="str">
        <f>IF(OR('Summary, hourly ad costs'!R115=-9999,'Summary, PPI''s'!R115="."),".",(('Summary, hourly ad costs'!B115/'Summary, hourly ad costs'!R115)*100/('Summary, hourly ad costs'!B$11/'Summary, hourly ad costs'!R$11))/('Summary, PPI''s'!R115))</f>
        <v>.</v>
      </c>
      <c r="BP115" s="4" t="str">
        <f>IF(OR('Summary, hourly ad costs'!S115=-9999,'Summary, PPI''s'!S115="."),".",(('Summary, hourly ad costs'!C115/'Summary, hourly ad costs'!S115)*100/('Summary, hourly ad costs'!C$11/'Summary, hourly ad costs'!S$11))/('Summary, PPI''s'!S115))</f>
        <v>.</v>
      </c>
      <c r="BQ115" s="4" t="str">
        <f>IF(OR('Summary, hourly ad costs'!T115=-9999,'Summary, PPI''s'!T115="."),".",(('Summary, hourly ad costs'!D115/'Summary, hourly ad costs'!T115)*100/('Summary, hourly ad costs'!D$11/'Summary, hourly ad costs'!T$11))/('Summary, PPI''s'!T115))</f>
        <v>.</v>
      </c>
      <c r="BR115" s="4" t="str">
        <f>IF(OR('Summary, hourly ad costs'!U115=-9999,'Summary, PPI''s'!U115="."),".",(('Summary, hourly ad costs'!E115/'Summary, hourly ad costs'!U115)*100/('Summary, hourly ad costs'!E$11/'Summary, hourly ad costs'!U$11))/('Summary, PPI''s'!U115))</f>
        <v>.</v>
      </c>
      <c r="BS115" s="4" t="str">
        <f>IF(OR('Summary, hourly ad costs'!V115=-9999,'Summary, PPI''s'!V115="."),".",(('Summary, hourly ad costs'!F115/'Summary, hourly ad costs'!V115)*100/('Summary, hourly ad costs'!F$11/'Summary, hourly ad costs'!V$11))/('Summary, PPI''s'!V115))</f>
        <v>.</v>
      </c>
      <c r="BT115" s="4" t="str">
        <f>IF(OR('Summary, hourly ad costs'!W115=-9999,'Summary, PPI''s'!W115="."),".",(('Summary, hourly ad costs'!G115/'Summary, hourly ad costs'!W115)*100/('Summary, hourly ad costs'!G$11/'Summary, hourly ad costs'!W$11))/('Summary, PPI''s'!W115))</f>
        <v>.</v>
      </c>
      <c r="BU115" s="4" t="str">
        <f>IF(OR('Summary, hourly ad costs'!X115=-9999,'Summary, PPI''s'!X115="."),".",(('Summary, hourly ad costs'!H115/'Summary, hourly ad costs'!X115)*100/('Summary, hourly ad costs'!H$11/'Summary, hourly ad costs'!X$11))/('Summary, PPI''s'!X115))</f>
        <v>.</v>
      </c>
      <c r="BV115" s="4" t="str">
        <f>IF(OR('Summary, hourly ad costs'!Y115=-9999,'Summary, PPI''s'!Y115="."),".",(('Summary, hourly ad costs'!I115/'Summary, hourly ad costs'!Y115)*100/('Summary, hourly ad costs'!I$11/'Summary, hourly ad costs'!Y$11))/('Summary, PPI''s'!Y115))</f>
        <v>.</v>
      </c>
      <c r="BW115" s="4" t="str">
        <f>IF(OR('Summary, hourly ad costs'!Z115=-9999,'Summary, PPI''s'!Z115="."),".",(('Summary, hourly ad costs'!J115/'Summary, hourly ad costs'!Z115)*100/('Summary, hourly ad costs'!J$11/'Summary, hourly ad costs'!Z$11))/('Summary, PPI''s'!Z115))</f>
        <v>.</v>
      </c>
      <c r="BX115" s="4" t="str">
        <f>IF(OR('Summary, hourly ad costs'!AA115=-9999,'Summary, PPI''s'!AA115="."),".",(('Summary, hourly ad costs'!K115/'Summary, hourly ad costs'!AA115)*100/('Summary, hourly ad costs'!K$11/'Summary, hourly ad costs'!AA$11))/('Summary, PPI''s'!AA115))</f>
        <v>.</v>
      </c>
      <c r="BY115" s="4" t="str">
        <f>IF(OR('Summary, hourly ad costs'!AB115=-9999,'Summary, PPI''s'!AB115="."),".",(('Summary, hourly ad costs'!L115/'Summary, hourly ad costs'!AB115)*100/('Summary, hourly ad costs'!L$11/'Summary, hourly ad costs'!AB$11))/('Summary, PPI''s'!AB115))</f>
        <v>.</v>
      </c>
      <c r="BZ115" s="4" t="str">
        <f>IF(OR('Summary, hourly ad costs'!AC115=-9999,'Summary, PPI''s'!AC115="."),".",(('Summary, hourly ad costs'!M115/'Summary, hourly ad costs'!AC115)*100/('Summary, hourly ad costs'!M$11/'Summary, hourly ad costs'!AC$11))/('Summary, PPI''s'!AC115))</f>
        <v>.</v>
      </c>
      <c r="CA115" s="4" t="str">
        <f>IF(OR('Summary, hourly ad costs'!AD115=-9999,'Summary, PPI''s'!AD115="."),".",(('Summary, hourly ad costs'!N115/'Summary, hourly ad costs'!AD115)*100/('Summary, hourly ad costs'!N$11/'Summary, hourly ad costs'!AD$11))/('Summary, PPI''s'!AD115))</f>
        <v>.</v>
      </c>
      <c r="CB115" s="4" t="str">
        <f>IF(OR('Summary, hourly ad costs'!AE115=-9999,'Summary, PPI''s'!AE115="."),".",(('Summary, hourly ad costs'!O115/'Summary, hourly ad costs'!AE115)*100/('Summary, hourly ad costs'!O$11/'Summary, hourly ad costs'!AE$11))/('Summary, PPI''s'!AE115))</f>
        <v>.</v>
      </c>
      <c r="CC115" s="4" t="str">
        <f>IF(OR('Summary, hourly ad costs'!AF115=-9999,'Summary, PPI''s'!AF115="."),".",(('Summary, hourly ad costs'!P115/'Summary, hourly ad costs'!AF115)*100/('Summary, hourly ad costs'!P$11/'Summary, hourly ad costs'!AF$11))/('Summary, PPI''s'!AF115))</f>
        <v>.</v>
      </c>
      <c r="CE115" s="4">
        <f t="shared" si="183"/>
        <v>-2.9393300301851923E-2</v>
      </c>
      <c r="CF115" s="4" t="str">
        <f t="shared" si="184"/>
        <v>.</v>
      </c>
      <c r="CG115" s="4" t="str">
        <f t="shared" si="185"/>
        <v>.</v>
      </c>
      <c r="CH115" s="4">
        <f t="shared" si="145"/>
        <v>-1.7783381710450564E-2</v>
      </c>
      <c r="CI115" s="4">
        <f t="shared" si="145"/>
        <v>-1.8492955092214384E-2</v>
      </c>
      <c r="CJ115" s="4" t="str">
        <f t="shared" si="209"/>
        <v>.</v>
      </c>
      <c r="CK115" s="4">
        <f t="shared" si="149"/>
        <v>4.3874648337068481E-3</v>
      </c>
      <c r="CL115" s="4">
        <f t="shared" si="234"/>
        <v>-1.3206835389073076E-2</v>
      </c>
      <c r="CM115" s="4">
        <f t="shared" si="234"/>
        <v>1.1055643536510753E-2</v>
      </c>
      <c r="CN115" s="4">
        <f t="shared" si="204"/>
        <v>-2.7716876201600037E-2</v>
      </c>
      <c r="CO115" s="4">
        <f t="shared" si="180"/>
        <v>1.162028824275008E-2</v>
      </c>
      <c r="CP115" s="4">
        <f t="shared" si="180"/>
        <v>0.18384871439485864</v>
      </c>
      <c r="CQ115" s="4" t="str">
        <f t="shared" si="230"/>
        <v>.</v>
      </c>
      <c r="CR115" s="4" t="str">
        <f t="shared" si="231"/>
        <v>.</v>
      </c>
      <c r="CS115" s="4" t="str">
        <f t="shared" si="232"/>
        <v>.</v>
      </c>
      <c r="CU115" s="5">
        <f>IF(CU114=".", ".", IF('Summary, PPI''s'!R115=".",IF(OR('Summary, hourly ad costs'!R115=-9999,'Summary, hourly ad costs'!R115=0), ".", 'Predicted PPIs'!CU114*('Summary, hourly ad costs'!B115/'Summary, hourly ad costs'!R115)/('Summary, hourly ad costs'!B114/'Summary, hourly ad costs'!R114)/(1-CE114)), 'Summary, PPI''s'!R115))</f>
        <v>28.5057608012152</v>
      </c>
      <c r="CV115" s="5" t="str">
        <f>IF(CV114=".", ".", IF('Summary, PPI''s'!S115=".",IF(OR('Summary, hourly ad costs'!S115=-9999,'Summary, hourly ad costs'!S115=0), ".", 'Predicted PPIs'!CV114*('Summary, hourly ad costs'!C115/'Summary, hourly ad costs'!S115)/('Summary, hourly ad costs'!C114/'Summary, hourly ad costs'!S114)/(1-CF114)), 'Summary, PPI''s'!S115))</f>
        <v>.</v>
      </c>
      <c r="CW115" s="5" t="str">
        <f>IF(CW114=".", ".", IF('Summary, PPI''s'!T115=".",IF(OR('Summary, hourly ad costs'!T115=-9999,'Summary, hourly ad costs'!T115=0), ".", 'Predicted PPIs'!CW114*('Summary, hourly ad costs'!D115/'Summary, hourly ad costs'!T115)/('Summary, hourly ad costs'!D114/'Summary, hourly ad costs'!T114)/(1-CG114)), 'Summary, PPI''s'!T115))</f>
        <v>.</v>
      </c>
      <c r="CX115" s="5">
        <f>IF(CX114=".", ".", IF('Summary, PPI''s'!U115=".",IF(OR('Summary, hourly ad costs'!U115=-9999,'Summary, hourly ad costs'!U115=0), ".", 'Predicted PPIs'!CX114*('Summary, hourly ad costs'!E115/'Summary, hourly ad costs'!U115)/('Summary, hourly ad costs'!E114/'Summary, hourly ad costs'!U114)/(1-CH114)), 'Summary, PPI''s'!U115))</f>
        <v>1.1679857955275847</v>
      </c>
      <c r="CY115" s="5">
        <f>IF(CY114=".", ".", IF('Summary, PPI''s'!V115=".",IF(OR('Summary, hourly ad costs'!V115=-9999,'Summary, hourly ad costs'!V115=0), ".", 'Predicted PPIs'!CY114*('Summary, hourly ad costs'!F115/'Summary, hourly ad costs'!V115)/('Summary, hourly ad costs'!F114/'Summary, hourly ad costs'!V114)/(1-CI114)), 'Summary, PPI''s'!V115))</f>
        <v>1.1072871590726294</v>
      </c>
      <c r="CZ115" s="5" t="str">
        <f>IF(CZ114=".", ".", IF('Summary, PPI''s'!W115=".",IF(OR('Summary, hourly ad costs'!W115=-9999,'Summary, hourly ad costs'!W115=0), ".", 'Predicted PPIs'!CZ114*('Summary, hourly ad costs'!G115/'Summary, hourly ad costs'!W115)/('Summary, hourly ad costs'!G114/'Summary, hourly ad costs'!W114)/(1-CJ114)), 'Summary, PPI''s'!W115))</f>
        <v>.</v>
      </c>
      <c r="DA115" s="5">
        <f>IF(DA114=".", ".", IF('Summary, PPI''s'!X115=".",IF(OR('Summary, hourly ad costs'!X115=-9999,'Summary, hourly ad costs'!X115=0), ".", 'Predicted PPIs'!DA114*('Summary, hourly ad costs'!H115/'Summary, hourly ad costs'!X115)/('Summary, hourly ad costs'!H114/'Summary, hourly ad costs'!X114)/(1-CK114)), 'Summary, PPI''s'!X115))</f>
        <v>1.1099558019085185</v>
      </c>
      <c r="DB115" s="5" t="str">
        <f>IF(DB114=".", ".", IF('Summary, PPI''s'!Y115=".",IF(OR('Summary, hourly ad costs'!Y115=-9999,'Summary, hourly ad costs'!Y115=0), ".", 'Predicted PPIs'!DB114*('Summary, hourly ad costs'!I115/'Summary, hourly ad costs'!Y115)/('Summary, hourly ad costs'!I114/'Summary, hourly ad costs'!Y114)/(1-CL114)), 'Summary, PPI''s'!Y115))</f>
        <v>.</v>
      </c>
      <c r="DC115" s="5" t="str">
        <f>IF(DC114=".", ".", IF('Summary, PPI''s'!Z115=".",IF(OR('Summary, hourly ad costs'!Z115=-9999,'Summary, hourly ad costs'!Z115=0), ".", 'Predicted PPIs'!DC114*('Summary, hourly ad costs'!J115/'Summary, hourly ad costs'!Z115)/('Summary, hourly ad costs'!J114/'Summary, hourly ad costs'!Z114)/(1-CM114)), 'Summary, PPI''s'!Z115))</f>
        <v>.</v>
      </c>
      <c r="DD115" s="5" t="str">
        <f>IF(DD114=".", ".", IF('Summary, PPI''s'!AA115=".",IF(OR('Summary, hourly ad costs'!AA115=-9999,'Summary, hourly ad costs'!AA115=0), ".", 'Predicted PPIs'!DD114*('Summary, hourly ad costs'!K115/'Summary, hourly ad costs'!AA115)/('Summary, hourly ad costs'!K114/'Summary, hourly ad costs'!AA114)/(1-CN114)), 'Summary, PPI''s'!AA115))</f>
        <v>.</v>
      </c>
      <c r="DE115" s="5" t="str">
        <f>IF(DE114=".", ".", IF('Summary, PPI''s'!AB115=".",IF(OR('Summary, hourly ad costs'!AB115=-9999,'Summary, hourly ad costs'!AB115=0), ".", 'Predicted PPIs'!DE114*('Summary, hourly ad costs'!L115/'Summary, hourly ad costs'!AB115)/('Summary, hourly ad costs'!L114/'Summary, hourly ad costs'!AB114)/(1-CO114)), 'Summary, PPI''s'!AB115))</f>
        <v>.</v>
      </c>
      <c r="DF115" s="5" t="str">
        <f>IF(DF114=".", ".", IF('Summary, PPI''s'!AC115=".",IF(OR('Summary, hourly ad costs'!AC115=-9999,'Summary, hourly ad costs'!AC115=0), ".", 'Predicted PPIs'!DF114*('Summary, hourly ad costs'!M115/'Summary, hourly ad costs'!AC115)/('Summary, hourly ad costs'!M114/'Summary, hourly ad costs'!AC114)/(1-CP114)), 'Summary, PPI''s'!AC115))</f>
        <v>.</v>
      </c>
      <c r="DG115" s="5" t="str">
        <f>IF(DG114=".", ".", IF('Summary, PPI''s'!AD115=".",IF(OR('Summary, hourly ad costs'!AD115=-9999,'Summary, hourly ad costs'!AD115=0), ".", 'Predicted PPIs'!DG114*('Summary, hourly ad costs'!N115/'Summary, hourly ad costs'!AD115)/('Summary, hourly ad costs'!N114/'Summary, hourly ad costs'!AD114)/(1-CQ114)), 'Summary, PPI''s'!AD115))</f>
        <v>.</v>
      </c>
      <c r="DH115" s="5" t="str">
        <f>IF(DH114=".", ".", IF('Summary, PPI''s'!AE115=".",IF(OR('Summary, hourly ad costs'!AE115=-9999,'Summary, hourly ad costs'!AE115=0), ".", 'Predicted PPIs'!DH114*('Summary, hourly ad costs'!O115/'Summary, hourly ad costs'!AE115)/('Summary, hourly ad costs'!O114/'Summary, hourly ad costs'!AE114)/(1-CR114)), 'Summary, PPI''s'!AE115))</f>
        <v>.</v>
      </c>
      <c r="DI115" s="5" t="str">
        <f>IF(DI114=".", ".", IF('Summary, PPI''s'!AF115=".",IF(OR('Summary, hourly ad costs'!AF115=-9999,'Summary, hourly ad costs'!AF115=0), ".", 'Predicted PPIs'!DI114*('Summary, hourly ad costs'!P115/'Summary, hourly ad costs'!AF115)/('Summary, hourly ad costs'!P114/'Summary, hourly ad costs'!AF114)/(1-CS114)), 'Summary, PPI''s'!AF115))</f>
        <v>.</v>
      </c>
      <c r="DK115" s="4">
        <f t="shared" si="205"/>
        <v>0.97717684210526257</v>
      </c>
      <c r="DM115" s="5">
        <f t="shared" si="186"/>
        <v>0.26272147084896691</v>
      </c>
      <c r="DN115" s="4">
        <f t="shared" si="187"/>
        <v>-2.0160436211970344E-2</v>
      </c>
      <c r="DO115" s="4">
        <f t="shared" si="233"/>
        <v>-2.2826005598871182E-2</v>
      </c>
      <c r="DP115" s="5">
        <f t="shared" si="188"/>
        <v>9.0251749227783451E-2</v>
      </c>
      <c r="DQ115" s="5">
        <f t="shared" si="189"/>
        <v>9.0545809556801249E-2</v>
      </c>
      <c r="DR115" s="4">
        <f t="shared" si="146"/>
        <v>-1.0920315738441056E-2</v>
      </c>
      <c r="DS115" s="5">
        <f t="shared" si="190"/>
        <v>-1.9501453261000834E-2</v>
      </c>
      <c r="DT115" s="4">
        <f t="shared" si="206"/>
        <v>8.7193527401426274E-3</v>
      </c>
      <c r="DU115" s="4">
        <f t="shared" si="171"/>
        <v>-3.0132860397898892E-2</v>
      </c>
      <c r="DV115" s="4">
        <f t="shared" si="235"/>
        <v>7.5280231747639121E-4</v>
      </c>
      <c r="DW115" s="4">
        <f t="shared" si="182"/>
        <v>-2.5731766262235535E-2</v>
      </c>
      <c r="DX115" s="4">
        <f t="shared" si="182"/>
        <v>-0.12814110568301174</v>
      </c>
      <c r="DY115" s="4">
        <f t="shared" si="228"/>
        <v>-1.9834510342578521E-2</v>
      </c>
      <c r="DZ115" s="4">
        <f t="shared" si="236"/>
        <v>-1.3427989062220907E-2</v>
      </c>
      <c r="EA115" s="4">
        <f t="shared" si="229"/>
        <v>-1.1778996635596282E-2</v>
      </c>
      <c r="EC115" s="1">
        <f t="shared" si="213"/>
        <v>28.5057608012152</v>
      </c>
      <c r="ED115" s="1">
        <f t="shared" si="214"/>
        <v>0.90919611489938601</v>
      </c>
      <c r="EE115" s="1">
        <f t="shared" si="215"/>
        <v>0.50386134542611105</v>
      </c>
      <c r="EF115" s="1">
        <f t="shared" si="216"/>
        <v>1.1679857955275847</v>
      </c>
      <c r="EG115" s="1">
        <f t="shared" si="217"/>
        <v>1.1072871590726294</v>
      </c>
      <c r="EH115" s="1">
        <f t="shared" si="218"/>
        <v>0.78725312934809433</v>
      </c>
      <c r="EI115" s="1">
        <f t="shared" si="219"/>
        <v>1.1099558019085185</v>
      </c>
      <c r="EJ115" s="1">
        <f t="shared" si="220"/>
        <v>1.3224334771777675</v>
      </c>
      <c r="EK115" s="1">
        <f t="shared" si="221"/>
        <v>1.6939189178990155</v>
      </c>
      <c r="EL115" s="1">
        <f t="shared" si="222"/>
        <v>0.80880568902092176</v>
      </c>
      <c r="EM115" s="1">
        <f t="shared" si="223"/>
        <v>3.1214870583144757E-2</v>
      </c>
      <c r="EN115" s="1">
        <f t="shared" si="224"/>
        <v>0.66682984995506989</v>
      </c>
      <c r="EO115" s="1">
        <f t="shared" si="225"/>
        <v>0.38646587663671234</v>
      </c>
      <c r="EP115" s="1">
        <f t="shared" si="226"/>
        <v>0.72831217477319266</v>
      </c>
      <c r="EQ115" s="1">
        <f t="shared" si="227"/>
        <v>0.5843178084328795</v>
      </c>
      <c r="ES115" s="1">
        <f>IF(EF$26=".", 0, 'Summary, PPI''s'!E115)+IF(EG$26=".", 0, 'Summary, PPI''s'!F115)+IF(EH$26=".", 0, 'Summary, PPI''s'!G115)+IF(EI$26=".", 0, 'Summary, PPI''s'!H115)+IF(EJ$26=".", 0, 'Summary, PPI''s'!I115)+IF(EK$26=".", 0, 'Summary, PPI''s'!J115)+IF(EL$26=".", 0, 'Summary, PPI''s'!K115)+IF(EM$26=".", 0, 'Summary, PPI''s'!L115)+IF(EN$26=".", 0, 'Summary, PPI''s'!M115)+IF(EC$26=".", 0, 'Summary, PPI''s'!B115)+IF(ED$26=".", 0, 'Summary, PPI''s'!C115)+IF(EE$26=".", 0, 'Summary, PPI''s'!D115)+IF(EO$26=".", 0, 'Summary, PPI''s'!N115)+IF(EP$26=".", 0, 'Summary, PPI''s'!O115)+IF(EQ$26=".", 0, 'Summary, PPI''s'!P115)</f>
        <v>650362.06391907681</v>
      </c>
      <c r="ET115" s="1">
        <f>'Summary, hourly ad costs'!E115+'Summary, hourly ad costs'!F115+'Summary, hourly ad costs'!H115+'Summary, hourly ad costs'!I115+'Summary, hourly ad costs'!J115+'Summary, hourly ad costs'!K115+'Summary, hourly ad costs'!L115+'Summary, hourly ad costs'!M115+'Summary, hourly ad costs'!B115</f>
        <v>393998.63271464536</v>
      </c>
      <c r="EV115" s="13">
        <f>EV114*IF(EF$26=".", 1, (EF115/EF114)^(('Summary, PPI''s'!$E115+'Summary, PPI''s'!$E114)/('Predicted PPIs'!ES115+'Predicted PPIs'!ES114)))*IF(EG$26=".", 1, (EG115/EG114)^(('Summary, PPI''s'!$F115+'Summary, PPI''s'!$F114)/('Predicted PPIs'!ES115+'Predicted PPIs'!ES114)))*IF(EH$26=".", 1, (EH115/EH114)^(('Summary, PPI''s'!$G115+'Summary, PPI''s'!$G114)/('Predicted PPIs'!ES115+'Predicted PPIs'!ES114)))*IF(EI$26=".", 1, (EI115/EI114)^(('Summary, PPI''s'!$H115+'Summary, PPI''s'!$H114)/('Predicted PPIs'!ES115+'Predicted PPIs'!ES114)))*IF(EJ$26=".", 1, (EJ115/EJ114)^(('Summary, PPI''s'!$I115+'Summary, PPI''s'!$I114)/('Predicted PPIs'!ES115+'Predicted PPIs'!ES114)))*IF(EK$26=".", 1, (EK115/EK114)^(('Summary, PPI''s'!$J115+'Summary, PPI''s'!$J114)/('Predicted PPIs'!ES115+'Predicted PPIs'!ES114)))*IF(EL$26=".", 1, (EL115/EL114)^(('Summary, PPI''s'!$K115+'Summary, PPI''s'!$K114)/('Predicted PPIs'!ES115+'Predicted PPIs'!ES114)))*IF(EM$26=".", 1, (EM115/EM114)^(('Summary, PPI''s'!$L115+'Summary, PPI''s'!$L114)/('Predicted PPIs'!ES115+'Predicted PPIs'!ES114)))*IF(EN$26=".", 1, (EN115/EN114)^(('Summary, PPI''s'!$M115+'Summary, PPI''s'!$M114)/('Predicted PPIs'!ES115+'Predicted PPIs'!ES114)))*IF(EC$26=".", 1, (EC115/EC114)^(('Summary, PPI''s'!$B115+'Summary, PPI''s'!$B114)/('Predicted PPIs'!ES115+'Predicted PPIs'!ES114)))*IF(ED$26=".", 1, (ED115/ED114)^(('Summary, PPI''s'!$C115+'Summary, PPI''s'!$C114)/('Predicted PPIs'!ES115+'Predicted PPIs'!ES114)))*IF(EE$26=".", 1, (EE115/EE114)^(('Summary, PPI''s'!$D115+'Summary, PPI''s'!$D114)/('Predicted PPIs'!ES115+'Predicted PPIs'!ES114)))*IF(EO$26=".", 1, (EO115/EO114)^(('Summary, PPI''s'!$N115+'Summary, PPI''s'!$N114)/('Predicted PPIs'!ES115+'Predicted PPIs'!ES114)))*IF(EP$26=".", 1, (EP115/EP114)^(('Summary, PPI''s'!$O115+'Summary, PPI''s'!$O114)/('Predicted PPIs'!ES115+'Predicted PPIs'!ES114)))*IF(EQ$26=".", 1, (EQ115/EQ114)^(('Summary, PPI''s'!$P115+'Summary, PPI''s'!$P114)/('Predicted PPIs'!ES115+'Predicted PPIs'!ES114)))</f>
        <v>1.6747148957183124</v>
      </c>
      <c r="EW115" s="13">
        <f>EW114*IF(EF$26=".", 1, (EF115/EF114)^(('Summary, PPI''s'!$E115+'Summary, PPI''s'!$E114)/('Predicted PPIs'!ET115+'Predicted PPIs'!ET114)))*IF(EG$26=".", 1, (EG115/EG114)^(('Summary, PPI''s'!$F115+'Summary, PPI''s'!$F114)/('Predicted PPIs'!ET115+'Predicted PPIs'!ET114)))*IF(EH$26=".", 1, (EH115/EH114)^(('Summary, PPI''s'!$G115+'Summary, PPI''s'!$G114)/('Predicted PPIs'!ET115+'Predicted PPIs'!ET114)))*IF(EK$26=".", 1, (EK115/EK114)^(('Summary, PPI''s'!$J115+'Summary, PPI''s'!$J114)/('Predicted PPIs'!ET115+'Predicted PPIs'!ET114)))*IF(EL$26=".", 1, (EL115/EL114)^(('Summary, PPI''s'!$K115+'Summary, PPI''s'!$K114)/('Predicted PPIs'!ET115+'Predicted PPIs'!ET114)))*IF(EM$26=".", 1, (EM115/EM114)^(('Summary, PPI''s'!$L115+'Summary, PPI''s'!$L114)/('Predicted PPIs'!ET115+'Predicted PPIs'!ET114)))*IF(EN$26=".", 1, (EN115/EN114)^(('Summary, PPI''s'!$M115+'Summary, PPI''s'!$M114)/('Predicted PPIs'!ET115+'Predicted PPIs'!ET114)))*IF(EC$26=".", 1, (EC115/EC114)^(('Summary, PPI''s'!$B115+'Summary, PPI''s'!$B114)/('Predicted PPIs'!ET115+'Predicted PPIs'!ET114)))</f>
        <v>4.111201070204431</v>
      </c>
      <c r="EY115" s="2"/>
    </row>
    <row r="116" spans="1:155" x14ac:dyDescent="0.3">
      <c r="A116" s="4">
        <v>1907</v>
      </c>
      <c r="B116" s="10">
        <f>IF(B115=".", ".", IF('Summary, PPI''s'!R116=".",IF(OR('Summary, hourly ad costs'!R116=-9999,'Summary, hourly ad costs'!R116=0), ".", 'Predicted PPIs'!B115*('Summary, hourly ad costs'!B116/'Summary, hourly ad costs'!R116)/('Summary, hourly ad costs'!B115/'Summary, hourly ad costs'!R115)), 'Summary, PPI''s'!R116))</f>
        <v>54.830900394123695</v>
      </c>
      <c r="C116" s="10" t="str">
        <f>IF(C115=".", ".", IF('Summary, PPI''s'!S116=".",IF(OR('Summary, hourly ad costs'!S116=-9999,'Summary, hourly ad costs'!S116=0), ".", 'Predicted PPIs'!C115*('Summary, hourly ad costs'!C116/'Summary, hourly ad costs'!S116)/('Summary, hourly ad costs'!C115/'Summary, hourly ad costs'!S115)), 'Summary, PPI''s'!S116))</f>
        <v>.</v>
      </c>
      <c r="D116" s="10" t="str">
        <f>IF(D115=".", ".", IF('Summary, PPI''s'!T116=".",IF(OR('Summary, hourly ad costs'!T116=-9999,'Summary, hourly ad costs'!T116=0), ".", 'Predicted PPIs'!D115*('Summary, hourly ad costs'!D116/'Summary, hourly ad costs'!T116)/('Summary, hourly ad costs'!D115/'Summary, hourly ad costs'!T115)), 'Summary, PPI''s'!T116))</f>
        <v>.</v>
      </c>
      <c r="E116" s="10">
        <f>IF(E115=".", ".", IF('Summary, PPI''s'!U116=".",IF(OR('Summary, hourly ad costs'!U116=-9999,'Summary, hourly ad costs'!U116=0), ".", 'Predicted PPIs'!E115*('Summary, hourly ad costs'!E116/'Summary, hourly ad costs'!U116)/('Summary, hourly ad costs'!E115/'Summary, hourly ad costs'!U115)), 'Summary, PPI''s'!U116))</f>
        <v>0.98643894453156766</v>
      </c>
      <c r="F116" s="10">
        <f>IF(F115=".", ".", IF('Summary, PPI''s'!V116=".",IF(OR('Summary, hourly ad costs'!V116=-9999,'Summary, hourly ad costs'!V116=0), ".", 'Predicted PPIs'!F115*('Summary, hourly ad costs'!F116/'Summary, hourly ad costs'!V116)/('Summary, hourly ad costs'!F115/'Summary, hourly ad costs'!V115)), 'Summary, PPI''s'!V116))</f>
        <v>0.81738541155613886</v>
      </c>
      <c r="G116" s="10" t="str">
        <f>IF(G115=".", ".", IF('Summary, PPI''s'!W116=".",IF(OR('Summary, hourly ad costs'!W116=-9999,'Summary, hourly ad costs'!W116=0), ".", 'Predicted PPIs'!G115*('Summary, hourly ad costs'!G116/'Summary, hourly ad costs'!W116)/('Summary, hourly ad costs'!G115/'Summary, hourly ad costs'!W115)), 'Summary, PPI''s'!W116))</f>
        <v>.</v>
      </c>
      <c r="H116" s="10">
        <f>IF(H115=".", ".", IF('Summary, PPI''s'!X116=".",IF(OR('Summary, hourly ad costs'!X116=-9999,'Summary, hourly ad costs'!X116=0), ".", 'Predicted PPIs'!H115*('Summary, hourly ad costs'!H116/'Summary, hourly ad costs'!X116)/('Summary, hourly ad costs'!H115/'Summary, hourly ad costs'!X115)), 'Summary, PPI''s'!X116))</f>
        <v>0.9536903053387833</v>
      </c>
      <c r="I116" s="10" t="str">
        <f>IF(I115=".", ".", IF('Summary, PPI''s'!Y116=".",IF(OR('Summary, hourly ad costs'!Y116=-9999,'Summary, hourly ad costs'!Y116=0), ".", 'Predicted PPIs'!I115*('Summary, hourly ad costs'!I116/'Summary, hourly ad costs'!Y116)/('Summary, hourly ad costs'!I115/'Summary, hourly ad costs'!Y115)), 'Summary, PPI''s'!Y116))</f>
        <v>.</v>
      </c>
      <c r="J116" s="10" t="str">
        <f>IF(J115=".", ".", IF('Summary, PPI''s'!Z116=".",IF(OR('Summary, hourly ad costs'!Z116=-9999,'Summary, hourly ad costs'!Z116=0), ".", 'Predicted PPIs'!J115*('Summary, hourly ad costs'!J116/'Summary, hourly ad costs'!Z116)/('Summary, hourly ad costs'!J115/'Summary, hourly ad costs'!Z115)), 'Summary, PPI''s'!Z116))</f>
        <v>.</v>
      </c>
      <c r="K116" s="10" t="str">
        <f>IF(K115=".", ".", IF('Summary, PPI''s'!AA116=".",IF(OR('Summary, hourly ad costs'!AA116=-9999,'Summary, hourly ad costs'!AA116=0), ".", 'Predicted PPIs'!K115*('Summary, hourly ad costs'!K116/'Summary, hourly ad costs'!AA116)/('Summary, hourly ad costs'!K115/'Summary, hourly ad costs'!AA115)), 'Summary, PPI''s'!AA116))</f>
        <v>.</v>
      </c>
      <c r="L116" s="10" t="str">
        <f>IF(L115=".", ".", IF('Summary, PPI''s'!AB116=".",IF(OR('Summary, hourly ad costs'!AB116=-9999,'Summary, hourly ad costs'!AB116=0), ".", 'Predicted PPIs'!L115*('Summary, hourly ad costs'!L116/'Summary, hourly ad costs'!AB116)/('Summary, hourly ad costs'!L115/'Summary, hourly ad costs'!AB115)), 'Summary, PPI''s'!AB116))</f>
        <v>.</v>
      </c>
      <c r="M116" s="10" t="str">
        <f>IF(M115=".", ".", IF('Summary, PPI''s'!AC116=".",IF(OR('Summary, hourly ad costs'!AC116=-9999,'Summary, hourly ad costs'!AC116=0), ".", 'Predicted PPIs'!M115*('Summary, hourly ad costs'!M116/'Summary, hourly ad costs'!AC116)/('Summary, hourly ad costs'!M115/'Summary, hourly ad costs'!AC115)), 'Summary, PPI''s'!AC116))</f>
        <v>.</v>
      </c>
      <c r="N116" s="10" t="str">
        <f>IF(N115=".", ".", IF('Summary, PPI''s'!AD116=".",IF(OR('Summary, hourly ad costs'!AD116=-9999,'Summary, hourly ad costs'!AD116=0), ".", 'Predicted PPIs'!N115*('Summary, hourly ad costs'!N116/'Summary, hourly ad costs'!AD116)/('Summary, hourly ad costs'!N115/'Summary, hourly ad costs'!AD115)), 'Summary, PPI''s'!AD116))</f>
        <v>.</v>
      </c>
      <c r="O116" s="10" t="str">
        <f>IF(O115=".", ".", IF('Summary, PPI''s'!AE116=".",IF(OR('Summary, hourly ad costs'!AE116=-9999,'Summary, hourly ad costs'!AE116=0), ".", 'Predicted PPIs'!O115*('Summary, hourly ad costs'!O116/'Summary, hourly ad costs'!AE116)/('Summary, hourly ad costs'!O115/'Summary, hourly ad costs'!AE115)), 'Summary, PPI''s'!AE116))</f>
        <v>.</v>
      </c>
      <c r="P116" s="10" t="str">
        <f>IF(P115=".", ".", IF('Summary, PPI''s'!AF116=".",IF(OR('Summary, hourly ad costs'!AF116=-9999,'Summary, hourly ad costs'!AF116=0), ".", 'Predicted PPIs'!P115*('Summary, hourly ad costs'!P116/'Summary, hourly ad costs'!AF116)/('Summary, hourly ad costs'!P115/'Summary, hourly ad costs'!AF115)), 'Summary, PPI''s'!AF116))</f>
        <v>.</v>
      </c>
      <c r="R116" s="1">
        <f>IF(E$26=".", 0, 'Summary, PPI''s'!E116)+IF(F$26=".", 0, 'Summary, PPI''s'!F116)+IF(G$26=".", 0, 'Summary, PPI''s'!G116)+IF(H$26=".", 0, 'Summary, PPI''s'!H116)+IF(I$26=".", 0, 'Summary, PPI''s'!I116)+IF(J$26=".", 0, 'Summary, PPI''s'!J116)+IF(K$26=".", 0, 'Summary, PPI''s'!K116)+IF(L$26=".", 0, 'Summary, PPI''s'!L116)+IF(M$26=".", 0, 'Summary, PPI''s'!M116)+IF(B$26=".", 0, 'Summary, PPI''s'!B116)+IF(C$26=".", 0, 'Summary, PPI''s'!C116)+IF(D$26=".", 0, 'Summary, PPI''s'!D116)+IF(N$26=".", 0, 'Summary, PPI''s'!N116)+IF(O$26=".", 0, 'Summary, PPI''s'!O116)+IF(P$26=".", 0, 'Summary, PPI''s'!P116)</f>
        <v>598311.3694024228</v>
      </c>
      <c r="S116" s="1">
        <f>IF(E$36=".", 0, 'Summary, PPI''s'!E116)+IF(F$36=".", 0, 'Summary, PPI''s'!F116)+IF(G$36=".", 0, 'Summary, PPI''s'!G116)+IF(H$36=".", 0, 'Summary, PPI''s'!H116)+IF(I$36=".", 0, 'Summary, PPI''s'!I116)+IF(J$36=".", 0, 'Summary, PPI''s'!J116)+IF(K$36=".", 0, 'Summary, PPI''s'!K116)+IF(L$36=".", 0, 'Summary, PPI''s'!L116)+IF(M$36=".", 0, 'Summary, PPI''s'!M116)+IF(B$36=".", 0, 'Summary, PPI''s'!B116)+IF(C$36=".", 0, 'Summary, PPI''s'!C116)+IF(D$36=".", 0, 'Summary, PPI''s'!D116)+IF(N$36=".", 0, 'Summary, PPI''s'!N116)+IF(O$36=".", 0, 'Summary, PPI''s'!O116)+IF(P$36=".", 0, 'Summary, PPI''s'!P116)</f>
        <v>598311.3694024228</v>
      </c>
      <c r="T116" s="1">
        <f>IF(E$46=".", 0, 'Summary, PPI''s'!E116)+IF(F$46=".", 0, 'Summary, PPI''s'!F116)+IF(G$46=".", 0, 'Summary, PPI''s'!G116)+IF(H$46=".", 0, 'Summary, PPI''s'!H116)+IF(I$46=".", 0, 'Summary, PPI''s'!I116)+IF(J$46=".", 0, 'Summary, PPI''s'!J116)+IF(K$46=".", 0, 'Summary, PPI''s'!K116)+IF(L$46=".", 0, 'Summary, PPI''s'!L116)+IF(M$46=".", 0, 'Summary, PPI''s'!M116)+IF(B$46=".", 0, 'Summary, PPI''s'!B116)+IF(C$46=".", 0, 'Summary, PPI''s'!C116)+IF(D$46=".", 0, 'Summary, PPI''s'!D116)+IF(N$46=".", 0, 'Summary, PPI''s'!N116)+IF(O$46=".", 0, 'Summary, PPI''s'!O116)+IF(P$46=".", 0, 'Summary, PPI''s'!P116)</f>
        <v>541609.21596270765</v>
      </c>
      <c r="U116" s="1">
        <f>IF(E$60=".", 0, 'Summary, PPI''s'!E116)+IF(F$60=".", 0, 'Summary, PPI''s'!F116)+IF(G$60=".", 0, 'Summary, PPI''s'!G116)+IF(H$60=".", 0, 'Summary, PPI''s'!H116)+IF(I$60=".", 0, 'Summary, PPI''s'!I116)+IF(J$60=".", 0, 'Summary, PPI''s'!J116)+IF(K$60=".", 0, 'Summary, PPI''s'!K116)+IF(L$60=".", 0, 'Summary, PPI''s'!L116)+IF(M$60=".", 0, 'Summary, PPI''s'!M116)+IF(B$60=".", 0, 'Summary, PPI''s'!B116)+IF(C$60=".", 0, 'Summary, PPI''s'!C116)+IF(D$60=".", 0, 'Summary, PPI''s'!D116)+IF(N$60=".", 0, 'Summary, PPI''s'!N116)+IF(O$60=".", 0, 'Summary, PPI''s'!O116)+IF(P$60=".", 0, 'Summary, PPI''s'!P116)</f>
        <v>520560.13666706748</v>
      </c>
      <c r="V116" s="1">
        <f>IF(E$73=".", 0, 'Summary, PPI''s'!E116)+IF(F$73=".", 0, 'Summary, PPI''s'!F116)+IF(G$73=".", 0, 'Summary, PPI''s'!G116)+IF(H$73=".", 0, 'Summary, PPI''s'!H116)+IF(I$73=".", 0, 'Summary, PPI''s'!I116)+IF(J$73=".", 0, 'Summary, PPI''s'!J116)+IF(K$73=".", 0, 'Summary, PPI''s'!K116)+IF(L$73=".", 0, 'Summary, PPI''s'!L116)+IF(M$73=".", 0, 'Summary, PPI''s'!M116)+IF(B$73=".", 0, 'Summary, PPI''s'!B116)+IF(C$73=".", 0, 'Summary, PPI''s'!C116)+IF(D$73=".", 0, 'Summary, PPI''s'!D116)+IF(N$73=".", 0, 'Summary, PPI''s'!N116)+IF(O$73=".", 0, 'Summary, PPI''s'!O116)+IF(P$73=".", 0, 'Summary, PPI''s'!P116)</f>
        <v>362776.7121349622</v>
      </c>
      <c r="W116" s="1">
        <f>IF(E$94=".",0,'Summary, PPI''s'!E116)+IF(F$94=".",0,'Summary, PPI''s'!F116)+IF(G$94=".",0,'Summary, PPI''s'!G116)+IF(H$94=".",0,'Summary, PPI''s'!H116)+IF(I$94=".",0,'Summary, PPI''s'!I116)+IF(J$94=".",0,'Summary, PPI''s'!J116)+IF(K$94=".",0,'Summary, PPI''s'!K116)+IF(L$94=".",0,'Summary, PPI''s'!L116)+IF(M$94=".",0,'Summary, PPI''s'!M116)+IF(B$94=".",0,'Summary, PPI''s'!B116)+IF(C$94=".",0,'Summary, PPI''s'!C116)+IF(D$94=".",0,'Summary, PPI''s'!D116)+IF(N$94=".",0,'Summary, PPI''s'!N116)+IF(O$94=".",0,'Summary, PPI''s'!O116)+IF(P$94=".",0,'Summary, PPI''s'!P116)</f>
        <v>362776.7121349622</v>
      </c>
      <c r="X116" s="1">
        <f>IF(E$123=".", 0, 'Summary, PPI''s'!E116)+IF(F$123=".", 0, 'Summary, PPI''s'!F116)+IF(G$123=".", 0, 'Summary, PPI''s'!G116)+IF(H$123=".", 0, 'Summary, PPI''s'!H116)+IF(I$123=".", 0, 'Summary, PPI''s'!I116)+IF(J$123=".", 0, 'Summary, PPI''s'!J116)+IF(K$123=".", 0, 'Summary, PPI''s'!K116)+IF(L$123=".", 0, 'Summary, PPI''s'!L116)+IF(M$123=".", 0, 'Summary, PPI''s'!M116)+IF(B$123=".", 0, 'Summary, PPI''s'!B116)+IF(C$123=".", 0, 'Summary, PPI''s'!C116)+IF(D$123=".", 0, 'Summary, PPI''s'!D116)+IF(N$123=".", 0, 'Summary, PPI''s'!N116)+IF(O$123=".", 0, 'Summary, PPI''s'!O116)+IF(P$123=".", 0, 'Summary, PPI''s'!P116)</f>
        <v>362776.7121349622</v>
      </c>
      <c r="Z116" s="4" t="e">
        <f>Z115*IF(E$26=".", 1, (E116/E115)^(('Summary, PPI''s'!$E116+'Summary, PPI''s'!$E115)/('Predicted PPIs'!R116+'Predicted PPIs'!R115)))*IF(F$26=".", 1, (F116/F115)^(('Summary, PPI''s'!$F116+'Summary, PPI''s'!$F115)/('Predicted PPIs'!R116+'Predicted PPIs'!R115)))*IF(G$26=".", 1, (G116/G115)^(('Summary, PPI''s'!$G116+'Summary, PPI''s'!$G115)/('Predicted PPIs'!R116+'Predicted PPIs'!R115)))*IF(H$26=".", 1, (H116/H115)^(('Summary, PPI''s'!$H116+'Summary, PPI''s'!$H115)/('Predicted PPIs'!R116+'Predicted PPIs'!R115)))*IF(I$26=".", 1, (I116/I115)^(('Summary, PPI''s'!$I116+'Summary, PPI''s'!$I115)/('Predicted PPIs'!R116+'Predicted PPIs'!R115)))*IF(J$26=".", 1, (J116/J115)^(('Summary, PPI''s'!$J116+'Summary, PPI''s'!$J115)/('Predicted PPIs'!R116+'Predicted PPIs'!R115)))*IF(K$26=".", 1, (K116/K115)^(('Summary, PPI''s'!$K116+'Summary, PPI''s'!$K115)/('Predicted PPIs'!R116+'Predicted PPIs'!R115)))*IF(L$26=".", 1, (L116/L115)^(('Summary, PPI''s'!$L116+'Summary, PPI''s'!$L115)/('Predicted PPIs'!R116+'Predicted PPIs'!R115)))*IF(M$26=".", 1, (M116/M115)^(('Summary, PPI''s'!$M116+'Summary, PPI''s'!$M115)/('Predicted PPIs'!R116+'Predicted PPIs'!R115)))*IF(B$26=".", 1, (B116/B115)^(('Summary, PPI''s'!$B116+'Summary, PPI''s'!$B115)/('Predicted PPIs'!R116+'Predicted PPIs'!R115)))*IF(C$26=".", 1, (C116/C115)^(('Summary, PPI''s'!$C116+'Summary, PPI''s'!$C115)/('Predicted PPIs'!R116+'Predicted PPIs'!R115)))*IF(D$26=".", 1, (D116/D115)^(('Summary, PPI''s'!$D116+'Summary, PPI''s'!$D115)/('Predicted PPIs'!R116+'Predicted PPIs'!R115)))*IF(N$26=".", 1, (N116/N115)^(('Summary, PPI''s'!$N116+'Summary, PPI''s'!$N115)/('Predicted PPIs'!R116+'Predicted PPIs'!R115)))*IF(O$26=".", 1, (O116/O115)^(('Summary, PPI''s'!$O116+'Summary, PPI''s'!$O115)/('Predicted PPIs'!R116+'Predicted PPIs'!R115)))*IF(P$26=".", 1, (P116/P115)^(('Summary, PPI''s'!$P116+'Summary, PPI''s'!$P115)/('Predicted PPIs'!R116+'Predicted PPIs'!R115)))</f>
        <v>#VALUE!</v>
      </c>
      <c r="AA116" s="4" t="e">
        <f>AA115*IF(E$36=".", 1, (E116/E115)^(('Summary, PPI''s'!$E116+'Summary, PPI''s'!$E115)/('Predicted PPIs'!S116+'Predicted PPIs'!S115)))*IF(F$36=".", 1, (F116/F115)^(('Summary, PPI''s'!$F116+'Summary, PPI''s'!$F115)/('Predicted PPIs'!S116+'Predicted PPIs'!S115)))*IF(G$36=".", 1, (G116/G115)^(('Summary, PPI''s'!$G116+'Summary, PPI''s'!$G115)/('Predicted PPIs'!S116+'Predicted PPIs'!S115)))*IF(H$36=".", 1, (H116/H115)^(('Summary, PPI''s'!$H116+'Summary, PPI''s'!$H115)/('Predicted PPIs'!S116+'Predicted PPIs'!S115)))*IF(I$36=".", 1, (I116/I115)^(('Summary, PPI''s'!$I116+'Summary, PPI''s'!$I115)/('Predicted PPIs'!S116+'Predicted PPIs'!S115)))*IF(J$36=".", 1, (J116/J115)^(('Summary, PPI''s'!$J116+'Summary, PPI''s'!$J115)/('Predicted PPIs'!S116+'Predicted PPIs'!S115)))*IF(K$36=".", 1, (K116/K115)^(('Summary, PPI''s'!$K116+'Summary, PPI''s'!$K115)/('Predicted PPIs'!S116+'Predicted PPIs'!S115)))*IF(L$36=".", 1, (L116/L115)^(('Summary, PPI''s'!$L116+'Summary, PPI''s'!$L115)/('Predicted PPIs'!S116+'Predicted PPIs'!S115)))*IF(M$36=".", 1, (M116/M115)^(('Summary, PPI''s'!$M116+'Summary, PPI''s'!$M115)/('Predicted PPIs'!S116+'Predicted PPIs'!S115)))*IF(B$36=".", 1, (B116/B115)^(('Summary, PPI''s'!$B116+'Summary, PPI''s'!$B115)/('Predicted PPIs'!S116+'Predicted PPIs'!S115)))*IF(C$36=".", 1, (C116/C115)^(('Summary, PPI''s'!$C116+'Summary, PPI''s'!$C115)/('Predicted PPIs'!S116+'Predicted PPIs'!S115)))*IF(D$36=".", 1, (D116/D115)^(('Summary, PPI''s'!$D116+'Summary, PPI''s'!$D115)/('Predicted PPIs'!S116+'Predicted PPIs'!S115)))*IF(N$36=".", 1, (N116/N115)^(('Summary, PPI''s'!$N116+'Summary, PPI''s'!$N115)/('Predicted PPIs'!S116+'Predicted PPIs'!S115)))*IF(O$36=".", 1, (O116/O115)^(('Summary, PPI''s'!$O116+'Summary, PPI''s'!$O115)/('Predicted PPIs'!S116+'Predicted PPIs'!S115)))*IF(P$36=".", 1, (P116/P115)^(('Summary, PPI''s'!$P116+'Summary, PPI''s'!$P115)/('Predicted PPIs'!S116+'Predicted PPIs'!S115)))</f>
        <v>#VALUE!</v>
      </c>
      <c r="AB116" s="4" t="e">
        <f>AB115*IF(E$46=".", 1, (E116/E115)^(('Summary, PPI''s'!$E116+'Summary, PPI''s'!$E115)/('Predicted PPIs'!T116+'Predicted PPIs'!T115)))*IF(F$46=".", 1, (F116/F115)^(('Summary, PPI''s'!$F116+'Summary, PPI''s'!$F115)/('Predicted PPIs'!T116+'Predicted PPIs'!T115)))*IF(G$46=".", 1, (G116/G115)^(('Summary, PPI''s'!$G116+'Summary, PPI''s'!$G115)/('Predicted PPIs'!T116+'Predicted PPIs'!T115)))*IF(H$46=".", 1, (H116/H115)^(('Summary, PPI''s'!$H116+'Summary, PPI''s'!$H115)/('Predicted PPIs'!T116+'Predicted PPIs'!T115)))*IF(I$46=".", 1, (I116/I115)^(('Summary, PPI''s'!$I116+'Summary, PPI''s'!$I115)/('Predicted PPIs'!T116+'Predicted PPIs'!T115)))*IF(J$46=".", 1, (J116/J115)^(('Summary, PPI''s'!$J116+'Summary, PPI''s'!$J115)/('Predicted PPIs'!T116+'Predicted PPIs'!T115)))*IF(K$46=".", 1, (K116/K115)^(('Summary, PPI''s'!$K116+'Summary, PPI''s'!$K115)/('Predicted PPIs'!T116+'Predicted PPIs'!T115)))*IF(L$46=".", 1, (L116/L115)^(('Summary, PPI''s'!$L116+'Summary, PPI''s'!$L115)/('Predicted PPIs'!T116+'Predicted PPIs'!T115)))*IF(M$46=".", 1, (M116/M115)^(('Summary, PPI''s'!$M116+'Summary, PPI''s'!$M115)/('Predicted PPIs'!T116+'Predicted PPIs'!T115)))*IF(B$46=".", 1, (B116/B115)^(('Summary, PPI''s'!$B116+'Summary, PPI''s'!$B115)/('Predicted PPIs'!T116+'Predicted PPIs'!T115)))*IF(C$46=".", 1, (C116/C115)^(('Summary, PPI''s'!$C116+'Summary, PPI''s'!$C115)/('Predicted PPIs'!T116+'Predicted PPIs'!T115)))*IF(D$46=".", 1, (D116/D115)^(('Summary, PPI''s'!$D116+'Summary, PPI''s'!$D115)/('Predicted PPIs'!T116+'Predicted PPIs'!T115)))*IF(N$46=".", 1, (N116/N115)^(('Summary, PPI''s'!$N116+'Summary, PPI''s'!$N115)/('Predicted PPIs'!T116+'Predicted PPIs'!T115)))*IF(O$46=".", 1, (O116/O115)^(('Summary, PPI''s'!$O116+'Summary, PPI''s'!$O115)/('Predicted PPIs'!T116+'Predicted PPIs'!T115)))*IF(P$46=".", 1, (P116/P115)^(('Summary, PPI''s'!$P116+'Summary, PPI''s'!$P115)/('Predicted PPIs'!T116+'Predicted PPIs'!T115)))</f>
        <v>#VALUE!</v>
      </c>
      <c r="AC116" s="4" t="e">
        <f>AC115*IF(E$60=".",1,(E116/E115)^(('Summary, PPI''s'!$E116+'Summary, PPI''s'!$E115)/('Predicted PPIs'!U116+'Predicted PPIs'!U115)))*IF(F$60=".",1,(F116/F115)^(('Summary, PPI''s'!$F116+'Summary, PPI''s'!$F115)/('Predicted PPIs'!U116+'Predicted PPIs'!U115)))*IF(G$60=".",1,(G116/G115)^(('Summary, PPI''s'!$G116+'Summary, PPI''s'!$G115)/('Predicted PPIs'!U116+'Predicted PPIs'!U115)))*IF(H$60=".",1,(H116/H115)^(('Summary, PPI''s'!$H116+'Summary, PPI''s'!$H115)/('Predicted PPIs'!U116+'Predicted PPIs'!U115)))*IF(I$60=".",1,(I116/I115)^(('Summary, PPI''s'!$I116+'Summary, PPI''s'!$I115)/('Predicted PPIs'!U116+'Predicted PPIs'!U115)))*IF(J$60=".",1,(J116/J115)^(('Summary, PPI''s'!$J116+'Summary, PPI''s'!$J115)/('Predicted PPIs'!U116+'Predicted PPIs'!U115)))*IF(K$60=".",1,(K116/K115)^(('Summary, PPI''s'!$K116+'Summary, PPI''s'!$K115)/('Predicted PPIs'!U116+'Predicted PPIs'!U115)))*IF(L$60=".",1,(L116/L115)^(('Summary, PPI''s'!$L116+'Summary, PPI''s'!$L115)/('Predicted PPIs'!U116+'Predicted PPIs'!U115)))*IF(M$60=".",1,(M116/M115)^(('Summary, PPI''s'!$M116+'Summary, PPI''s'!$M115)/('Predicted PPIs'!U116+'Predicted PPIs'!U115)))*IF(B$60=".",1,(B116/B115)^(('Summary, PPI''s'!$B116+'Summary, PPI''s'!$B115)/('Predicted PPIs'!U116+'Predicted PPIs'!U115)))*IF(C$60=".",1,(C116/C115)^(('Summary, PPI''s'!$C116+'Summary, PPI''s'!$C115)/('Predicted PPIs'!U116+'Predicted PPIs'!U115)))*IF(D$60=".",1,(D116/D115)^(('Summary, PPI''s'!$D116+'Summary, PPI''s'!$D115)/('Predicted PPIs'!U116+'Predicted PPIs'!U115)))*IF(N$60=".",1,(N116/N115)^(('Summary, PPI''s'!$N116+'Summary, PPI''s'!$N115)/('Predicted PPIs'!U116+'Predicted PPIs'!U115)))*IF(O$60=".",1,(O116/O115)^(('Summary, PPI''s'!$O116+'Summary, PPI''s'!$O115)/('Predicted PPIs'!U116+'Predicted PPIs'!U115)))*IF(P$60=".",1,(P116/P115)^(('Summary, PPI''s'!$P116+'Summary, PPI''s'!$P115)/('Predicted PPIs'!U116+'Predicted PPIs'!U115)))</f>
        <v>#VALUE!</v>
      </c>
      <c r="AD116" s="4" t="e">
        <f>AD115*IF(E$73=".", 1, (E116/E115)^(('Summary, PPI''s'!$E116+'Summary, PPI''s'!$E115)/('Predicted PPIs'!V116+'Predicted PPIs'!V115)))*IF(F$73=".", 1, (F116/F115)^(('Summary, PPI''s'!$F116+'Summary, PPI''s'!$F115)/('Predicted PPIs'!V116+'Predicted PPIs'!V115)))*IF(G$73=".", 1, (G116/G115)^(('Summary, PPI''s'!$G116+'Summary, PPI''s'!$G115)/('Predicted PPIs'!V116+'Predicted PPIs'!V115)))*IF(H$73=".", 1, (H116/H115)^(('Summary, PPI''s'!$H116+'Summary, PPI''s'!$H115)/('Predicted PPIs'!V116+'Predicted PPIs'!V115)))*IF(I$73=".", 1, (I116/I115)^(('Summary, PPI''s'!$I116+'Summary, PPI''s'!$I115)/('Predicted PPIs'!V116+'Predicted PPIs'!V115)))*IF(J$73=".", 1, (J116/J115)^(('Summary, PPI''s'!$J116+'Summary, PPI''s'!$J115)/('Predicted PPIs'!V116+'Predicted PPIs'!V115)))*IF(K$73=".", 1, (K116/K115)^(('Summary, PPI''s'!$K116+'Summary, PPI''s'!$K115)/('Predicted PPIs'!V116+'Predicted PPIs'!V115)))*IF(L$73=".", 1, (L116/L115)^(('Summary, PPI''s'!$L116+'Summary, PPI''s'!$L115)/('Predicted PPIs'!V116+'Predicted PPIs'!V115)))*IF(M$73=".", 1, (M116/M115)^(('Summary, PPI''s'!$M116+'Summary, PPI''s'!$M115)/('Predicted PPIs'!V116+'Predicted PPIs'!V115)))*IF(B$73=".", 1, (B116/B115)^(('Summary, PPI''s'!$B116+'Summary, PPI''s'!$B115)/('Predicted PPIs'!V116+'Predicted PPIs'!V115)))*IF(C$73=".", 1, (C116/C115)^(('Summary, PPI''s'!$C116+'Summary, PPI''s'!$C115)/('Predicted PPIs'!V116+'Predicted PPIs'!V115)))*IF(D$73=".", 1, (D116/D115)^(('Summary, PPI''s'!$D116+'Summary, PPI''s'!$D115)/('Predicted PPIs'!V116+'Predicted PPIs'!V115)))*IF(N$73=".", 1, (N116/N115)^(('Summary, PPI''s'!$N116+'Summary, PPI''s'!$N115)/('Predicted PPIs'!V116+'Predicted PPIs'!V115)))*IF(O$73=".", 1, (O116/O115)^(('Summary, PPI''s'!$O116+'Summary, PPI''s'!$O115)/('Predicted PPIs'!V116+'Predicted PPIs'!V115)))*IF(P$73=".", 1, (P116/P115)^(('Summary, PPI''s'!$P116+'Summary, PPI''s'!$P115)/('Predicted PPIs'!V116+'Predicted PPIs'!V115)))</f>
        <v>#VALUE!</v>
      </c>
      <c r="AE116" s="4" t="e">
        <f>AE115*IF(E$94=".", 1, (E116/E115)^(('Summary, PPI''s'!$E116+'Summary, PPI''s'!$E115)/('Predicted PPIs'!W116+'Predicted PPIs'!W115)))*IF(F$94=".", 1, (F116/F115)^(('Summary, PPI''s'!$F116+'Summary, PPI''s'!$F115)/('Predicted PPIs'!W116+'Predicted PPIs'!W115)))*IF(G$94=".", 1, (G116/G115)^(('Summary, PPI''s'!$G116+'Summary, PPI''s'!$G115)/('Predicted PPIs'!W116+'Predicted PPIs'!W115)))*IF(H$94=".", 1, (H116/H115)^(('Summary, PPI''s'!$H116+'Summary, PPI''s'!$H115)/('Predicted PPIs'!W116+'Predicted PPIs'!W115)))*IF(I$94=".", 1, (I116/I115)^(('Summary, PPI''s'!$I116+'Summary, PPI''s'!$I115)/('Predicted PPIs'!W116+'Predicted PPIs'!W115)))*IF(J$94=".", 1, (J116/J115)^(('Summary, PPI''s'!$J116+'Summary, PPI''s'!$J115)/('Predicted PPIs'!W116+'Predicted PPIs'!W115)))*IF(K$94=".", 1, (K116/K115)^(('Summary, PPI''s'!$K116+'Summary, PPI''s'!$K115)/('Predicted PPIs'!W116+'Predicted PPIs'!W115)))*IF(L$94=".", 1, (L116/L115)^(('Summary, PPI''s'!$L116+'Summary, PPI''s'!$L115)/('Predicted PPIs'!W116+'Predicted PPIs'!W115)))*IF(M$94=".", 1, (M116/M115)^(('Summary, PPI''s'!$M116+'Summary, PPI''s'!$M115)/('Predicted PPIs'!W116+'Predicted PPIs'!W115)))*IF(B$94=".", 1, (B116/B115)^(('Summary, PPI''s'!$B116+'Summary, PPI''s'!$B115)/('Predicted PPIs'!W116+'Predicted PPIs'!W115)))*IF(C$94=".", 1, (C116/C115)^(('Summary, PPI''s'!$C116+'Summary, PPI''s'!$C115)/('Predicted PPIs'!W116+'Predicted PPIs'!W115)))*IF(D$94=".", 1, (D116/D115)^(('Summary, PPI''s'!$D116+'Summary, PPI''s'!$D115)/('Predicted PPIs'!W116+'Predicted PPIs'!W115)))*IF(N$94=".", 1, (N116/N115)^(('Summary, PPI''s'!$N116+'Summary, PPI''s'!$N115)/('Predicted PPIs'!W116+'Predicted PPIs'!W115)))*IF(O$94=".", 1, (O116/O115)^(('Summary, PPI''s'!$O116+'Summary, PPI''s'!$O115)/('Predicted PPIs'!W116+'Predicted PPIs'!W115)))*IF(P$94=".", 1, (P116/P115)^(('Summary, PPI''s'!$P116+'Summary, PPI''s'!$P115)/('Predicted PPIs'!W116+'Predicted PPIs'!W115)))</f>
        <v>#VALUE!</v>
      </c>
      <c r="AF116" s="4">
        <f>AF115*IF(E$123=".", 1, (E116/E115)^(('Summary, PPI''s'!$E116+'Summary, PPI''s'!$E115)/('Predicted PPIs'!X116+'Predicted PPIs'!X115)))*IF(F$123=".", 1, (F116/F115)^(('Summary, PPI''s'!$F116+'Summary, PPI''s'!$F115)/('Predicted PPIs'!X116+'Predicted PPIs'!X115)))*IF(G$123=".", 1, (G116/G115)^(('Summary, PPI''s'!$G116+'Summary, PPI''s'!$G115)/('Predicted PPIs'!X116+'Predicted PPIs'!X115)))*IF(H$123=".", 1, (H116/H115)^(('Summary, PPI''s'!$H116+'Summary, PPI''s'!$H115)/('Predicted PPIs'!X116+'Predicted PPIs'!X115)))*IF(I$123=".", 1, (I116/I115)^(('Summary, PPI''s'!$I116+'Summary, PPI''s'!$I115)/('Predicted PPIs'!X116+'Predicted PPIs'!X115)))*IF(J$123=".", 1, (J116/J115)^(('Summary, PPI''s'!$J116+'Summary, PPI''s'!$J115)/('Predicted PPIs'!X116+'Predicted PPIs'!X115)))*IF(K$123=".", 1, (K116/K115)^(('Summary, PPI''s'!$K116+'Summary, PPI''s'!$K115)/('Predicted PPIs'!X116+'Predicted PPIs'!X115)))*IF(L$123=".", 1, (L116/L115)^(('Summary, PPI''s'!$L116+'Summary, PPI''s'!$L115)/('Predicted PPIs'!X116+'Predicted PPIs'!X115)))*IF(M$123=".", 1, (M116/M115)^(('Summary, PPI''s'!$M116+'Summary, PPI''s'!$M115)/('Predicted PPIs'!X116+'Predicted PPIs'!X115)))*IF(B$123=".", 1, (B116/B115)^(('Summary, PPI''s'!$B116+'Summary, PPI''s'!$B115)/('Predicted PPIs'!X116+'Predicted PPIs'!X115)))*IF(C$123=".", 1, (C116/C115)^(('Summary, PPI''s'!$C116+'Summary, PPI''s'!$C115)/('Predicted PPIs'!X116+'Predicted PPIs'!X115)))*IF(D$123=".", 1, (D116/D115)^(('Summary, PPI''s'!$D116+'Summary, PPI''s'!$D115)/('Predicted PPIs'!X116+'Predicted PPIs'!X115)))*IF(N$123=".", 1, (N116/N115)^(('Summary, PPI''s'!$N116+'Summary, PPI''s'!$N115)/('Predicted PPIs'!X116+'Predicted PPIs'!X115)))*IF(O$123=".", 1, (O116/O115)^(('Summary, PPI''s'!$O116+'Summary, PPI''s'!$O115)/('Predicted PPIs'!X116+'Predicted PPIs'!X115)))*IF(P$123=".", 1, (P116/P115)^(('Summary, PPI''s'!$P116+'Summary, PPI''s'!$P115)/('Predicted PPIs'!X116+'Predicted PPIs'!X115)))</f>
        <v>2.2385616496366039</v>
      </c>
      <c r="AH116" s="13">
        <f t="shared" si="212"/>
        <v>3.1967934555131281</v>
      </c>
      <c r="AJ116" s="4">
        <f t="shared" si="207"/>
        <v>19.753107588756205</v>
      </c>
      <c r="AK116" s="4">
        <f t="shared" si="191"/>
        <v>-0.43717148965813124</v>
      </c>
      <c r="AL116" s="4">
        <f t="shared" si="192"/>
        <v>-1.4975611799847723</v>
      </c>
      <c r="AM116" s="4">
        <f t="shared" si="193"/>
        <v>-0.23300500295264101</v>
      </c>
      <c r="AN116" s="4">
        <f t="shared" si="176"/>
        <v>26.341543720892314</v>
      </c>
      <c r="AO116" s="4">
        <v>5</v>
      </c>
      <c r="AP116" s="4">
        <f t="shared" si="177"/>
        <v>-0.46256684491978617</v>
      </c>
      <c r="AQ116" s="4">
        <f t="shared" si="178"/>
        <v>-0.87446524064171083</v>
      </c>
      <c r="AR116" s="4">
        <f t="shared" si="210"/>
        <v>-2.0563446907528362E-5</v>
      </c>
      <c r="AS116" s="4">
        <f t="shared" si="208"/>
        <v>-4.2270180535380779E-2</v>
      </c>
      <c r="AT116" s="4">
        <f t="shared" si="194"/>
        <v>4.5177661835748788</v>
      </c>
      <c r="AU116" s="4">
        <f t="shared" si="195"/>
        <v>7.4390541062801896</v>
      </c>
      <c r="AV116" s="4">
        <f t="shared" si="196"/>
        <v>5.7857149758454094</v>
      </c>
      <c r="AW116" s="4">
        <f t="shared" si="197"/>
        <v>3.2352376811594215</v>
      </c>
      <c r="AX116" s="4">
        <f t="shared" si="198"/>
        <v>4.3033061013734786</v>
      </c>
      <c r="AY116" s="4">
        <f t="shared" si="199"/>
        <v>5.060131400966184</v>
      </c>
      <c r="AZ116" s="4">
        <f t="shared" si="200"/>
        <v>1.7296396135265704</v>
      </c>
      <c r="BA116" s="4">
        <f t="shared" si="201"/>
        <v>4.6854328502415434</v>
      </c>
      <c r="BB116" s="4">
        <f t="shared" si="202"/>
        <v>26.799520939238015</v>
      </c>
      <c r="BC116" s="4">
        <f t="shared" si="203"/>
        <v>4.3918946859903389</v>
      </c>
      <c r="BD116" s="5">
        <f>'[2]Ordinary Experience'!$AD$310</f>
        <v>100.6</v>
      </c>
      <c r="BE116" s="5">
        <f>'[2]Ordinary Experience'!$AC$310</f>
        <v>0.77891112890707304</v>
      </c>
      <c r="BG116" s="4">
        <f t="shared" si="172"/>
        <v>4.5378003546538084</v>
      </c>
      <c r="BI116" s="4">
        <f>BI$13*'[2]Ordinary Experience'!$D$310/'[2]Ordinary Experience'!$D$413</f>
        <v>87173965.159336641</v>
      </c>
      <c r="BJ116" s="4">
        <f>'[2]Ordinary Experience'!$E$310</f>
        <v>32.801918951785417</v>
      </c>
      <c r="BL116" s="4">
        <f t="shared" si="211"/>
        <v>19.545079498907693</v>
      </c>
      <c r="BM116" s="4">
        <f t="shared" si="153"/>
        <v>-8.3052739702866862E-3</v>
      </c>
      <c r="BO116" s="4" t="str">
        <f>IF(OR('Summary, hourly ad costs'!R116=-9999,'Summary, PPI''s'!R116="."),".",(('Summary, hourly ad costs'!B116/'Summary, hourly ad costs'!R116)*100/('Summary, hourly ad costs'!B$11/'Summary, hourly ad costs'!R$11))/('Summary, PPI''s'!R116))</f>
        <v>.</v>
      </c>
      <c r="BP116" s="4" t="str">
        <f>IF(OR('Summary, hourly ad costs'!S116=-9999,'Summary, PPI''s'!S116="."),".",(('Summary, hourly ad costs'!C116/'Summary, hourly ad costs'!S116)*100/('Summary, hourly ad costs'!C$11/'Summary, hourly ad costs'!S$11))/('Summary, PPI''s'!S116))</f>
        <v>.</v>
      </c>
      <c r="BQ116" s="4" t="str">
        <f>IF(OR('Summary, hourly ad costs'!T116=-9999,'Summary, PPI''s'!T116="."),".",(('Summary, hourly ad costs'!D116/'Summary, hourly ad costs'!T116)*100/('Summary, hourly ad costs'!D$11/'Summary, hourly ad costs'!T$11))/('Summary, PPI''s'!T116))</f>
        <v>.</v>
      </c>
      <c r="BR116" s="4" t="str">
        <f>IF(OR('Summary, hourly ad costs'!U116=-9999,'Summary, PPI''s'!U116="."),".",(('Summary, hourly ad costs'!E116/'Summary, hourly ad costs'!U116)*100/('Summary, hourly ad costs'!E$11/'Summary, hourly ad costs'!U$11))/('Summary, PPI''s'!U116))</f>
        <v>.</v>
      </c>
      <c r="BS116" s="4" t="str">
        <f>IF(OR('Summary, hourly ad costs'!V116=-9999,'Summary, PPI''s'!V116="."),".",(('Summary, hourly ad costs'!F116/'Summary, hourly ad costs'!V116)*100/('Summary, hourly ad costs'!F$11/'Summary, hourly ad costs'!V$11))/('Summary, PPI''s'!V116))</f>
        <v>.</v>
      </c>
      <c r="BT116" s="4" t="str">
        <f>IF(OR('Summary, hourly ad costs'!W116=-9999,'Summary, PPI''s'!W116="."),".",(('Summary, hourly ad costs'!G116/'Summary, hourly ad costs'!W116)*100/('Summary, hourly ad costs'!G$11/'Summary, hourly ad costs'!W$11))/('Summary, PPI''s'!W116))</f>
        <v>.</v>
      </c>
      <c r="BU116" s="4" t="str">
        <f>IF(OR('Summary, hourly ad costs'!X116=-9999,'Summary, PPI''s'!X116="."),".",(('Summary, hourly ad costs'!H116/'Summary, hourly ad costs'!X116)*100/('Summary, hourly ad costs'!H$11/'Summary, hourly ad costs'!X$11))/('Summary, PPI''s'!X116))</f>
        <v>.</v>
      </c>
      <c r="BV116" s="4" t="str">
        <f>IF(OR('Summary, hourly ad costs'!Y116=-9999,'Summary, PPI''s'!Y116="."),".",(('Summary, hourly ad costs'!I116/'Summary, hourly ad costs'!Y116)*100/('Summary, hourly ad costs'!I$11/'Summary, hourly ad costs'!Y$11))/('Summary, PPI''s'!Y116))</f>
        <v>.</v>
      </c>
      <c r="BW116" s="4" t="str">
        <f>IF(OR('Summary, hourly ad costs'!Z116=-9999,'Summary, PPI''s'!Z116="."),".",(('Summary, hourly ad costs'!J116/'Summary, hourly ad costs'!Z116)*100/('Summary, hourly ad costs'!J$11/'Summary, hourly ad costs'!Z$11))/('Summary, PPI''s'!Z116))</f>
        <v>.</v>
      </c>
      <c r="BX116" s="4" t="str">
        <f>IF(OR('Summary, hourly ad costs'!AA116=-9999,'Summary, PPI''s'!AA116="."),".",(('Summary, hourly ad costs'!K116/'Summary, hourly ad costs'!AA116)*100/('Summary, hourly ad costs'!K$11/'Summary, hourly ad costs'!AA$11))/('Summary, PPI''s'!AA116))</f>
        <v>.</v>
      </c>
      <c r="BY116" s="4" t="str">
        <f>IF(OR('Summary, hourly ad costs'!AB116=-9999,'Summary, PPI''s'!AB116="."),".",(('Summary, hourly ad costs'!L116/'Summary, hourly ad costs'!AB116)*100/('Summary, hourly ad costs'!L$11/'Summary, hourly ad costs'!AB$11))/('Summary, PPI''s'!AB116))</f>
        <v>.</v>
      </c>
      <c r="BZ116" s="4" t="str">
        <f>IF(OR('Summary, hourly ad costs'!AC116=-9999,'Summary, PPI''s'!AC116="."),".",(('Summary, hourly ad costs'!M116/'Summary, hourly ad costs'!AC116)*100/('Summary, hourly ad costs'!M$11/'Summary, hourly ad costs'!AC$11))/('Summary, PPI''s'!AC116))</f>
        <v>.</v>
      </c>
      <c r="CA116" s="4" t="str">
        <f>IF(OR('Summary, hourly ad costs'!AD116=-9999,'Summary, PPI''s'!AD116="."),".",(('Summary, hourly ad costs'!N116/'Summary, hourly ad costs'!AD116)*100/('Summary, hourly ad costs'!N$11/'Summary, hourly ad costs'!AD$11))/('Summary, PPI''s'!AD116))</f>
        <v>.</v>
      </c>
      <c r="CB116" s="4" t="str">
        <f>IF(OR('Summary, hourly ad costs'!AE116=-9999,'Summary, PPI''s'!AE116="."),".",(('Summary, hourly ad costs'!O116/'Summary, hourly ad costs'!AE116)*100/('Summary, hourly ad costs'!O$11/'Summary, hourly ad costs'!AE$11))/('Summary, PPI''s'!AE116))</f>
        <v>.</v>
      </c>
      <c r="CC116" s="4" t="str">
        <f>IF(OR('Summary, hourly ad costs'!AF116=-9999,'Summary, PPI''s'!AF116="."),".",(('Summary, hourly ad costs'!P116/'Summary, hourly ad costs'!AF116)*100/('Summary, hourly ad costs'!P$11/'Summary, hourly ad costs'!AF$11))/('Summary, PPI''s'!AF116))</f>
        <v>.</v>
      </c>
      <c r="CE116" s="4">
        <f t="shared" si="183"/>
        <v>-3.9762252907677917E-2</v>
      </c>
      <c r="CF116" s="4" t="str">
        <f t="shared" si="184"/>
        <v>.</v>
      </c>
      <c r="CG116" s="4" t="str">
        <f t="shared" si="185"/>
        <v>.</v>
      </c>
      <c r="CH116" s="4">
        <f t="shared" si="145"/>
        <v>-3.1951993369078162E-2</v>
      </c>
      <c r="CI116" s="4">
        <f t="shared" si="145"/>
        <v>-3.4584617341280703E-2</v>
      </c>
      <c r="CJ116" s="4" t="str">
        <f t="shared" si="209"/>
        <v>.</v>
      </c>
      <c r="CK116" s="4">
        <f t="shared" si="149"/>
        <v>5.0082240013288549E-3</v>
      </c>
      <c r="CL116" s="4">
        <f t="shared" si="234"/>
        <v>-2.4455423844294381E-2</v>
      </c>
      <c r="CM116" s="4">
        <f t="shared" si="234"/>
        <v>6.5391003505768756E-3</v>
      </c>
      <c r="CN116" s="4">
        <f t="shared" si="204"/>
        <v>-3.9063824182718754E-2</v>
      </c>
      <c r="CO116" s="4">
        <f t="shared" si="180"/>
        <v>-6.0418763596662456E-2</v>
      </c>
      <c r="CP116" s="4">
        <f t="shared" si="180"/>
        <v>0.21288274929381659</v>
      </c>
      <c r="CQ116" s="4" t="str">
        <f t="shared" si="230"/>
        <v>.</v>
      </c>
      <c r="CR116" s="4" t="str">
        <f t="shared" si="231"/>
        <v>.</v>
      </c>
      <c r="CS116" s="4" t="str">
        <f t="shared" si="232"/>
        <v>.</v>
      </c>
      <c r="CU116" s="5">
        <f>IF(CU115=".", ".", IF('Summary, PPI''s'!R116=".",IF(OR('Summary, hourly ad costs'!R116=-9999,'Summary, hourly ad costs'!R116=0), ".", 'Predicted PPIs'!CU115*('Summary, hourly ad costs'!B116/'Summary, hourly ad costs'!R116)/('Summary, hourly ad costs'!B115/'Summary, hourly ad costs'!R115)/(1-CE115)), 'Summary, PPI''s'!R116))</f>
        <v>23.009828705735185</v>
      </c>
      <c r="CV116" s="5" t="str">
        <f>IF(CV115=".", ".", IF('Summary, PPI''s'!S116=".",IF(OR('Summary, hourly ad costs'!S116=-9999,'Summary, hourly ad costs'!S116=0), ".", 'Predicted PPIs'!CV115*('Summary, hourly ad costs'!C116/'Summary, hourly ad costs'!S116)/('Summary, hourly ad costs'!C115/'Summary, hourly ad costs'!S115)/(1-CF115)), 'Summary, PPI''s'!S116))</f>
        <v>.</v>
      </c>
      <c r="CW116" s="5" t="str">
        <f>IF(CW115=".", ".", IF('Summary, PPI''s'!T116=".",IF(OR('Summary, hourly ad costs'!T116=-9999,'Summary, hourly ad costs'!T116=0), ".", 'Predicted PPIs'!CW115*('Summary, hourly ad costs'!D116/'Summary, hourly ad costs'!T116)/('Summary, hourly ad costs'!D115/'Summary, hourly ad costs'!T115)/(1-CG115)), 'Summary, PPI''s'!T116))</f>
        <v>.</v>
      </c>
      <c r="CX116" s="5">
        <f>IF(CX115=".", ".", IF('Summary, PPI''s'!U116=".",IF(OR('Summary, hourly ad costs'!U116=-9999,'Summary, hourly ad costs'!U116=0), ".", 'Predicted PPIs'!CX115*('Summary, hourly ad costs'!E116/'Summary, hourly ad costs'!U116)/('Summary, hourly ad costs'!E115/'Summary, hourly ad costs'!U115)/(1-CH115)), 'Summary, PPI''s'!U116))</f>
        <v>1.0919407738966957</v>
      </c>
      <c r="CY116" s="5">
        <f>IF(CY115=".", ".", IF('Summary, PPI''s'!V116=".",IF(OR('Summary, hourly ad costs'!V116=-9999,'Summary, hourly ad costs'!V116=0), ".", 'Predicted PPIs'!CY115*('Summary, hourly ad costs'!F116/'Summary, hourly ad costs'!V116)/('Summary, hourly ad costs'!F115/'Summary, hourly ad costs'!V115)/(1-CI115)), 'Summary, PPI''s'!V116))</f>
        <v>1.0349149589875524</v>
      </c>
      <c r="CZ116" s="5" t="str">
        <f>IF(CZ115=".", ".", IF('Summary, PPI''s'!W116=".",IF(OR('Summary, hourly ad costs'!W116=-9999,'Summary, hourly ad costs'!W116=0), ".", 'Predicted PPIs'!CZ115*('Summary, hourly ad costs'!G116/'Summary, hourly ad costs'!W116)/('Summary, hourly ad costs'!G115/'Summary, hourly ad costs'!W115)/(1-CJ115)), 'Summary, PPI''s'!W116))</f>
        <v>.</v>
      </c>
      <c r="DA116" s="5">
        <f>IF(DA115=".", ".", IF('Summary, PPI''s'!X116=".",IF(OR('Summary, hourly ad costs'!X116=-9999,'Summary, hourly ad costs'!X116=0), ".", 'Predicted PPIs'!DA115*('Summary, hourly ad costs'!H116/'Summary, hourly ad costs'!X116)/('Summary, hourly ad costs'!H115/'Summary, hourly ad costs'!X115)/(1-CK115)), 'Summary, PPI''s'!X116))</f>
        <v>1.1538438657631942</v>
      </c>
      <c r="DB116" s="5" t="str">
        <f>IF(DB115=".", ".", IF('Summary, PPI''s'!Y116=".",IF(OR('Summary, hourly ad costs'!Y116=-9999,'Summary, hourly ad costs'!Y116=0), ".", 'Predicted PPIs'!DB115*('Summary, hourly ad costs'!I116/'Summary, hourly ad costs'!Y116)/('Summary, hourly ad costs'!I115/'Summary, hourly ad costs'!Y115)/(1-CL115)), 'Summary, PPI''s'!Y116))</f>
        <v>.</v>
      </c>
      <c r="DC116" s="5" t="str">
        <f>IF(DC115=".", ".", IF('Summary, PPI''s'!Z116=".",IF(OR('Summary, hourly ad costs'!Z116=-9999,'Summary, hourly ad costs'!Z116=0), ".", 'Predicted PPIs'!DC115*('Summary, hourly ad costs'!J116/'Summary, hourly ad costs'!Z116)/('Summary, hourly ad costs'!J115/'Summary, hourly ad costs'!Z115)/(1-CM115)), 'Summary, PPI''s'!Z116))</f>
        <v>.</v>
      </c>
      <c r="DD116" s="5" t="str">
        <f>IF(DD115=".", ".", IF('Summary, PPI''s'!AA116=".",IF(OR('Summary, hourly ad costs'!AA116=-9999,'Summary, hourly ad costs'!AA116=0), ".", 'Predicted PPIs'!DD115*('Summary, hourly ad costs'!K116/'Summary, hourly ad costs'!AA116)/('Summary, hourly ad costs'!K115/'Summary, hourly ad costs'!AA115)/(1-CN115)), 'Summary, PPI''s'!AA116))</f>
        <v>.</v>
      </c>
      <c r="DE116" s="5" t="str">
        <f>IF(DE115=".", ".", IF('Summary, PPI''s'!AB116=".",IF(OR('Summary, hourly ad costs'!AB116=-9999,'Summary, hourly ad costs'!AB116=0), ".", 'Predicted PPIs'!DE115*('Summary, hourly ad costs'!L116/'Summary, hourly ad costs'!AB116)/('Summary, hourly ad costs'!L115/'Summary, hourly ad costs'!AB115)/(1-CO115)), 'Summary, PPI''s'!AB116))</f>
        <v>.</v>
      </c>
      <c r="DF116" s="5" t="str">
        <f>IF(DF115=".", ".", IF('Summary, PPI''s'!AC116=".",IF(OR('Summary, hourly ad costs'!AC116=-9999,'Summary, hourly ad costs'!AC116=0), ".", 'Predicted PPIs'!DF115*('Summary, hourly ad costs'!M116/'Summary, hourly ad costs'!AC116)/('Summary, hourly ad costs'!M115/'Summary, hourly ad costs'!AC115)/(1-CP115)), 'Summary, PPI''s'!AC116))</f>
        <v>.</v>
      </c>
      <c r="DG116" s="5" t="str">
        <f>IF(DG115=".", ".", IF('Summary, PPI''s'!AD116=".",IF(OR('Summary, hourly ad costs'!AD116=-9999,'Summary, hourly ad costs'!AD116=0), ".", 'Predicted PPIs'!DG115*('Summary, hourly ad costs'!N116/'Summary, hourly ad costs'!AD116)/('Summary, hourly ad costs'!N115/'Summary, hourly ad costs'!AD115)/(1-CQ115)), 'Summary, PPI''s'!AD116))</f>
        <v>.</v>
      </c>
      <c r="DH116" s="5" t="str">
        <f>IF(DH115=".", ".", IF('Summary, PPI''s'!AE116=".",IF(OR('Summary, hourly ad costs'!AE116=-9999,'Summary, hourly ad costs'!AE116=0), ".", 'Predicted PPIs'!DH115*('Summary, hourly ad costs'!O116/'Summary, hourly ad costs'!AE116)/('Summary, hourly ad costs'!O115/'Summary, hourly ad costs'!AE115)/(1-CR115)), 'Summary, PPI''s'!AE116))</f>
        <v>.</v>
      </c>
      <c r="DI116" s="5" t="str">
        <f>IF(DI115=".", ".", IF('Summary, PPI''s'!AF116=".",IF(OR('Summary, hourly ad costs'!AF116=-9999,'Summary, hourly ad costs'!AF116=0), ".", 'Predicted PPIs'!DI115*('Summary, hourly ad costs'!P116/'Summary, hourly ad costs'!AF116)/('Summary, hourly ad costs'!P115/'Summary, hourly ad costs'!AF115)/(1-CS115)), 'Summary, PPI''s'!AF116))</f>
        <v>.</v>
      </c>
      <c r="DK116" s="4">
        <f t="shared" si="205"/>
        <v>0.9960049122807012</v>
      </c>
      <c r="DM116" s="5">
        <f t="shared" si="186"/>
        <v>-6.0212803029904838E-2</v>
      </c>
      <c r="DN116" s="4">
        <f t="shared" si="187"/>
        <v>-1.8035907197435024E-2</v>
      </c>
      <c r="DO116" s="4">
        <f t="shared" si="233"/>
        <v>-2.2901611913714523E-2</v>
      </c>
      <c r="DP116" s="5">
        <f t="shared" si="188"/>
        <v>8.8430649268200767E-3</v>
      </c>
      <c r="DQ116" s="5">
        <f t="shared" si="189"/>
        <v>1.0984699072098758E-2</v>
      </c>
      <c r="DR116" s="4">
        <f t="shared" si="146"/>
        <v>-1.2437921612537761E-2</v>
      </c>
      <c r="DS116" s="5">
        <f t="shared" si="190"/>
        <v>2.7942136999363765E-3</v>
      </c>
      <c r="DT116" s="4">
        <f t="shared" si="206"/>
        <v>1.664050481107698E-2</v>
      </c>
      <c r="DU116" s="4">
        <f t="shared" si="171"/>
        <v>-3.4544267001611111E-2</v>
      </c>
      <c r="DV116" s="4">
        <f t="shared" si="235"/>
        <v>1.161887798031287E-3</v>
      </c>
      <c r="DW116" s="4">
        <f t="shared" si="182"/>
        <v>6.076975274199873E-3</v>
      </c>
      <c r="DX116" s="4">
        <f t="shared" si="182"/>
        <v>-0.18715515152015391</v>
      </c>
      <c r="DY116" s="4">
        <f t="shared" si="228"/>
        <v>-2.1244548720653216E-2</v>
      </c>
      <c r="DZ116" s="4">
        <f t="shared" si="236"/>
        <v>-1.4965611499198063E-2</v>
      </c>
      <c r="EA116" s="4">
        <f t="shared" si="229"/>
        <v>-1.2659964101988211E-2</v>
      </c>
      <c r="EC116" s="1">
        <f t="shared" si="213"/>
        <v>23.009828705735185</v>
      </c>
      <c r="ED116" s="1">
        <f t="shared" si="214"/>
        <v>0.90840059227801828</v>
      </c>
      <c r="EE116" s="1">
        <f t="shared" si="215"/>
        <v>0.50210852452135391</v>
      </c>
      <c r="EF116" s="1">
        <f t="shared" si="216"/>
        <v>1.0919407738966957</v>
      </c>
      <c r="EG116" s="1">
        <f t="shared" si="217"/>
        <v>1.0349149589875524</v>
      </c>
      <c r="EH116" s="1">
        <f t="shared" si="218"/>
        <v>0.79375374161574619</v>
      </c>
      <c r="EI116" s="1">
        <f t="shared" si="219"/>
        <v>1.1538438657631942</v>
      </c>
      <c r="EJ116" s="1">
        <f t="shared" si="220"/>
        <v>1.3597702070772653</v>
      </c>
      <c r="EK116" s="1">
        <f t="shared" si="221"/>
        <v>1.6760527828142511</v>
      </c>
      <c r="EL116" s="1">
        <f t="shared" si="222"/>
        <v>0.82501068361944174</v>
      </c>
      <c r="EM116" s="1">
        <f t="shared" si="223"/>
        <v>3.1018161104834956E-2</v>
      </c>
      <c r="EN116" s="1">
        <f t="shared" si="224"/>
        <v>0.60247623801244254</v>
      </c>
      <c r="EO116" s="1">
        <f t="shared" si="225"/>
        <v>0.38625113059662192</v>
      </c>
      <c r="EP116" s="1">
        <f t="shared" si="226"/>
        <v>0.73250904125920913</v>
      </c>
      <c r="EQ116" s="1">
        <f t="shared" si="227"/>
        <v>0.58864271977151339</v>
      </c>
      <c r="ES116" s="1">
        <f>IF(EF$26=".", 0, 'Summary, PPI''s'!E116)+IF(EG$26=".", 0, 'Summary, PPI''s'!F116)+IF(EH$26=".", 0, 'Summary, PPI''s'!G116)+IF(EI$26=".", 0, 'Summary, PPI''s'!H116)+IF(EJ$26=".", 0, 'Summary, PPI''s'!I116)+IF(EK$26=".", 0, 'Summary, PPI''s'!J116)+IF(EL$26=".", 0, 'Summary, PPI''s'!K116)+IF(EM$26=".", 0, 'Summary, PPI''s'!L116)+IF(EN$26=".", 0, 'Summary, PPI''s'!M116)+IF(EC$26=".", 0, 'Summary, PPI''s'!B116)+IF(ED$26=".", 0, 'Summary, PPI''s'!C116)+IF(EE$26=".", 0, 'Summary, PPI''s'!D116)+IF(EO$26=".", 0, 'Summary, PPI''s'!N116)+IF(EP$26=".", 0, 'Summary, PPI''s'!O116)+IF(EQ$26=".", 0, 'Summary, PPI''s'!P116)</f>
        <v>598311.3694024228</v>
      </c>
      <c r="ET116" s="1">
        <f>'Summary, hourly ad costs'!E116+'Summary, hourly ad costs'!F116+'Summary, hourly ad costs'!H116+'Summary, hourly ad costs'!I116+'Summary, hourly ad costs'!J116+'Summary, hourly ad costs'!K116+'Summary, hourly ad costs'!L116+'Summary, hourly ad costs'!M116+'Summary, hourly ad costs'!B116</f>
        <v>362776.7121349622</v>
      </c>
      <c r="EV116" s="13">
        <f>EV115*IF(EF$26=".", 1, (EF116/EF115)^(('Summary, PPI''s'!$E116+'Summary, PPI''s'!$E115)/('Predicted PPIs'!ES116+'Predicted PPIs'!ES115)))*IF(EG$26=".", 1, (EG116/EG115)^(('Summary, PPI''s'!$F116+'Summary, PPI''s'!$F115)/('Predicted PPIs'!ES116+'Predicted PPIs'!ES115)))*IF(EH$26=".", 1, (EH116/EH115)^(('Summary, PPI''s'!$G116+'Summary, PPI''s'!$G115)/('Predicted PPIs'!ES116+'Predicted PPIs'!ES115)))*IF(EI$26=".", 1, (EI116/EI115)^(('Summary, PPI''s'!$H116+'Summary, PPI''s'!$H115)/('Predicted PPIs'!ES116+'Predicted PPIs'!ES115)))*IF(EJ$26=".", 1, (EJ116/EJ115)^(('Summary, PPI''s'!$I116+'Summary, PPI''s'!$I115)/('Predicted PPIs'!ES116+'Predicted PPIs'!ES115)))*IF(EK$26=".", 1, (EK116/EK115)^(('Summary, PPI''s'!$J116+'Summary, PPI''s'!$J115)/('Predicted PPIs'!ES116+'Predicted PPIs'!ES115)))*IF(EL$26=".", 1, (EL116/EL115)^(('Summary, PPI''s'!$K116+'Summary, PPI''s'!$K115)/('Predicted PPIs'!ES116+'Predicted PPIs'!ES115)))*IF(EM$26=".", 1, (EM116/EM115)^(('Summary, PPI''s'!$L116+'Summary, PPI''s'!$L115)/('Predicted PPIs'!ES116+'Predicted PPIs'!ES115)))*IF(EN$26=".", 1, (EN116/EN115)^(('Summary, PPI''s'!$M116+'Summary, PPI''s'!$M115)/('Predicted PPIs'!ES116+'Predicted PPIs'!ES115)))*IF(EC$26=".", 1, (EC116/EC115)^(('Summary, PPI''s'!$B116+'Summary, PPI''s'!$B115)/('Predicted PPIs'!ES116+'Predicted PPIs'!ES115)))*IF(ED$26=".", 1, (ED116/ED115)^(('Summary, PPI''s'!$C116+'Summary, PPI''s'!$C115)/('Predicted PPIs'!ES116+'Predicted PPIs'!ES115)))*IF(EE$26=".", 1, (EE116/EE115)^(('Summary, PPI''s'!$D116+'Summary, PPI''s'!$D115)/('Predicted PPIs'!ES116+'Predicted PPIs'!ES115)))*IF(EO$26=".", 1, (EO116/EO115)^(('Summary, PPI''s'!$N116+'Summary, PPI''s'!$N115)/('Predicted PPIs'!ES116+'Predicted PPIs'!ES115)))*IF(EP$26=".", 1, (EP116/EP115)^(('Summary, PPI''s'!$O116+'Summary, PPI''s'!$O115)/('Predicted PPIs'!ES116+'Predicted PPIs'!ES115)))*IF(EQ$26=".", 1, (EQ116/EQ115)^(('Summary, PPI''s'!$P116+'Summary, PPI''s'!$P115)/('Predicted PPIs'!ES116+'Predicted PPIs'!ES115)))</f>
        <v>1.5444480105034644</v>
      </c>
      <c r="EW116" s="13">
        <f>EW115*IF(EF$26=".", 1, (EF116/EF115)^(('Summary, PPI''s'!$E116+'Summary, PPI''s'!$E115)/('Predicted PPIs'!ET116+'Predicted PPIs'!ET115)))*IF(EG$26=".", 1, (EG116/EG115)^(('Summary, PPI''s'!$F116+'Summary, PPI''s'!$F115)/('Predicted PPIs'!ET116+'Predicted PPIs'!ET115)))*IF(EH$26=".", 1, (EH116/EH115)^(('Summary, PPI''s'!$G116+'Summary, PPI''s'!$G115)/('Predicted PPIs'!ET116+'Predicted PPIs'!ET115)))*IF(EK$26=".", 1, (EK116/EK115)^(('Summary, PPI''s'!$J116+'Summary, PPI''s'!$J115)/('Predicted PPIs'!ET116+'Predicted PPIs'!ET115)))*IF(EL$26=".", 1, (EL116/EL115)^(('Summary, PPI''s'!$K116+'Summary, PPI''s'!$K115)/('Predicted PPIs'!ET116+'Predicted PPIs'!ET115)))*IF(EM$26=".", 1, (EM116/EM115)^(('Summary, PPI''s'!$L116+'Summary, PPI''s'!$L115)/('Predicted PPIs'!ET116+'Predicted PPIs'!ET115)))*IF(EN$26=".", 1, (EN116/EN115)^(('Summary, PPI''s'!$M116+'Summary, PPI''s'!$M115)/('Predicted PPIs'!ET116+'Predicted PPIs'!ET115)))*IF(EC$26=".", 1, (EC116/EC115)^(('Summary, PPI''s'!$B116+'Summary, PPI''s'!$B115)/('Predicted PPIs'!ET116+'Predicted PPIs'!ET115)))</f>
        <v>3.5984414714701982</v>
      </c>
      <c r="EY116" s="2"/>
    </row>
    <row r="117" spans="1:155" x14ac:dyDescent="0.3">
      <c r="A117" s="4">
        <v>1906</v>
      </c>
      <c r="B117" s="10">
        <f>IF(B116=".", ".", IF('Summary, PPI''s'!R117=".",IF(OR('Summary, hourly ad costs'!R117=-9999,'Summary, hourly ad costs'!R117=0), ".", 'Predicted PPIs'!B116*('Summary, hourly ad costs'!B117/'Summary, hourly ad costs'!R117)/('Summary, hourly ad costs'!B116/'Summary, hourly ad costs'!R116)), 'Summary, PPI''s'!R117))</f>
        <v>57.796929223712652</v>
      </c>
      <c r="C117" s="10" t="str">
        <f>IF(C116=".", ".", IF('Summary, PPI''s'!S117=".",IF(OR('Summary, hourly ad costs'!S117=-9999,'Summary, hourly ad costs'!S117=0), ".", 'Predicted PPIs'!C116*('Summary, hourly ad costs'!C117/'Summary, hourly ad costs'!S117)/('Summary, hourly ad costs'!C116/'Summary, hourly ad costs'!S116)), 'Summary, PPI''s'!S117))</f>
        <v>.</v>
      </c>
      <c r="D117" s="10" t="str">
        <f>IF(D116=".", ".", IF('Summary, PPI''s'!T117=".",IF(OR('Summary, hourly ad costs'!T117=-9999,'Summary, hourly ad costs'!T117=0), ".", 'Predicted PPIs'!D116*('Summary, hourly ad costs'!D117/'Summary, hourly ad costs'!T117)/('Summary, hourly ad costs'!D116/'Summary, hourly ad costs'!T116)), 'Summary, PPI''s'!T117))</f>
        <v>.</v>
      </c>
      <c r="E117" s="10">
        <f>IF(E116=".", ".", IF('Summary, PPI''s'!U117=".",IF(OR('Summary, hourly ad costs'!U117=-9999,'Summary, hourly ad costs'!U117=0), ".", 'Predicted PPIs'!E116*('Summary, hourly ad costs'!E117/'Summary, hourly ad costs'!U117)/('Summary, hourly ad costs'!E116/'Summary, hourly ad costs'!U116)), 'Summary, PPI''s'!U117))</f>
        <v>0.96134872722208486</v>
      </c>
      <c r="F117" s="10">
        <f>IF(F116=".", ".", IF('Summary, PPI''s'!V117=".",IF(OR('Summary, hourly ad costs'!V117=-9999,'Summary, hourly ad costs'!V117=0), ".", 'Predicted PPIs'!F116*('Summary, hourly ad costs'!F117/'Summary, hourly ad costs'!V117)/('Summary, hourly ad costs'!F116/'Summary, hourly ad costs'!V116)), 'Summary, PPI''s'!V117))</f>
        <v>0.79693551399383789</v>
      </c>
      <c r="G117" s="10" t="str">
        <f>IF(G116=".", ".", IF('Summary, PPI''s'!W117=".",IF(OR('Summary, hourly ad costs'!W117=-9999,'Summary, hourly ad costs'!W117=0), ".", 'Predicted PPIs'!G116*('Summary, hourly ad costs'!G117/'Summary, hourly ad costs'!W117)/('Summary, hourly ad costs'!G116/'Summary, hourly ad costs'!W116)), 'Summary, PPI''s'!W117))</f>
        <v>.</v>
      </c>
      <c r="H117" s="10">
        <f>IF(H116=".", ".", IF('Summary, PPI''s'!X117=".",IF(OR('Summary, hourly ad costs'!X117=-9999,'Summary, hourly ad costs'!X117=0), ".", 'Predicted PPIs'!H116*('Summary, hourly ad costs'!H117/'Summary, hourly ad costs'!X117)/('Summary, hourly ad costs'!H116/'Summary, hourly ad costs'!X116)), 'Summary, PPI''s'!X117))</f>
        <v>0.9015501793013746</v>
      </c>
      <c r="I117" s="10" t="str">
        <f>IF(I116=".", ".", IF('Summary, PPI''s'!Y117=".",IF(OR('Summary, hourly ad costs'!Y117=-9999,'Summary, hourly ad costs'!Y117=0), ".", 'Predicted PPIs'!I116*('Summary, hourly ad costs'!I117/'Summary, hourly ad costs'!Y117)/('Summary, hourly ad costs'!I116/'Summary, hourly ad costs'!Y116)), 'Summary, PPI''s'!Y117))</f>
        <v>.</v>
      </c>
      <c r="J117" s="10" t="str">
        <f>IF(J116=".", ".", IF('Summary, PPI''s'!Z117=".",IF(OR('Summary, hourly ad costs'!Z117=-9999,'Summary, hourly ad costs'!Z117=0), ".", 'Predicted PPIs'!J116*('Summary, hourly ad costs'!J117/'Summary, hourly ad costs'!Z117)/('Summary, hourly ad costs'!J116/'Summary, hourly ad costs'!Z116)), 'Summary, PPI''s'!Z117))</f>
        <v>.</v>
      </c>
      <c r="K117" s="10" t="str">
        <f>IF(K116=".", ".", IF('Summary, PPI''s'!AA117=".",IF(OR('Summary, hourly ad costs'!AA117=-9999,'Summary, hourly ad costs'!AA117=0), ".", 'Predicted PPIs'!K116*('Summary, hourly ad costs'!K117/'Summary, hourly ad costs'!AA117)/('Summary, hourly ad costs'!K116/'Summary, hourly ad costs'!AA116)), 'Summary, PPI''s'!AA117))</f>
        <v>.</v>
      </c>
      <c r="L117" s="10" t="str">
        <f>IF(L116=".", ".", IF('Summary, PPI''s'!AB117=".",IF(OR('Summary, hourly ad costs'!AB117=-9999,'Summary, hourly ad costs'!AB117=0), ".", 'Predicted PPIs'!L116*('Summary, hourly ad costs'!L117/'Summary, hourly ad costs'!AB117)/('Summary, hourly ad costs'!L116/'Summary, hourly ad costs'!AB116)), 'Summary, PPI''s'!AB117))</f>
        <v>.</v>
      </c>
      <c r="M117" s="10" t="str">
        <f>IF(M116=".", ".", IF('Summary, PPI''s'!AC117=".",IF(OR('Summary, hourly ad costs'!AC117=-9999,'Summary, hourly ad costs'!AC117=0), ".", 'Predicted PPIs'!M116*('Summary, hourly ad costs'!M117/'Summary, hourly ad costs'!AC117)/('Summary, hourly ad costs'!M116/'Summary, hourly ad costs'!AC116)), 'Summary, PPI''s'!AC117))</f>
        <v>.</v>
      </c>
      <c r="N117" s="10" t="str">
        <f>IF(N116=".", ".", IF('Summary, PPI''s'!AD117=".",IF(OR('Summary, hourly ad costs'!AD117=-9999,'Summary, hourly ad costs'!AD117=0), ".", 'Predicted PPIs'!N116*('Summary, hourly ad costs'!N117/'Summary, hourly ad costs'!AD117)/('Summary, hourly ad costs'!N116/'Summary, hourly ad costs'!AD116)), 'Summary, PPI''s'!AD117))</f>
        <v>.</v>
      </c>
      <c r="O117" s="10" t="str">
        <f>IF(O116=".", ".", IF('Summary, PPI''s'!AE117=".",IF(OR('Summary, hourly ad costs'!AE117=-9999,'Summary, hourly ad costs'!AE117=0), ".", 'Predicted PPIs'!O116*('Summary, hourly ad costs'!O117/'Summary, hourly ad costs'!AE117)/('Summary, hourly ad costs'!O116/'Summary, hourly ad costs'!AE116)), 'Summary, PPI''s'!AE117))</f>
        <v>.</v>
      </c>
      <c r="P117" s="10" t="str">
        <f>IF(P116=".", ".", IF('Summary, PPI''s'!AF117=".",IF(OR('Summary, hourly ad costs'!AF117=-9999,'Summary, hourly ad costs'!AF117=0), ".", 'Predicted PPIs'!P116*('Summary, hourly ad costs'!P117/'Summary, hourly ad costs'!AF117)/('Summary, hourly ad costs'!P116/'Summary, hourly ad costs'!AF116)), 'Summary, PPI''s'!AF117))</f>
        <v>.</v>
      </c>
      <c r="R117" s="1">
        <f>IF(E$26=".", 0, 'Summary, PPI''s'!E117)+IF(F$26=".", 0, 'Summary, PPI''s'!F117)+IF(G$26=".", 0, 'Summary, PPI''s'!G117)+IF(H$26=".", 0, 'Summary, PPI''s'!H117)+IF(I$26=".", 0, 'Summary, PPI''s'!I117)+IF(J$26=".", 0, 'Summary, PPI''s'!J117)+IF(K$26=".", 0, 'Summary, PPI''s'!K117)+IF(L$26=".", 0, 'Summary, PPI''s'!L117)+IF(M$26=".", 0, 'Summary, PPI''s'!M117)+IF(B$26=".", 0, 'Summary, PPI''s'!B117)+IF(C$26=".", 0, 'Summary, PPI''s'!C117)+IF(D$26=".", 0, 'Summary, PPI''s'!D117)+IF(N$26=".", 0, 'Summary, PPI''s'!N117)+IF(O$26=".", 0, 'Summary, PPI''s'!O117)+IF(P$26=".", 0, 'Summary, PPI''s'!P117)</f>
        <v>563751.7042414943</v>
      </c>
      <c r="S117" s="1">
        <f>IF(E$36=".", 0, 'Summary, PPI''s'!E117)+IF(F$36=".", 0, 'Summary, PPI''s'!F117)+IF(G$36=".", 0, 'Summary, PPI''s'!G117)+IF(H$36=".", 0, 'Summary, PPI''s'!H117)+IF(I$36=".", 0, 'Summary, PPI''s'!I117)+IF(J$36=".", 0, 'Summary, PPI''s'!J117)+IF(K$36=".", 0, 'Summary, PPI''s'!K117)+IF(L$36=".", 0, 'Summary, PPI''s'!L117)+IF(M$36=".", 0, 'Summary, PPI''s'!M117)+IF(B$36=".", 0, 'Summary, PPI''s'!B117)+IF(C$36=".", 0, 'Summary, PPI''s'!C117)+IF(D$36=".", 0, 'Summary, PPI''s'!D117)+IF(N$36=".", 0, 'Summary, PPI''s'!N117)+IF(O$36=".", 0, 'Summary, PPI''s'!O117)+IF(P$36=".", 0, 'Summary, PPI''s'!P117)</f>
        <v>563751.7042414943</v>
      </c>
      <c r="T117" s="1">
        <f>IF(E$46=".", 0, 'Summary, PPI''s'!E117)+IF(F$46=".", 0, 'Summary, PPI''s'!F117)+IF(G$46=".", 0, 'Summary, PPI''s'!G117)+IF(H$46=".", 0, 'Summary, PPI''s'!H117)+IF(I$46=".", 0, 'Summary, PPI''s'!I117)+IF(J$46=".", 0, 'Summary, PPI''s'!J117)+IF(K$46=".", 0, 'Summary, PPI''s'!K117)+IF(L$46=".", 0, 'Summary, PPI''s'!L117)+IF(M$46=".", 0, 'Summary, PPI''s'!M117)+IF(B$46=".", 0, 'Summary, PPI''s'!B117)+IF(C$46=".", 0, 'Summary, PPI''s'!C117)+IF(D$46=".", 0, 'Summary, PPI''s'!D117)+IF(N$46=".", 0, 'Summary, PPI''s'!N117)+IF(O$46=".", 0, 'Summary, PPI''s'!O117)+IF(P$46=".", 0, 'Summary, PPI''s'!P117)</f>
        <v>510127.16152185336</v>
      </c>
      <c r="U117" s="1">
        <f>IF(E$60=".", 0, 'Summary, PPI''s'!E117)+IF(F$60=".", 0, 'Summary, PPI''s'!F117)+IF(G$60=".", 0, 'Summary, PPI''s'!G117)+IF(H$60=".", 0, 'Summary, PPI''s'!H117)+IF(I$60=".", 0, 'Summary, PPI''s'!I117)+IF(J$60=".", 0, 'Summary, PPI''s'!J117)+IF(K$60=".", 0, 'Summary, PPI''s'!K117)+IF(L$60=".", 0, 'Summary, PPI''s'!L117)+IF(M$60=".", 0, 'Summary, PPI''s'!M117)+IF(B$60=".", 0, 'Summary, PPI''s'!B117)+IF(C$60=".", 0, 'Summary, PPI''s'!C117)+IF(D$60=".", 0, 'Summary, PPI''s'!D117)+IF(N$60=".", 0, 'Summary, PPI''s'!N117)+IF(O$60=".", 0, 'Summary, PPI''s'!O117)+IF(P$60=".", 0, 'Summary, PPI''s'!P117)</f>
        <v>490212.73341917834</v>
      </c>
      <c r="V117" s="1">
        <f>IF(E$73=".", 0, 'Summary, PPI''s'!E117)+IF(F$73=".", 0, 'Summary, PPI''s'!F117)+IF(G$73=".", 0, 'Summary, PPI''s'!G117)+IF(H$73=".", 0, 'Summary, PPI''s'!H117)+IF(I$73=".", 0, 'Summary, PPI''s'!I117)+IF(J$73=".", 0, 'Summary, PPI''s'!J117)+IF(K$73=".", 0, 'Summary, PPI''s'!K117)+IF(L$73=".", 0, 'Summary, PPI''s'!L117)+IF(M$73=".", 0, 'Summary, PPI''s'!M117)+IF(B$73=".", 0, 'Summary, PPI''s'!B117)+IF(C$73=".", 0, 'Summary, PPI''s'!C117)+IF(D$73=".", 0, 'Summary, PPI''s'!D117)+IF(N$73=".", 0, 'Summary, PPI''s'!N117)+IF(O$73=".", 0, 'Summary, PPI''s'!O117)+IF(P$73=".", 0, 'Summary, PPI''s'!P117)</f>
        <v>342123.40790259029</v>
      </c>
      <c r="W117" s="1">
        <f>IF(E$94=".",0,'Summary, PPI''s'!E117)+IF(F$94=".",0,'Summary, PPI''s'!F117)+IF(G$94=".",0,'Summary, PPI''s'!G117)+IF(H$94=".",0,'Summary, PPI''s'!H117)+IF(I$94=".",0,'Summary, PPI''s'!I117)+IF(J$94=".",0,'Summary, PPI''s'!J117)+IF(K$94=".",0,'Summary, PPI''s'!K117)+IF(L$94=".",0,'Summary, PPI''s'!L117)+IF(M$94=".",0,'Summary, PPI''s'!M117)+IF(B$94=".",0,'Summary, PPI''s'!B117)+IF(C$94=".",0,'Summary, PPI''s'!C117)+IF(D$94=".",0,'Summary, PPI''s'!D117)+IF(N$94=".",0,'Summary, PPI''s'!N117)+IF(O$94=".",0,'Summary, PPI''s'!O117)+IF(P$94=".",0,'Summary, PPI''s'!P117)</f>
        <v>342123.40790259029</v>
      </c>
      <c r="X117" s="1">
        <f>IF(E$123=".", 0, 'Summary, PPI''s'!E117)+IF(F$123=".", 0, 'Summary, PPI''s'!F117)+IF(G$123=".", 0, 'Summary, PPI''s'!G117)+IF(H$123=".", 0, 'Summary, PPI''s'!H117)+IF(I$123=".", 0, 'Summary, PPI''s'!I117)+IF(J$123=".", 0, 'Summary, PPI''s'!J117)+IF(K$123=".", 0, 'Summary, PPI''s'!K117)+IF(L$123=".", 0, 'Summary, PPI''s'!L117)+IF(M$123=".", 0, 'Summary, PPI''s'!M117)+IF(B$123=".", 0, 'Summary, PPI''s'!B117)+IF(C$123=".", 0, 'Summary, PPI''s'!C117)+IF(D$123=".", 0, 'Summary, PPI''s'!D117)+IF(N$123=".", 0, 'Summary, PPI''s'!N117)+IF(O$123=".", 0, 'Summary, PPI''s'!O117)+IF(P$123=".", 0, 'Summary, PPI''s'!P117)</f>
        <v>342123.40790259029</v>
      </c>
      <c r="Z117" s="4" t="e">
        <f>Z116*IF(E$26=".", 1, (E117/E116)^(('Summary, PPI''s'!$E117+'Summary, PPI''s'!$E116)/('Predicted PPIs'!R117+'Predicted PPIs'!R116)))*IF(F$26=".", 1, (F117/F116)^(('Summary, PPI''s'!$F117+'Summary, PPI''s'!$F116)/('Predicted PPIs'!R117+'Predicted PPIs'!R116)))*IF(G$26=".", 1, (G117/G116)^(('Summary, PPI''s'!$G117+'Summary, PPI''s'!$G116)/('Predicted PPIs'!R117+'Predicted PPIs'!R116)))*IF(H$26=".", 1, (H117/H116)^(('Summary, PPI''s'!$H117+'Summary, PPI''s'!$H116)/('Predicted PPIs'!R117+'Predicted PPIs'!R116)))*IF(I$26=".", 1, (I117/I116)^(('Summary, PPI''s'!$I117+'Summary, PPI''s'!$I116)/('Predicted PPIs'!R117+'Predicted PPIs'!R116)))*IF(J$26=".", 1, (J117/J116)^(('Summary, PPI''s'!$J117+'Summary, PPI''s'!$J116)/('Predicted PPIs'!R117+'Predicted PPIs'!R116)))*IF(K$26=".", 1, (K117/K116)^(('Summary, PPI''s'!$K117+'Summary, PPI''s'!$K116)/('Predicted PPIs'!R117+'Predicted PPIs'!R116)))*IF(L$26=".", 1, (L117/L116)^(('Summary, PPI''s'!$L117+'Summary, PPI''s'!$L116)/('Predicted PPIs'!R117+'Predicted PPIs'!R116)))*IF(M$26=".", 1, (M117/M116)^(('Summary, PPI''s'!$M117+'Summary, PPI''s'!$M116)/('Predicted PPIs'!R117+'Predicted PPIs'!R116)))*IF(B$26=".", 1, (B117/B116)^(('Summary, PPI''s'!$B117+'Summary, PPI''s'!$B116)/('Predicted PPIs'!R117+'Predicted PPIs'!R116)))*IF(C$26=".", 1, (C117/C116)^(('Summary, PPI''s'!$C117+'Summary, PPI''s'!$C116)/('Predicted PPIs'!R117+'Predicted PPIs'!R116)))*IF(D$26=".", 1, (D117/D116)^(('Summary, PPI''s'!$D117+'Summary, PPI''s'!$D116)/('Predicted PPIs'!R117+'Predicted PPIs'!R116)))*IF(N$26=".", 1, (N117/N116)^(('Summary, PPI''s'!$N117+'Summary, PPI''s'!$N116)/('Predicted PPIs'!R117+'Predicted PPIs'!R116)))*IF(O$26=".", 1, (O117/O116)^(('Summary, PPI''s'!$O117+'Summary, PPI''s'!$O116)/('Predicted PPIs'!R117+'Predicted PPIs'!R116)))*IF(P$26=".", 1, (P117/P116)^(('Summary, PPI''s'!$P117+'Summary, PPI''s'!$P116)/('Predicted PPIs'!R117+'Predicted PPIs'!R116)))</f>
        <v>#VALUE!</v>
      </c>
      <c r="AA117" s="4" t="e">
        <f>AA116*IF(E$36=".", 1, (E117/E116)^(('Summary, PPI''s'!$E117+'Summary, PPI''s'!$E116)/('Predicted PPIs'!S117+'Predicted PPIs'!S116)))*IF(F$36=".", 1, (F117/F116)^(('Summary, PPI''s'!$F117+'Summary, PPI''s'!$F116)/('Predicted PPIs'!S117+'Predicted PPIs'!S116)))*IF(G$36=".", 1, (G117/G116)^(('Summary, PPI''s'!$G117+'Summary, PPI''s'!$G116)/('Predicted PPIs'!S117+'Predicted PPIs'!S116)))*IF(H$36=".", 1, (H117/H116)^(('Summary, PPI''s'!$H117+'Summary, PPI''s'!$H116)/('Predicted PPIs'!S117+'Predicted PPIs'!S116)))*IF(I$36=".", 1, (I117/I116)^(('Summary, PPI''s'!$I117+'Summary, PPI''s'!$I116)/('Predicted PPIs'!S117+'Predicted PPIs'!S116)))*IF(J$36=".", 1, (J117/J116)^(('Summary, PPI''s'!$J117+'Summary, PPI''s'!$J116)/('Predicted PPIs'!S117+'Predicted PPIs'!S116)))*IF(K$36=".", 1, (K117/K116)^(('Summary, PPI''s'!$K117+'Summary, PPI''s'!$K116)/('Predicted PPIs'!S117+'Predicted PPIs'!S116)))*IF(L$36=".", 1, (L117/L116)^(('Summary, PPI''s'!$L117+'Summary, PPI''s'!$L116)/('Predicted PPIs'!S117+'Predicted PPIs'!S116)))*IF(M$36=".", 1, (M117/M116)^(('Summary, PPI''s'!$M117+'Summary, PPI''s'!$M116)/('Predicted PPIs'!S117+'Predicted PPIs'!S116)))*IF(B$36=".", 1, (B117/B116)^(('Summary, PPI''s'!$B117+'Summary, PPI''s'!$B116)/('Predicted PPIs'!S117+'Predicted PPIs'!S116)))*IF(C$36=".", 1, (C117/C116)^(('Summary, PPI''s'!$C117+'Summary, PPI''s'!$C116)/('Predicted PPIs'!S117+'Predicted PPIs'!S116)))*IF(D$36=".", 1, (D117/D116)^(('Summary, PPI''s'!$D117+'Summary, PPI''s'!$D116)/('Predicted PPIs'!S117+'Predicted PPIs'!S116)))*IF(N$36=".", 1, (N117/N116)^(('Summary, PPI''s'!$N117+'Summary, PPI''s'!$N116)/('Predicted PPIs'!S117+'Predicted PPIs'!S116)))*IF(O$36=".", 1, (O117/O116)^(('Summary, PPI''s'!$O117+'Summary, PPI''s'!$O116)/('Predicted PPIs'!S117+'Predicted PPIs'!S116)))*IF(P$36=".", 1, (P117/P116)^(('Summary, PPI''s'!$P117+'Summary, PPI''s'!$P116)/('Predicted PPIs'!S117+'Predicted PPIs'!S116)))</f>
        <v>#VALUE!</v>
      </c>
      <c r="AB117" s="4" t="e">
        <f>AB116*IF(E$46=".", 1, (E117/E116)^(('Summary, PPI''s'!$E117+'Summary, PPI''s'!$E116)/('Predicted PPIs'!T117+'Predicted PPIs'!T116)))*IF(F$46=".", 1, (F117/F116)^(('Summary, PPI''s'!$F117+'Summary, PPI''s'!$F116)/('Predicted PPIs'!T117+'Predicted PPIs'!T116)))*IF(G$46=".", 1, (G117/G116)^(('Summary, PPI''s'!$G117+'Summary, PPI''s'!$G116)/('Predicted PPIs'!T117+'Predicted PPIs'!T116)))*IF(H$46=".", 1, (H117/H116)^(('Summary, PPI''s'!$H117+'Summary, PPI''s'!$H116)/('Predicted PPIs'!T117+'Predicted PPIs'!T116)))*IF(I$46=".", 1, (I117/I116)^(('Summary, PPI''s'!$I117+'Summary, PPI''s'!$I116)/('Predicted PPIs'!T117+'Predicted PPIs'!T116)))*IF(J$46=".", 1, (J117/J116)^(('Summary, PPI''s'!$J117+'Summary, PPI''s'!$J116)/('Predicted PPIs'!T117+'Predicted PPIs'!T116)))*IF(K$46=".", 1, (K117/K116)^(('Summary, PPI''s'!$K117+'Summary, PPI''s'!$K116)/('Predicted PPIs'!T117+'Predicted PPIs'!T116)))*IF(L$46=".", 1, (L117/L116)^(('Summary, PPI''s'!$L117+'Summary, PPI''s'!$L116)/('Predicted PPIs'!T117+'Predicted PPIs'!T116)))*IF(M$46=".", 1, (M117/M116)^(('Summary, PPI''s'!$M117+'Summary, PPI''s'!$M116)/('Predicted PPIs'!T117+'Predicted PPIs'!T116)))*IF(B$46=".", 1, (B117/B116)^(('Summary, PPI''s'!$B117+'Summary, PPI''s'!$B116)/('Predicted PPIs'!T117+'Predicted PPIs'!T116)))*IF(C$46=".", 1, (C117/C116)^(('Summary, PPI''s'!$C117+'Summary, PPI''s'!$C116)/('Predicted PPIs'!T117+'Predicted PPIs'!T116)))*IF(D$46=".", 1, (D117/D116)^(('Summary, PPI''s'!$D117+'Summary, PPI''s'!$D116)/('Predicted PPIs'!T117+'Predicted PPIs'!T116)))*IF(N$46=".", 1, (N117/N116)^(('Summary, PPI''s'!$N117+'Summary, PPI''s'!$N116)/('Predicted PPIs'!T117+'Predicted PPIs'!T116)))*IF(O$46=".", 1, (O117/O116)^(('Summary, PPI''s'!$O117+'Summary, PPI''s'!$O116)/('Predicted PPIs'!T117+'Predicted PPIs'!T116)))*IF(P$46=".", 1, (P117/P116)^(('Summary, PPI''s'!$P117+'Summary, PPI''s'!$P116)/('Predicted PPIs'!T117+'Predicted PPIs'!T116)))</f>
        <v>#VALUE!</v>
      </c>
      <c r="AC117" s="4" t="e">
        <f>AC116*IF(E$60=".",1,(E117/E116)^(('Summary, PPI''s'!$E117+'Summary, PPI''s'!$E116)/('Predicted PPIs'!U117+'Predicted PPIs'!U116)))*IF(F$60=".",1,(F117/F116)^(('Summary, PPI''s'!$F117+'Summary, PPI''s'!$F116)/('Predicted PPIs'!U117+'Predicted PPIs'!U116)))*IF(G$60=".",1,(G117/G116)^(('Summary, PPI''s'!$G117+'Summary, PPI''s'!$G116)/('Predicted PPIs'!U117+'Predicted PPIs'!U116)))*IF(H$60=".",1,(H117/H116)^(('Summary, PPI''s'!$H117+'Summary, PPI''s'!$H116)/('Predicted PPIs'!U117+'Predicted PPIs'!U116)))*IF(I$60=".",1,(I117/I116)^(('Summary, PPI''s'!$I117+'Summary, PPI''s'!$I116)/('Predicted PPIs'!U117+'Predicted PPIs'!U116)))*IF(J$60=".",1,(J117/J116)^(('Summary, PPI''s'!$J117+'Summary, PPI''s'!$J116)/('Predicted PPIs'!U117+'Predicted PPIs'!U116)))*IF(K$60=".",1,(K117/K116)^(('Summary, PPI''s'!$K117+'Summary, PPI''s'!$K116)/('Predicted PPIs'!U117+'Predicted PPIs'!U116)))*IF(L$60=".",1,(L117/L116)^(('Summary, PPI''s'!$L117+'Summary, PPI''s'!$L116)/('Predicted PPIs'!U117+'Predicted PPIs'!U116)))*IF(M$60=".",1,(M117/M116)^(('Summary, PPI''s'!$M117+'Summary, PPI''s'!$M116)/('Predicted PPIs'!U117+'Predicted PPIs'!U116)))*IF(B$60=".",1,(B117/B116)^(('Summary, PPI''s'!$B117+'Summary, PPI''s'!$B116)/('Predicted PPIs'!U117+'Predicted PPIs'!U116)))*IF(C$60=".",1,(C117/C116)^(('Summary, PPI''s'!$C117+'Summary, PPI''s'!$C116)/('Predicted PPIs'!U117+'Predicted PPIs'!U116)))*IF(D$60=".",1,(D117/D116)^(('Summary, PPI''s'!$D117+'Summary, PPI''s'!$D116)/('Predicted PPIs'!U117+'Predicted PPIs'!U116)))*IF(N$60=".",1,(N117/N116)^(('Summary, PPI''s'!$N117+'Summary, PPI''s'!$N116)/('Predicted PPIs'!U117+'Predicted PPIs'!U116)))*IF(O$60=".",1,(O117/O116)^(('Summary, PPI''s'!$O117+'Summary, PPI''s'!$O116)/('Predicted PPIs'!U117+'Predicted PPIs'!U116)))*IF(P$60=".",1,(P117/P116)^(('Summary, PPI''s'!$P117+'Summary, PPI''s'!$P116)/('Predicted PPIs'!U117+'Predicted PPIs'!U116)))</f>
        <v>#VALUE!</v>
      </c>
      <c r="AD117" s="4" t="e">
        <f>AD116*IF(E$73=".", 1, (E117/E116)^(('Summary, PPI''s'!$E117+'Summary, PPI''s'!$E116)/('Predicted PPIs'!V117+'Predicted PPIs'!V116)))*IF(F$73=".", 1, (F117/F116)^(('Summary, PPI''s'!$F117+'Summary, PPI''s'!$F116)/('Predicted PPIs'!V117+'Predicted PPIs'!V116)))*IF(G$73=".", 1, (G117/G116)^(('Summary, PPI''s'!$G117+'Summary, PPI''s'!$G116)/('Predicted PPIs'!V117+'Predicted PPIs'!V116)))*IF(H$73=".", 1, (H117/H116)^(('Summary, PPI''s'!$H117+'Summary, PPI''s'!$H116)/('Predicted PPIs'!V117+'Predicted PPIs'!V116)))*IF(I$73=".", 1, (I117/I116)^(('Summary, PPI''s'!$I117+'Summary, PPI''s'!$I116)/('Predicted PPIs'!V117+'Predicted PPIs'!V116)))*IF(J$73=".", 1, (J117/J116)^(('Summary, PPI''s'!$J117+'Summary, PPI''s'!$J116)/('Predicted PPIs'!V117+'Predicted PPIs'!V116)))*IF(K$73=".", 1, (K117/K116)^(('Summary, PPI''s'!$K117+'Summary, PPI''s'!$K116)/('Predicted PPIs'!V117+'Predicted PPIs'!V116)))*IF(L$73=".", 1, (L117/L116)^(('Summary, PPI''s'!$L117+'Summary, PPI''s'!$L116)/('Predicted PPIs'!V117+'Predicted PPIs'!V116)))*IF(M$73=".", 1, (M117/M116)^(('Summary, PPI''s'!$M117+'Summary, PPI''s'!$M116)/('Predicted PPIs'!V117+'Predicted PPIs'!V116)))*IF(B$73=".", 1, (B117/B116)^(('Summary, PPI''s'!$B117+'Summary, PPI''s'!$B116)/('Predicted PPIs'!V117+'Predicted PPIs'!V116)))*IF(C$73=".", 1, (C117/C116)^(('Summary, PPI''s'!$C117+'Summary, PPI''s'!$C116)/('Predicted PPIs'!V117+'Predicted PPIs'!V116)))*IF(D$73=".", 1, (D117/D116)^(('Summary, PPI''s'!$D117+'Summary, PPI''s'!$D116)/('Predicted PPIs'!V117+'Predicted PPIs'!V116)))*IF(N$73=".", 1, (N117/N116)^(('Summary, PPI''s'!$N117+'Summary, PPI''s'!$N116)/('Predicted PPIs'!V117+'Predicted PPIs'!V116)))*IF(O$73=".", 1, (O117/O116)^(('Summary, PPI''s'!$O117+'Summary, PPI''s'!$O116)/('Predicted PPIs'!V117+'Predicted PPIs'!V116)))*IF(P$73=".", 1, (P117/P116)^(('Summary, PPI''s'!$P117+'Summary, PPI''s'!$P116)/('Predicted PPIs'!V117+'Predicted PPIs'!V116)))</f>
        <v>#VALUE!</v>
      </c>
      <c r="AE117" s="4" t="e">
        <f>AE116*IF(E$94=".", 1, (E117/E116)^(('Summary, PPI''s'!$E117+'Summary, PPI''s'!$E116)/('Predicted PPIs'!W117+'Predicted PPIs'!W116)))*IF(F$94=".", 1, (F117/F116)^(('Summary, PPI''s'!$F117+'Summary, PPI''s'!$F116)/('Predicted PPIs'!W117+'Predicted PPIs'!W116)))*IF(G$94=".", 1, (G117/G116)^(('Summary, PPI''s'!$G117+'Summary, PPI''s'!$G116)/('Predicted PPIs'!W117+'Predicted PPIs'!W116)))*IF(H$94=".", 1, (H117/H116)^(('Summary, PPI''s'!$H117+'Summary, PPI''s'!$H116)/('Predicted PPIs'!W117+'Predicted PPIs'!W116)))*IF(I$94=".", 1, (I117/I116)^(('Summary, PPI''s'!$I117+'Summary, PPI''s'!$I116)/('Predicted PPIs'!W117+'Predicted PPIs'!W116)))*IF(J$94=".", 1, (J117/J116)^(('Summary, PPI''s'!$J117+'Summary, PPI''s'!$J116)/('Predicted PPIs'!W117+'Predicted PPIs'!W116)))*IF(K$94=".", 1, (K117/K116)^(('Summary, PPI''s'!$K117+'Summary, PPI''s'!$K116)/('Predicted PPIs'!W117+'Predicted PPIs'!W116)))*IF(L$94=".", 1, (L117/L116)^(('Summary, PPI''s'!$L117+'Summary, PPI''s'!$L116)/('Predicted PPIs'!W117+'Predicted PPIs'!W116)))*IF(M$94=".", 1, (M117/M116)^(('Summary, PPI''s'!$M117+'Summary, PPI''s'!$M116)/('Predicted PPIs'!W117+'Predicted PPIs'!W116)))*IF(B$94=".", 1, (B117/B116)^(('Summary, PPI''s'!$B117+'Summary, PPI''s'!$B116)/('Predicted PPIs'!W117+'Predicted PPIs'!W116)))*IF(C$94=".", 1, (C117/C116)^(('Summary, PPI''s'!$C117+'Summary, PPI''s'!$C116)/('Predicted PPIs'!W117+'Predicted PPIs'!W116)))*IF(D$94=".", 1, (D117/D116)^(('Summary, PPI''s'!$D117+'Summary, PPI''s'!$D116)/('Predicted PPIs'!W117+'Predicted PPIs'!W116)))*IF(N$94=".", 1, (N117/N116)^(('Summary, PPI''s'!$N117+'Summary, PPI''s'!$N116)/('Predicted PPIs'!W117+'Predicted PPIs'!W116)))*IF(O$94=".", 1, (O117/O116)^(('Summary, PPI''s'!$O117+'Summary, PPI''s'!$O116)/('Predicted PPIs'!W117+'Predicted PPIs'!W116)))*IF(P$94=".", 1, (P117/P116)^(('Summary, PPI''s'!$P117+'Summary, PPI''s'!$P116)/('Predicted PPIs'!W117+'Predicted PPIs'!W116)))</f>
        <v>#VALUE!</v>
      </c>
      <c r="AF117" s="4">
        <f>AF116*IF(E$123=".", 1, (E117/E116)^(('Summary, PPI''s'!$E117+'Summary, PPI''s'!$E116)/('Predicted PPIs'!X117+'Predicted PPIs'!X116)))*IF(F$123=".", 1, (F117/F116)^(('Summary, PPI''s'!$F117+'Summary, PPI''s'!$F116)/('Predicted PPIs'!X117+'Predicted PPIs'!X116)))*IF(G$123=".", 1, (G117/G116)^(('Summary, PPI''s'!$G117+'Summary, PPI''s'!$G116)/('Predicted PPIs'!X117+'Predicted PPIs'!X116)))*IF(H$123=".", 1, (H117/H116)^(('Summary, PPI''s'!$H117+'Summary, PPI''s'!$H116)/('Predicted PPIs'!X117+'Predicted PPIs'!X116)))*IF(I$123=".", 1, (I117/I116)^(('Summary, PPI''s'!$I117+'Summary, PPI''s'!$I116)/('Predicted PPIs'!X117+'Predicted PPIs'!X116)))*IF(J$123=".", 1, (J117/J116)^(('Summary, PPI''s'!$J117+'Summary, PPI''s'!$J116)/('Predicted PPIs'!X117+'Predicted PPIs'!X116)))*IF(K$123=".", 1, (K117/K116)^(('Summary, PPI''s'!$K117+'Summary, PPI''s'!$K116)/('Predicted PPIs'!X117+'Predicted PPIs'!X116)))*IF(L$123=".", 1, (L117/L116)^(('Summary, PPI''s'!$L117+'Summary, PPI''s'!$L116)/('Predicted PPIs'!X117+'Predicted PPIs'!X116)))*IF(M$123=".", 1, (M117/M116)^(('Summary, PPI''s'!$M117+'Summary, PPI''s'!$M116)/('Predicted PPIs'!X117+'Predicted PPIs'!X116)))*IF(B$123=".", 1, (B117/B116)^(('Summary, PPI''s'!$B117+'Summary, PPI''s'!$B116)/('Predicted PPIs'!X117+'Predicted PPIs'!X116)))*IF(C$123=".", 1, (C117/C116)^(('Summary, PPI''s'!$C117+'Summary, PPI''s'!$C116)/('Predicted PPIs'!X117+'Predicted PPIs'!X116)))*IF(D$123=".", 1, (D117/D116)^(('Summary, PPI''s'!$D117+'Summary, PPI''s'!$D116)/('Predicted PPIs'!X117+'Predicted PPIs'!X116)))*IF(N$123=".", 1, (N117/N116)^(('Summary, PPI''s'!$N117+'Summary, PPI''s'!$N116)/('Predicted PPIs'!X117+'Predicted PPIs'!X116)))*IF(O$123=".", 1, (O117/O116)^(('Summary, PPI''s'!$O117+'Summary, PPI''s'!$O116)/('Predicted PPIs'!X117+'Predicted PPIs'!X116)))*IF(P$123=".", 1, (P117/P116)^(('Summary, PPI''s'!$P117+'Summary, PPI''s'!$P116)/('Predicted PPIs'!X117+'Predicted PPIs'!X116)))</f>
        <v>2.2594972317651756</v>
      </c>
      <c r="AH117" s="13">
        <f t="shared" si="212"/>
        <v>3.2266906584545083</v>
      </c>
      <c r="AJ117" s="4">
        <f t="shared" si="207"/>
        <v>18.398796469252201</v>
      </c>
      <c r="AK117" s="4">
        <f t="shared" si="191"/>
        <v>-0.4071981699202713</v>
      </c>
      <c r="AL117" s="4">
        <f t="shared" si="192"/>
        <v>-1.3948854997619107</v>
      </c>
      <c r="AM117" s="4">
        <f t="shared" si="193"/>
        <v>-0.2170297309615925</v>
      </c>
      <c r="AN117" s="4">
        <f t="shared" si="176"/>
        <v>24.535516724592657</v>
      </c>
      <c r="AO117" s="4">
        <v>4.7</v>
      </c>
      <c r="AP117" s="4">
        <f t="shared" si="177"/>
        <v>-0.43481283422459899</v>
      </c>
      <c r="AQ117" s="4">
        <f t="shared" si="178"/>
        <v>-0.82199732620320831</v>
      </c>
      <c r="AR117" s="4">
        <f t="shared" si="210"/>
        <v>-2.3011476301281738E-5</v>
      </c>
      <c r="AS117" s="4">
        <f t="shared" si="208"/>
        <v>-4.7302344884830871E-2</v>
      </c>
      <c r="AT117" s="4">
        <f t="shared" si="194"/>
        <v>4.2707710144927535</v>
      </c>
      <c r="AU117" s="4">
        <f t="shared" si="195"/>
        <v>7.0323463768115904</v>
      </c>
      <c r="AV117" s="4">
        <f t="shared" si="196"/>
        <v>5.4693985507246365</v>
      </c>
      <c r="AW117" s="4">
        <f t="shared" si="197"/>
        <v>3.0583608695652189</v>
      </c>
      <c r="AX117" s="4">
        <f t="shared" si="198"/>
        <v>4.0680358870836759</v>
      </c>
      <c r="AY117" s="4">
        <f t="shared" si="199"/>
        <v>4.7834840579710143</v>
      </c>
      <c r="AZ117" s="4">
        <f t="shared" si="200"/>
        <v>1.6350768115942034</v>
      </c>
      <c r="BA117" s="4">
        <f t="shared" si="201"/>
        <v>4.4292710144927518</v>
      </c>
      <c r="BB117" s="4">
        <f t="shared" si="202"/>
        <v>25.334338382917846</v>
      </c>
      <c r="BC117" s="4">
        <f t="shared" si="203"/>
        <v>4.1517811594202909</v>
      </c>
      <c r="BD117" s="5">
        <f>'[2]Ordinary Experience'!$AD$309</f>
        <v>95.1</v>
      </c>
      <c r="BE117" s="5">
        <f>'[2]Ordinary Experience'!$AC$309</f>
        <v>0.7421005840626933</v>
      </c>
      <c r="BG117" s="4">
        <f t="shared" si="172"/>
        <v>4.473490327944754</v>
      </c>
      <c r="BI117" s="4">
        <f>BI$13*'[2]Ordinary Experience'!$D$309/'[2]Ordinary Experience'!$D$413</f>
        <v>85526897.759072438</v>
      </c>
      <c r="BJ117" s="4">
        <f>'[2]Ordinary Experience'!$E$309</f>
        <v>33.039286312113049</v>
      </c>
      <c r="BL117" s="4">
        <f t="shared" si="211"/>
        <v>19.708766201830219</v>
      </c>
      <c r="BM117" s="4">
        <f t="shared" si="153"/>
        <v>-1.3937322163675048E-2</v>
      </c>
      <c r="BO117" s="4" t="str">
        <f>IF(OR('Summary, hourly ad costs'!R117=-9999,'Summary, PPI''s'!R117="."),".",(('Summary, hourly ad costs'!B117/'Summary, hourly ad costs'!R117)*100/('Summary, hourly ad costs'!B$11/'Summary, hourly ad costs'!R$11))/('Summary, PPI''s'!R117))</f>
        <v>.</v>
      </c>
      <c r="BP117" s="4" t="str">
        <f>IF(OR('Summary, hourly ad costs'!S117=-9999,'Summary, PPI''s'!S117="."),".",(('Summary, hourly ad costs'!C117/'Summary, hourly ad costs'!S117)*100/('Summary, hourly ad costs'!C$11/'Summary, hourly ad costs'!S$11))/('Summary, PPI''s'!S117))</f>
        <v>.</v>
      </c>
      <c r="BQ117" s="4" t="str">
        <f>IF(OR('Summary, hourly ad costs'!T117=-9999,'Summary, PPI''s'!T117="."),".",(('Summary, hourly ad costs'!D117/'Summary, hourly ad costs'!T117)*100/('Summary, hourly ad costs'!D$11/'Summary, hourly ad costs'!T$11))/('Summary, PPI''s'!T117))</f>
        <v>.</v>
      </c>
      <c r="BR117" s="4" t="str">
        <f>IF(OR('Summary, hourly ad costs'!U117=-9999,'Summary, PPI''s'!U117="."),".",(('Summary, hourly ad costs'!E117/'Summary, hourly ad costs'!U117)*100/('Summary, hourly ad costs'!E$11/'Summary, hourly ad costs'!U$11))/('Summary, PPI''s'!U117))</f>
        <v>.</v>
      </c>
      <c r="BS117" s="4" t="str">
        <f>IF(OR('Summary, hourly ad costs'!V117=-9999,'Summary, PPI''s'!V117="."),".",(('Summary, hourly ad costs'!F117/'Summary, hourly ad costs'!V117)*100/('Summary, hourly ad costs'!F$11/'Summary, hourly ad costs'!V$11))/('Summary, PPI''s'!V117))</f>
        <v>.</v>
      </c>
      <c r="BT117" s="4" t="str">
        <f>IF(OR('Summary, hourly ad costs'!W117=-9999,'Summary, PPI''s'!W117="."),".",(('Summary, hourly ad costs'!G117/'Summary, hourly ad costs'!W117)*100/('Summary, hourly ad costs'!G$11/'Summary, hourly ad costs'!W$11))/('Summary, PPI''s'!W117))</f>
        <v>.</v>
      </c>
      <c r="BU117" s="4" t="str">
        <f>IF(OR('Summary, hourly ad costs'!X117=-9999,'Summary, PPI''s'!X117="."),".",(('Summary, hourly ad costs'!H117/'Summary, hourly ad costs'!X117)*100/('Summary, hourly ad costs'!H$11/'Summary, hourly ad costs'!X$11))/('Summary, PPI''s'!X117))</f>
        <v>.</v>
      </c>
      <c r="BV117" s="4" t="str">
        <f>IF(OR('Summary, hourly ad costs'!Y117=-9999,'Summary, PPI''s'!Y117="."),".",(('Summary, hourly ad costs'!I117/'Summary, hourly ad costs'!Y117)*100/('Summary, hourly ad costs'!I$11/'Summary, hourly ad costs'!Y$11))/('Summary, PPI''s'!Y117))</f>
        <v>.</v>
      </c>
      <c r="BW117" s="4" t="str">
        <f>IF(OR('Summary, hourly ad costs'!Z117=-9999,'Summary, PPI''s'!Z117="."),".",(('Summary, hourly ad costs'!J117/'Summary, hourly ad costs'!Z117)*100/('Summary, hourly ad costs'!J$11/'Summary, hourly ad costs'!Z$11))/('Summary, PPI''s'!Z117))</f>
        <v>.</v>
      </c>
      <c r="BX117" s="4" t="str">
        <f>IF(OR('Summary, hourly ad costs'!AA117=-9999,'Summary, PPI''s'!AA117="."),".",(('Summary, hourly ad costs'!K117/'Summary, hourly ad costs'!AA117)*100/('Summary, hourly ad costs'!K$11/'Summary, hourly ad costs'!AA$11))/('Summary, PPI''s'!AA117))</f>
        <v>.</v>
      </c>
      <c r="BY117" s="4" t="str">
        <f>IF(OR('Summary, hourly ad costs'!AB117=-9999,'Summary, PPI''s'!AB117="."),".",(('Summary, hourly ad costs'!L117/'Summary, hourly ad costs'!AB117)*100/('Summary, hourly ad costs'!L$11/'Summary, hourly ad costs'!AB$11))/('Summary, PPI''s'!AB117))</f>
        <v>.</v>
      </c>
      <c r="BZ117" s="4" t="str">
        <f>IF(OR('Summary, hourly ad costs'!AC117=-9999,'Summary, PPI''s'!AC117="."),".",(('Summary, hourly ad costs'!M117/'Summary, hourly ad costs'!AC117)*100/('Summary, hourly ad costs'!M$11/'Summary, hourly ad costs'!AC$11))/('Summary, PPI''s'!AC117))</f>
        <v>.</v>
      </c>
      <c r="CA117" s="4" t="str">
        <f>IF(OR('Summary, hourly ad costs'!AD117=-9999,'Summary, PPI''s'!AD117="."),".",(('Summary, hourly ad costs'!N117/'Summary, hourly ad costs'!AD117)*100/('Summary, hourly ad costs'!N$11/'Summary, hourly ad costs'!AD$11))/('Summary, PPI''s'!AD117))</f>
        <v>.</v>
      </c>
      <c r="CB117" s="4" t="str">
        <f>IF(OR('Summary, hourly ad costs'!AE117=-9999,'Summary, PPI''s'!AE117="."),".",(('Summary, hourly ad costs'!O117/'Summary, hourly ad costs'!AE117)*100/('Summary, hourly ad costs'!O$11/'Summary, hourly ad costs'!AE$11))/('Summary, PPI''s'!AE117))</f>
        <v>.</v>
      </c>
      <c r="CC117" s="4" t="str">
        <f>IF(OR('Summary, hourly ad costs'!AF117=-9999,'Summary, PPI''s'!AF117="."),".",(('Summary, hourly ad costs'!P117/'Summary, hourly ad costs'!AF117)*100/('Summary, hourly ad costs'!P$11/'Summary, hourly ad costs'!AF$11))/('Summary, PPI''s'!AF117))</f>
        <v>.</v>
      </c>
      <c r="CE117" s="4">
        <f t="shared" si="183"/>
        <v>-4.5088351512260226E-2</v>
      </c>
      <c r="CF117" s="4" t="str">
        <f t="shared" si="184"/>
        <v>.</v>
      </c>
      <c r="CG117" s="4" t="str">
        <f t="shared" si="185"/>
        <v>.</v>
      </c>
      <c r="CH117" s="4">
        <f t="shared" si="145"/>
        <v>-3.9229818396601633E-2</v>
      </c>
      <c r="CI117" s="4">
        <f t="shared" si="145"/>
        <v>-4.2850233272633945E-2</v>
      </c>
      <c r="CJ117" s="4" t="str">
        <f t="shared" si="209"/>
        <v>.</v>
      </c>
      <c r="CK117" s="4">
        <f t="shared" si="149"/>
        <v>5.3270821022517569E-3</v>
      </c>
      <c r="CL117" s="4">
        <f t="shared" si="234"/>
        <v>-3.0233354706975024E-2</v>
      </c>
      <c r="CM117" s="4">
        <f t="shared" si="234"/>
        <v>4.2191404400047997E-3</v>
      </c>
      <c r="CN117" s="4">
        <f t="shared" si="204"/>
        <v>-4.489227823260495E-2</v>
      </c>
      <c r="CO117" s="4">
        <f t="shared" si="180"/>
        <v>-9.7422220750256361E-2</v>
      </c>
      <c r="CP117" s="4">
        <f t="shared" si="180"/>
        <v>0.22779632240378023</v>
      </c>
      <c r="CQ117" s="4" t="str">
        <f t="shared" si="230"/>
        <v>.</v>
      </c>
      <c r="CR117" s="4" t="str">
        <f t="shared" si="231"/>
        <v>.</v>
      </c>
      <c r="CS117" s="4" t="str">
        <f t="shared" si="232"/>
        <v>.</v>
      </c>
      <c r="CU117" s="5">
        <f>IF(CU116=".", ".", IF('Summary, PPI''s'!R117=".",IF(OR('Summary, hourly ad costs'!R117=-9999,'Summary, hourly ad costs'!R117=0), ".", 'Predicted PPIs'!CU116*('Summary, hourly ad costs'!B117/'Summary, hourly ad costs'!R117)/('Summary, hourly ad costs'!B116/'Summary, hourly ad costs'!R116)/(1-CE116)), 'Summary, PPI''s'!R117))</f>
        <v>23.326991216814459</v>
      </c>
      <c r="CV117" s="5" t="str">
        <f>IF(CV116=".", ".", IF('Summary, PPI''s'!S117=".",IF(OR('Summary, hourly ad costs'!S117=-9999,'Summary, hourly ad costs'!S117=0), ".", 'Predicted PPIs'!CV116*('Summary, hourly ad costs'!C117/'Summary, hourly ad costs'!S117)/('Summary, hourly ad costs'!C116/'Summary, hourly ad costs'!S116)/(1-CF116)), 'Summary, PPI''s'!S117))</f>
        <v>.</v>
      </c>
      <c r="CW117" s="5" t="str">
        <f>IF(CW116=".", ".", IF('Summary, PPI''s'!T117=".",IF(OR('Summary, hourly ad costs'!T117=-9999,'Summary, hourly ad costs'!T117=0), ".", 'Predicted PPIs'!CW116*('Summary, hourly ad costs'!D117/'Summary, hourly ad costs'!T117)/('Summary, hourly ad costs'!D116/'Summary, hourly ad costs'!T116)/(1-CG116)), 'Summary, PPI''s'!T117))</f>
        <v>.</v>
      </c>
      <c r="CX117" s="5">
        <f>IF(CX116=".", ".", IF('Summary, PPI''s'!U117=".",IF(OR('Summary, hourly ad costs'!U117=-9999,'Summary, hourly ad costs'!U117=0), ".", 'Predicted PPIs'!CX116*('Summary, hourly ad costs'!E117/'Summary, hourly ad costs'!U117)/('Summary, hourly ad costs'!E116/'Summary, hourly ad costs'!U116)/(1-CH116)), 'Summary, PPI''s'!U117))</f>
        <v>1.0312176429981594</v>
      </c>
      <c r="CY117" s="5">
        <f>IF(CY116=".", ".", IF('Summary, PPI''s'!V117=".",IF(OR('Summary, hourly ad costs'!V117=-9999,'Summary, hourly ad costs'!V117=0), ".", 'Predicted PPIs'!CY116*('Summary, hourly ad costs'!F117/'Summary, hourly ad costs'!V117)/('Summary, hourly ad costs'!F116/'Summary, hourly ad costs'!V116)/(1-CI116)), 'Summary, PPI''s'!V117))</f>
        <v>0.9752926383215349</v>
      </c>
      <c r="CZ117" s="5" t="str">
        <f>IF(CZ116=".", ".", IF('Summary, PPI''s'!W117=".",IF(OR('Summary, hourly ad costs'!W117=-9999,'Summary, hourly ad costs'!W117=0), ".", 'Predicted PPIs'!CZ116*('Summary, hourly ad costs'!G117/'Summary, hourly ad costs'!W117)/('Summary, hourly ad costs'!G116/'Summary, hourly ad costs'!W116)/(1-CJ116)), 'Summary, PPI''s'!W117))</f>
        <v>.</v>
      </c>
      <c r="DA117" s="5">
        <f>IF(DA116=".", ".", IF('Summary, PPI''s'!X117=".",IF(OR('Summary, hourly ad costs'!X117=-9999,'Summary, hourly ad costs'!X117=0), ".", 'Predicted PPIs'!DA116*('Summary, hourly ad costs'!H117/'Summary, hourly ad costs'!X117)/('Summary, hourly ad costs'!H116/'Summary, hourly ad costs'!X116)/(1-CK116)), 'Summary, PPI''s'!X117))</f>
        <v>1.0962512223200853</v>
      </c>
      <c r="DB117" s="5" t="str">
        <f>IF(DB116=".", ".", IF('Summary, PPI''s'!Y117=".",IF(OR('Summary, hourly ad costs'!Y117=-9999,'Summary, hourly ad costs'!Y117=0), ".", 'Predicted PPIs'!DB116*('Summary, hourly ad costs'!I117/'Summary, hourly ad costs'!Y117)/('Summary, hourly ad costs'!I116/'Summary, hourly ad costs'!Y116)/(1-CL116)), 'Summary, PPI''s'!Y117))</f>
        <v>.</v>
      </c>
      <c r="DC117" s="5" t="str">
        <f>IF(DC116=".", ".", IF('Summary, PPI''s'!Z117=".",IF(OR('Summary, hourly ad costs'!Z117=-9999,'Summary, hourly ad costs'!Z117=0), ".", 'Predicted PPIs'!DC116*('Summary, hourly ad costs'!J117/'Summary, hourly ad costs'!Z117)/('Summary, hourly ad costs'!J116/'Summary, hourly ad costs'!Z116)/(1-CM116)), 'Summary, PPI''s'!Z117))</f>
        <v>.</v>
      </c>
      <c r="DD117" s="5" t="str">
        <f>IF(DD116=".", ".", IF('Summary, PPI''s'!AA117=".",IF(OR('Summary, hourly ad costs'!AA117=-9999,'Summary, hourly ad costs'!AA117=0), ".", 'Predicted PPIs'!DD116*('Summary, hourly ad costs'!K117/'Summary, hourly ad costs'!AA117)/('Summary, hourly ad costs'!K116/'Summary, hourly ad costs'!AA116)/(1-CN116)), 'Summary, PPI''s'!AA117))</f>
        <v>.</v>
      </c>
      <c r="DE117" s="5" t="str">
        <f>IF(DE116=".", ".", IF('Summary, PPI''s'!AB117=".",IF(OR('Summary, hourly ad costs'!AB117=-9999,'Summary, hourly ad costs'!AB117=0), ".", 'Predicted PPIs'!DE116*('Summary, hourly ad costs'!L117/'Summary, hourly ad costs'!AB117)/('Summary, hourly ad costs'!L116/'Summary, hourly ad costs'!AB116)/(1-CO116)), 'Summary, PPI''s'!AB117))</f>
        <v>.</v>
      </c>
      <c r="DF117" s="5" t="str">
        <f>IF(DF116=".", ".", IF('Summary, PPI''s'!AC117=".",IF(OR('Summary, hourly ad costs'!AC117=-9999,'Summary, hourly ad costs'!AC117=0), ".", 'Predicted PPIs'!DF116*('Summary, hourly ad costs'!M117/'Summary, hourly ad costs'!AC117)/('Summary, hourly ad costs'!M116/'Summary, hourly ad costs'!AC116)/(1-CP116)), 'Summary, PPI''s'!AC117))</f>
        <v>.</v>
      </c>
      <c r="DG117" s="5" t="str">
        <f>IF(DG116=".", ".", IF('Summary, PPI''s'!AD117=".",IF(OR('Summary, hourly ad costs'!AD117=-9999,'Summary, hourly ad costs'!AD117=0), ".", 'Predicted PPIs'!DG116*('Summary, hourly ad costs'!N117/'Summary, hourly ad costs'!AD117)/('Summary, hourly ad costs'!N116/'Summary, hourly ad costs'!AD116)/(1-CQ116)), 'Summary, PPI''s'!AD117))</f>
        <v>.</v>
      </c>
      <c r="DH117" s="5" t="str">
        <f>IF(DH116=".", ".", IF('Summary, PPI''s'!AE117=".",IF(OR('Summary, hourly ad costs'!AE117=-9999,'Summary, hourly ad costs'!AE117=0), ".", 'Predicted PPIs'!DH116*('Summary, hourly ad costs'!O117/'Summary, hourly ad costs'!AE117)/('Summary, hourly ad costs'!O116/'Summary, hourly ad costs'!AE116)/(1-CR116)), 'Summary, PPI''s'!AE117))</f>
        <v>.</v>
      </c>
      <c r="DI117" s="5" t="str">
        <f>IF(DI116=".", ".", IF('Summary, PPI''s'!AF117=".",IF(OR('Summary, hourly ad costs'!AF117=-9999,'Summary, hourly ad costs'!AF117=0), ".", 'Predicted PPIs'!DI116*('Summary, hourly ad costs'!P117/'Summary, hourly ad costs'!AF117)/('Summary, hourly ad costs'!P116/'Summary, hourly ad costs'!AF116)/(1-CS116)), 'Summary, PPI''s'!AF117))</f>
        <v>.</v>
      </c>
      <c r="DK117" s="4">
        <f t="shared" si="205"/>
        <v>0.94893473684210461</v>
      </c>
      <c r="DM117" s="5">
        <f t="shared" si="186"/>
        <v>-0.11135155426632359</v>
      </c>
      <c r="DN117" s="4">
        <f t="shared" si="187"/>
        <v>-1.6944625228091904E-2</v>
      </c>
      <c r="DO117" s="4">
        <f t="shared" si="233"/>
        <v>-2.2940447725130854E-2</v>
      </c>
      <c r="DP117" s="5">
        <f t="shared" si="188"/>
        <v>7.2232517168311361E-3</v>
      </c>
      <c r="DQ117" s="5">
        <f t="shared" si="189"/>
        <v>1.0300419811455575E-2</v>
      </c>
      <c r="DR117" s="4">
        <f t="shared" si="146"/>
        <v>-1.3217452471208178E-2</v>
      </c>
      <c r="DS117" s="5">
        <f t="shared" si="190"/>
        <v>1.5075057402089698E-2</v>
      </c>
      <c r="DT117" s="4">
        <f t="shared" si="206"/>
        <v>2.070927034560003E-2</v>
      </c>
      <c r="DU117" s="4">
        <f t="shared" si="171"/>
        <v>-3.6810222633723397E-2</v>
      </c>
      <c r="DV117" s="4">
        <f t="shared" si="235"/>
        <v>1.3720179519596692E-3</v>
      </c>
      <c r="DW117" s="4">
        <f t="shared" si="182"/>
        <v>2.2415799488280881E-2</v>
      </c>
      <c r="DX117" s="4">
        <f t="shared" si="182"/>
        <v>-0.21746820618754201</v>
      </c>
      <c r="DY117" s="4">
        <f t="shared" si="228"/>
        <v>-2.1968826641805203E-2</v>
      </c>
      <c r="DZ117" s="4">
        <f t="shared" si="236"/>
        <v>-1.5755424031599557E-2</v>
      </c>
      <c r="EA117" s="4">
        <f t="shared" si="229"/>
        <v>-1.3112480356213936E-2</v>
      </c>
      <c r="EC117" s="1">
        <f t="shared" si="213"/>
        <v>23.326991216814459</v>
      </c>
      <c r="ED117" s="1">
        <f t="shared" si="214"/>
        <v>0.85013750640618779</v>
      </c>
      <c r="EE117" s="1">
        <f t="shared" si="215"/>
        <v>0.46766901394048466</v>
      </c>
      <c r="EF117" s="1">
        <f t="shared" si="216"/>
        <v>1.0312176429981594</v>
      </c>
      <c r="EG117" s="1">
        <f t="shared" si="217"/>
        <v>0.9752926383215349</v>
      </c>
      <c r="EH117" s="1">
        <f t="shared" si="218"/>
        <v>0.74695122920871726</v>
      </c>
      <c r="EI117" s="1">
        <f t="shared" si="219"/>
        <v>1.0962512223200853</v>
      </c>
      <c r="EJ117" s="1">
        <f t="shared" si="220"/>
        <v>1.3174315817097004</v>
      </c>
      <c r="EK117" s="1">
        <f t="shared" si="221"/>
        <v>1.5435243228702793</v>
      </c>
      <c r="EL117" s="1">
        <f t="shared" si="222"/>
        <v>0.78693585204182281</v>
      </c>
      <c r="EM117" s="1">
        <f t="shared" si="223"/>
        <v>2.9732960942648903E-2</v>
      </c>
      <c r="EN117" s="1">
        <f t="shared" si="224"/>
        <v>0.48351205423575933</v>
      </c>
      <c r="EO117" s="1">
        <f t="shared" si="225"/>
        <v>0.36034199341229833</v>
      </c>
      <c r="EP117" s="1">
        <f t="shared" si="226"/>
        <v>0.68760104165425551</v>
      </c>
      <c r="EQ117" s="1">
        <f t="shared" si="227"/>
        <v>0.55381281535640614</v>
      </c>
      <c r="ES117" s="1">
        <f>IF(EF$26=".", 0, 'Summary, PPI''s'!E117)+IF(EG$26=".", 0, 'Summary, PPI''s'!F117)+IF(EH$26=".", 0, 'Summary, PPI''s'!G117)+IF(EI$26=".", 0, 'Summary, PPI''s'!H117)+IF(EJ$26=".", 0, 'Summary, PPI''s'!I117)+IF(EK$26=".", 0, 'Summary, PPI''s'!J117)+IF(EL$26=".", 0, 'Summary, PPI''s'!K117)+IF(EM$26=".", 0, 'Summary, PPI''s'!L117)+IF(EN$26=".", 0, 'Summary, PPI''s'!M117)+IF(EC$26=".", 0, 'Summary, PPI''s'!B117)+IF(ED$26=".", 0, 'Summary, PPI''s'!C117)+IF(EE$26=".", 0, 'Summary, PPI''s'!D117)+IF(EO$26=".", 0, 'Summary, PPI''s'!N117)+IF(EP$26=".", 0, 'Summary, PPI''s'!O117)+IF(EQ$26=".", 0, 'Summary, PPI''s'!P117)</f>
        <v>563751.7042414943</v>
      </c>
      <c r="ET117" s="1">
        <f>'Summary, hourly ad costs'!E117+'Summary, hourly ad costs'!F117+'Summary, hourly ad costs'!H117+'Summary, hourly ad costs'!I117+'Summary, hourly ad costs'!J117+'Summary, hourly ad costs'!K117+'Summary, hourly ad costs'!L117+'Summary, hourly ad costs'!M117+'Summary, hourly ad costs'!B117</f>
        <v>342123.40790259029</v>
      </c>
      <c r="EV117" s="13">
        <f>EV116*IF(EF$26=".", 1, (EF117/EF116)^(('Summary, PPI''s'!$E117+'Summary, PPI''s'!$E116)/('Predicted PPIs'!ES117+'Predicted PPIs'!ES116)))*IF(EG$26=".", 1, (EG117/EG116)^(('Summary, PPI''s'!$F117+'Summary, PPI''s'!$F116)/('Predicted PPIs'!ES117+'Predicted PPIs'!ES116)))*IF(EH$26=".", 1, (EH117/EH116)^(('Summary, PPI''s'!$G117+'Summary, PPI''s'!$G116)/('Predicted PPIs'!ES117+'Predicted PPIs'!ES116)))*IF(EI$26=".", 1, (EI117/EI116)^(('Summary, PPI''s'!$H117+'Summary, PPI''s'!$H116)/('Predicted PPIs'!ES117+'Predicted PPIs'!ES116)))*IF(EJ$26=".", 1, (EJ117/EJ116)^(('Summary, PPI''s'!$I117+'Summary, PPI''s'!$I116)/('Predicted PPIs'!ES117+'Predicted PPIs'!ES116)))*IF(EK$26=".", 1, (EK117/EK116)^(('Summary, PPI''s'!$J117+'Summary, PPI''s'!$J116)/('Predicted PPIs'!ES117+'Predicted PPIs'!ES116)))*IF(EL$26=".", 1, (EL117/EL116)^(('Summary, PPI''s'!$K117+'Summary, PPI''s'!$K116)/('Predicted PPIs'!ES117+'Predicted PPIs'!ES116)))*IF(EM$26=".", 1, (EM117/EM116)^(('Summary, PPI''s'!$L117+'Summary, PPI''s'!$L116)/('Predicted PPIs'!ES117+'Predicted PPIs'!ES116)))*IF(EN$26=".", 1, (EN117/EN116)^(('Summary, PPI''s'!$M117+'Summary, PPI''s'!$M116)/('Predicted PPIs'!ES117+'Predicted PPIs'!ES116)))*IF(EC$26=".", 1, (EC117/EC116)^(('Summary, PPI''s'!$B117+'Summary, PPI''s'!$B116)/('Predicted PPIs'!ES117+'Predicted PPIs'!ES116)))*IF(ED$26=".", 1, (ED117/ED116)^(('Summary, PPI''s'!$C117+'Summary, PPI''s'!$C116)/('Predicted PPIs'!ES117+'Predicted PPIs'!ES116)))*IF(EE$26=".", 1, (EE117/EE116)^(('Summary, PPI''s'!$D117+'Summary, PPI''s'!$D116)/('Predicted PPIs'!ES117+'Predicted PPIs'!ES116)))*IF(EO$26=".", 1, (EO117/EO116)^(('Summary, PPI''s'!$N117+'Summary, PPI''s'!$N116)/('Predicted PPIs'!ES117+'Predicted PPIs'!ES116)))*IF(EP$26=".", 1, (EP117/EP116)^(('Summary, PPI''s'!$O117+'Summary, PPI''s'!$O116)/('Predicted PPIs'!ES117+'Predicted PPIs'!ES116)))*IF(EQ$26=".", 1, (EQ117/EQ116)^(('Summary, PPI''s'!$P117+'Summary, PPI''s'!$P116)/('Predicted PPIs'!ES117+'Predicted PPIs'!ES116)))</f>
        <v>1.4809402973292249</v>
      </c>
      <c r="EW117" s="13">
        <f>EW116*IF(EF$26=".", 1, (EF117/EF116)^(('Summary, PPI''s'!$E117+'Summary, PPI''s'!$E116)/('Predicted PPIs'!ET117+'Predicted PPIs'!ET116)))*IF(EG$26=".", 1, (EG117/EG116)^(('Summary, PPI''s'!$F117+'Summary, PPI''s'!$F116)/('Predicted PPIs'!ET117+'Predicted PPIs'!ET116)))*IF(EH$26=".", 1, (EH117/EH116)^(('Summary, PPI''s'!$G117+'Summary, PPI''s'!$G116)/('Predicted PPIs'!ET117+'Predicted PPIs'!ET116)))*IF(EK$26=".", 1, (EK117/EK116)^(('Summary, PPI''s'!$J117+'Summary, PPI''s'!$J116)/('Predicted PPIs'!ET117+'Predicted PPIs'!ET116)))*IF(EL$26=".", 1, (EL117/EL116)^(('Summary, PPI''s'!$K117+'Summary, PPI''s'!$K116)/('Predicted PPIs'!ET117+'Predicted PPIs'!ET116)))*IF(EM$26=".", 1, (EM117/EM116)^(('Summary, PPI''s'!$L117+'Summary, PPI''s'!$L116)/('Predicted PPIs'!ET117+'Predicted PPIs'!ET116)))*IF(EN$26=".", 1, (EN117/EN116)^(('Summary, PPI''s'!$M117+'Summary, PPI''s'!$M116)/('Predicted PPIs'!ET117+'Predicted PPIs'!ET116)))*IF(EC$26=".", 1, (EC117/EC116)^(('Summary, PPI''s'!$B117+'Summary, PPI''s'!$B116)/('Predicted PPIs'!ET117+'Predicted PPIs'!ET116)))</f>
        <v>3.5068027561616901</v>
      </c>
      <c r="EY117" s="2"/>
    </row>
    <row r="118" spans="1:155" x14ac:dyDescent="0.3">
      <c r="A118" s="4">
        <v>1905</v>
      </c>
      <c r="B118" s="10">
        <f>IF(B117=".", ".", IF('Summary, PPI''s'!R118=".",IF(OR('Summary, hourly ad costs'!R118=-9999,'Summary, hourly ad costs'!R118=0), ".", 'Predicted PPIs'!B117*('Summary, hourly ad costs'!B118/'Summary, hourly ad costs'!R118)/('Summary, hourly ad costs'!B117/'Summary, hourly ad costs'!R117)), 'Summary, PPI''s'!R118))</f>
        <v>66.083544627063162</v>
      </c>
      <c r="C118" s="10" t="str">
        <f>IF(C117=".", ".", IF('Summary, PPI''s'!S118=".",IF(OR('Summary, hourly ad costs'!S118=-9999,'Summary, hourly ad costs'!S118=0), ".", 'Predicted PPIs'!C117*('Summary, hourly ad costs'!C118/'Summary, hourly ad costs'!S118)/('Summary, hourly ad costs'!C117/'Summary, hourly ad costs'!S117)), 'Summary, PPI''s'!S118))</f>
        <v>.</v>
      </c>
      <c r="D118" s="10" t="str">
        <f>IF(D117=".", ".", IF('Summary, PPI''s'!T118=".",IF(OR('Summary, hourly ad costs'!T118=-9999,'Summary, hourly ad costs'!T118=0), ".", 'Predicted PPIs'!D117*('Summary, hourly ad costs'!D118/'Summary, hourly ad costs'!T118)/('Summary, hourly ad costs'!D117/'Summary, hourly ad costs'!T117)), 'Summary, PPI''s'!T118))</f>
        <v>.</v>
      </c>
      <c r="E118" s="10">
        <f>IF(E117=".", ".", IF('Summary, PPI''s'!U118=".",IF(OR('Summary, hourly ad costs'!U118=-9999,'Summary, hourly ad costs'!U118=0), ".", 'Predicted PPIs'!E117*('Summary, hourly ad costs'!E118/'Summary, hourly ad costs'!U118)/('Summary, hourly ad costs'!E117/'Summary, hourly ad costs'!U117)), 'Summary, PPI''s'!U118))</f>
        <v>0.96434482823710799</v>
      </c>
      <c r="F118" s="10">
        <f>IF(F117=".", ".", IF('Summary, PPI''s'!V118=".",IF(OR('Summary, hourly ad costs'!V118=-9999,'Summary, hourly ad costs'!V118=0), ".", 'Predicted PPIs'!F117*('Summary, hourly ad costs'!F118/'Summary, hourly ad costs'!V118)/('Summary, hourly ad costs'!F117/'Summary, hourly ad costs'!V117)), 'Summary, PPI''s'!V118))</f>
        <v>0.7997608368953889</v>
      </c>
      <c r="G118" s="10" t="str">
        <f>IF(G117=".", ".", IF('Summary, PPI''s'!W118=".",IF(OR('Summary, hourly ad costs'!W118=-9999,'Summary, hourly ad costs'!W118=0), ".", 'Predicted PPIs'!G117*('Summary, hourly ad costs'!G118/'Summary, hourly ad costs'!W118)/('Summary, hourly ad costs'!G117/'Summary, hourly ad costs'!W117)), 'Summary, PPI''s'!W118))</f>
        <v>.</v>
      </c>
      <c r="H118" s="10">
        <f>IF(H117=".", ".", IF('Summary, PPI''s'!X118=".",IF(OR('Summary, hourly ad costs'!X118=-9999,'Summary, hourly ad costs'!X118=0), ".", 'Predicted PPIs'!H117*('Summary, hourly ad costs'!H118/'Summary, hourly ad costs'!X118)/('Summary, hourly ad costs'!H117/'Summary, hourly ad costs'!X117)), 'Summary, PPI''s'!X118))</f>
        <v>0.85889007617985835</v>
      </c>
      <c r="I118" s="10" t="str">
        <f>IF(I117=".", ".", IF('Summary, PPI''s'!Y118=".",IF(OR('Summary, hourly ad costs'!Y118=-9999,'Summary, hourly ad costs'!Y118=0), ".", 'Predicted PPIs'!I117*('Summary, hourly ad costs'!I118/'Summary, hourly ad costs'!Y118)/('Summary, hourly ad costs'!I117/'Summary, hourly ad costs'!Y117)), 'Summary, PPI''s'!Y118))</f>
        <v>.</v>
      </c>
      <c r="J118" s="10" t="str">
        <f>IF(J117=".", ".", IF('Summary, PPI''s'!Z118=".",IF(OR('Summary, hourly ad costs'!Z118=-9999,'Summary, hourly ad costs'!Z118=0), ".", 'Predicted PPIs'!J117*('Summary, hourly ad costs'!J118/'Summary, hourly ad costs'!Z118)/('Summary, hourly ad costs'!J117/'Summary, hourly ad costs'!Z117)), 'Summary, PPI''s'!Z118))</f>
        <v>.</v>
      </c>
      <c r="K118" s="10" t="str">
        <f>IF(K117=".", ".", IF('Summary, PPI''s'!AA118=".",IF(OR('Summary, hourly ad costs'!AA118=-9999,'Summary, hourly ad costs'!AA118=0), ".", 'Predicted PPIs'!K117*('Summary, hourly ad costs'!K118/'Summary, hourly ad costs'!AA118)/('Summary, hourly ad costs'!K117/'Summary, hourly ad costs'!AA117)), 'Summary, PPI''s'!AA118))</f>
        <v>.</v>
      </c>
      <c r="L118" s="10" t="str">
        <f>IF(L117=".", ".", IF('Summary, PPI''s'!AB118=".",IF(OR('Summary, hourly ad costs'!AB118=-9999,'Summary, hourly ad costs'!AB118=0), ".", 'Predicted PPIs'!L117*('Summary, hourly ad costs'!L118/'Summary, hourly ad costs'!AB118)/('Summary, hourly ad costs'!L117/'Summary, hourly ad costs'!AB117)), 'Summary, PPI''s'!AB118))</f>
        <v>.</v>
      </c>
      <c r="M118" s="10" t="str">
        <f>IF(M117=".", ".", IF('Summary, PPI''s'!AC118=".",IF(OR('Summary, hourly ad costs'!AC118=-9999,'Summary, hourly ad costs'!AC118=0), ".", 'Predicted PPIs'!M117*('Summary, hourly ad costs'!M118/'Summary, hourly ad costs'!AC118)/('Summary, hourly ad costs'!M117/'Summary, hourly ad costs'!AC117)), 'Summary, PPI''s'!AC118))</f>
        <v>.</v>
      </c>
      <c r="N118" s="10" t="str">
        <f>IF(N117=".", ".", IF('Summary, PPI''s'!AD118=".",IF(OR('Summary, hourly ad costs'!AD118=-9999,'Summary, hourly ad costs'!AD118=0), ".", 'Predicted PPIs'!N117*('Summary, hourly ad costs'!N118/'Summary, hourly ad costs'!AD118)/('Summary, hourly ad costs'!N117/'Summary, hourly ad costs'!AD117)), 'Summary, PPI''s'!AD118))</f>
        <v>.</v>
      </c>
      <c r="O118" s="10" t="str">
        <f>IF(O117=".", ".", IF('Summary, PPI''s'!AE118=".",IF(OR('Summary, hourly ad costs'!AE118=-9999,'Summary, hourly ad costs'!AE118=0), ".", 'Predicted PPIs'!O117*('Summary, hourly ad costs'!O118/'Summary, hourly ad costs'!AE118)/('Summary, hourly ad costs'!O117/'Summary, hourly ad costs'!AE117)), 'Summary, PPI''s'!AE118))</f>
        <v>.</v>
      </c>
      <c r="P118" s="10" t="str">
        <f>IF(P117=".", ".", IF('Summary, PPI''s'!AF118=".",IF(OR('Summary, hourly ad costs'!AF118=-9999,'Summary, hourly ad costs'!AF118=0), ".", 'Predicted PPIs'!P117*('Summary, hourly ad costs'!P118/'Summary, hourly ad costs'!AF118)/('Summary, hourly ad costs'!P117/'Summary, hourly ad costs'!AF117)), 'Summary, PPI''s'!AF118))</f>
        <v>.</v>
      </c>
      <c r="R118" s="1">
        <f>IF(E$26=".", 0, 'Summary, PPI''s'!E118)+IF(F$26=".", 0, 'Summary, PPI''s'!F118)+IF(G$26=".", 0, 'Summary, PPI''s'!G118)+IF(H$26=".", 0, 'Summary, PPI''s'!H118)+IF(I$26=".", 0, 'Summary, PPI''s'!I118)+IF(J$26=".", 0, 'Summary, PPI''s'!J118)+IF(K$26=".", 0, 'Summary, PPI''s'!K118)+IF(L$26=".", 0, 'Summary, PPI''s'!L118)+IF(M$26=".", 0, 'Summary, PPI''s'!M118)+IF(B$26=".", 0, 'Summary, PPI''s'!B118)+IF(C$26=".", 0, 'Summary, PPI''s'!C118)+IF(D$26=".", 0, 'Summary, PPI''s'!D118)+IF(N$26=".", 0, 'Summary, PPI''s'!N118)+IF(O$26=".", 0, 'Summary, PPI''s'!O118)+IF(P$26=".", 0, 'Summary, PPI''s'!P118)</f>
        <v>546745.63240750309</v>
      </c>
      <c r="S118" s="1">
        <f>IF(E$36=".", 0, 'Summary, PPI''s'!E118)+IF(F$36=".", 0, 'Summary, PPI''s'!F118)+IF(G$36=".", 0, 'Summary, PPI''s'!G118)+IF(H$36=".", 0, 'Summary, PPI''s'!H118)+IF(I$36=".", 0, 'Summary, PPI''s'!I118)+IF(J$36=".", 0, 'Summary, PPI''s'!J118)+IF(K$36=".", 0, 'Summary, PPI''s'!K118)+IF(L$36=".", 0, 'Summary, PPI''s'!L118)+IF(M$36=".", 0, 'Summary, PPI''s'!M118)+IF(B$36=".", 0, 'Summary, PPI''s'!B118)+IF(C$36=".", 0, 'Summary, PPI''s'!C118)+IF(D$36=".", 0, 'Summary, PPI''s'!D118)+IF(N$36=".", 0, 'Summary, PPI''s'!N118)+IF(O$36=".", 0, 'Summary, PPI''s'!O118)+IF(P$36=".", 0, 'Summary, PPI''s'!P118)</f>
        <v>546745.63240750309</v>
      </c>
      <c r="T118" s="1">
        <f>IF(E$46=".", 0, 'Summary, PPI''s'!E118)+IF(F$46=".", 0, 'Summary, PPI''s'!F118)+IF(G$46=".", 0, 'Summary, PPI''s'!G118)+IF(H$46=".", 0, 'Summary, PPI''s'!H118)+IF(I$46=".", 0, 'Summary, PPI''s'!I118)+IF(J$46=".", 0, 'Summary, PPI''s'!J118)+IF(K$46=".", 0, 'Summary, PPI''s'!K118)+IF(L$46=".", 0, 'Summary, PPI''s'!L118)+IF(M$46=".", 0, 'Summary, PPI''s'!M118)+IF(B$46=".", 0, 'Summary, PPI''s'!B118)+IF(C$46=".", 0, 'Summary, PPI''s'!C118)+IF(D$46=".", 0, 'Summary, PPI''s'!D118)+IF(N$46=".", 0, 'Summary, PPI''s'!N118)+IF(O$46=".", 0, 'Summary, PPI''s'!O118)+IF(P$46=".", 0, 'Summary, PPI''s'!P118)</f>
        <v>494546.93312729639</v>
      </c>
      <c r="U118" s="1">
        <f>IF(E$60=".", 0, 'Summary, PPI''s'!E118)+IF(F$60=".", 0, 'Summary, PPI''s'!F118)+IF(G$60=".", 0, 'Summary, PPI''s'!G118)+IF(H$60=".", 0, 'Summary, PPI''s'!H118)+IF(I$60=".", 0, 'Summary, PPI''s'!I118)+IF(J$60=".", 0, 'Summary, PPI''s'!J118)+IF(K$60=".", 0, 'Summary, PPI''s'!K118)+IF(L$60=".", 0, 'Summary, PPI''s'!L118)+IF(M$60=".", 0, 'Summary, PPI''s'!M118)+IF(B$60=".", 0, 'Summary, PPI''s'!B118)+IF(C$60=".", 0, 'Summary, PPI''s'!C118)+IF(D$60=".", 0, 'Summary, PPI''s'!D118)+IF(N$60=".", 0, 'Summary, PPI''s'!N118)+IF(O$60=".", 0, 'Summary, PPI''s'!O118)+IF(P$60=".", 0, 'Summary, PPI''s'!P118)</f>
        <v>475154.57188410172</v>
      </c>
      <c r="V118" s="1">
        <f>IF(E$73=".", 0, 'Summary, PPI''s'!E118)+IF(F$73=".", 0, 'Summary, PPI''s'!F118)+IF(G$73=".", 0, 'Summary, PPI''s'!G118)+IF(H$73=".", 0, 'Summary, PPI''s'!H118)+IF(I$73=".", 0, 'Summary, PPI''s'!I118)+IF(J$73=".", 0, 'Summary, PPI''s'!J118)+IF(K$73=".", 0, 'Summary, PPI''s'!K118)+IF(L$73=".", 0, 'Summary, PPI''s'!L118)+IF(M$73=".", 0, 'Summary, PPI''s'!M118)+IF(B$73=".", 0, 'Summary, PPI''s'!B118)+IF(C$73=".", 0, 'Summary, PPI''s'!C118)+IF(D$73=".", 0, 'Summary, PPI''s'!D118)+IF(N$73=".", 0, 'Summary, PPI''s'!N118)+IF(O$73=".", 0, 'Summary, PPI''s'!O118)+IF(P$73=".", 0, 'Summary, PPI''s'!P118)</f>
        <v>332102.19141868211</v>
      </c>
      <c r="W118" s="1">
        <f>IF(E$94=".",0,'Summary, PPI''s'!E118)+IF(F$94=".",0,'Summary, PPI''s'!F118)+IF(G$94=".",0,'Summary, PPI''s'!G118)+IF(H$94=".",0,'Summary, PPI''s'!H118)+IF(I$94=".",0,'Summary, PPI''s'!I118)+IF(J$94=".",0,'Summary, PPI''s'!J118)+IF(K$94=".",0,'Summary, PPI''s'!K118)+IF(L$94=".",0,'Summary, PPI''s'!L118)+IF(M$94=".",0,'Summary, PPI''s'!M118)+IF(B$94=".",0,'Summary, PPI''s'!B118)+IF(C$94=".",0,'Summary, PPI''s'!C118)+IF(D$94=".",0,'Summary, PPI''s'!D118)+IF(N$94=".",0,'Summary, PPI''s'!N118)+IF(O$94=".",0,'Summary, PPI''s'!O118)+IF(P$94=".",0,'Summary, PPI''s'!P118)</f>
        <v>332102.19141868211</v>
      </c>
      <c r="X118" s="1">
        <f>IF(E$123=".", 0, 'Summary, PPI''s'!E118)+IF(F$123=".", 0, 'Summary, PPI''s'!F118)+IF(G$123=".", 0, 'Summary, PPI''s'!G118)+IF(H$123=".", 0, 'Summary, PPI''s'!H118)+IF(I$123=".", 0, 'Summary, PPI''s'!I118)+IF(J$123=".", 0, 'Summary, PPI''s'!J118)+IF(K$123=".", 0, 'Summary, PPI''s'!K118)+IF(L$123=".", 0, 'Summary, PPI''s'!L118)+IF(M$123=".", 0, 'Summary, PPI''s'!M118)+IF(B$123=".", 0, 'Summary, PPI''s'!B118)+IF(C$123=".", 0, 'Summary, PPI''s'!C118)+IF(D$123=".", 0, 'Summary, PPI''s'!D118)+IF(N$123=".", 0, 'Summary, PPI''s'!N118)+IF(O$123=".", 0, 'Summary, PPI''s'!O118)+IF(P$123=".", 0, 'Summary, PPI''s'!P118)</f>
        <v>332102.19141868211</v>
      </c>
      <c r="Z118" s="4" t="e">
        <f>Z117*IF(E$26=".", 1, (E118/E117)^(('Summary, PPI''s'!$E118+'Summary, PPI''s'!$E117)/('Predicted PPIs'!R118+'Predicted PPIs'!R117)))*IF(F$26=".", 1, (F118/F117)^(('Summary, PPI''s'!$F118+'Summary, PPI''s'!$F117)/('Predicted PPIs'!R118+'Predicted PPIs'!R117)))*IF(G$26=".", 1, (G118/G117)^(('Summary, PPI''s'!$G118+'Summary, PPI''s'!$G117)/('Predicted PPIs'!R118+'Predicted PPIs'!R117)))*IF(H$26=".", 1, (H118/H117)^(('Summary, PPI''s'!$H118+'Summary, PPI''s'!$H117)/('Predicted PPIs'!R118+'Predicted PPIs'!R117)))*IF(I$26=".", 1, (I118/I117)^(('Summary, PPI''s'!$I118+'Summary, PPI''s'!$I117)/('Predicted PPIs'!R118+'Predicted PPIs'!R117)))*IF(J$26=".", 1, (J118/J117)^(('Summary, PPI''s'!$J118+'Summary, PPI''s'!$J117)/('Predicted PPIs'!R118+'Predicted PPIs'!R117)))*IF(K$26=".", 1, (K118/K117)^(('Summary, PPI''s'!$K118+'Summary, PPI''s'!$K117)/('Predicted PPIs'!R118+'Predicted PPIs'!R117)))*IF(L$26=".", 1, (L118/L117)^(('Summary, PPI''s'!$L118+'Summary, PPI''s'!$L117)/('Predicted PPIs'!R118+'Predicted PPIs'!R117)))*IF(M$26=".", 1, (M118/M117)^(('Summary, PPI''s'!$M118+'Summary, PPI''s'!$M117)/('Predicted PPIs'!R118+'Predicted PPIs'!R117)))*IF(B$26=".", 1, (B118/B117)^(('Summary, PPI''s'!$B118+'Summary, PPI''s'!$B117)/('Predicted PPIs'!R118+'Predicted PPIs'!R117)))*IF(C$26=".", 1, (C118/C117)^(('Summary, PPI''s'!$C118+'Summary, PPI''s'!$C117)/('Predicted PPIs'!R118+'Predicted PPIs'!R117)))*IF(D$26=".", 1, (D118/D117)^(('Summary, PPI''s'!$D118+'Summary, PPI''s'!$D117)/('Predicted PPIs'!R118+'Predicted PPIs'!R117)))*IF(N$26=".", 1, (N118/N117)^(('Summary, PPI''s'!$N118+'Summary, PPI''s'!$N117)/('Predicted PPIs'!R118+'Predicted PPIs'!R117)))*IF(O$26=".", 1, (O118/O117)^(('Summary, PPI''s'!$O118+'Summary, PPI''s'!$O117)/('Predicted PPIs'!R118+'Predicted PPIs'!R117)))*IF(P$26=".", 1, (P118/P117)^(('Summary, PPI''s'!$P118+'Summary, PPI''s'!$P117)/('Predicted PPIs'!R118+'Predicted PPIs'!R117)))</f>
        <v>#VALUE!</v>
      </c>
      <c r="AA118" s="4" t="e">
        <f>AA117*IF(E$36=".", 1, (E118/E117)^(('Summary, PPI''s'!$E118+'Summary, PPI''s'!$E117)/('Predicted PPIs'!S118+'Predicted PPIs'!S117)))*IF(F$36=".", 1, (F118/F117)^(('Summary, PPI''s'!$F118+'Summary, PPI''s'!$F117)/('Predicted PPIs'!S118+'Predicted PPIs'!S117)))*IF(G$36=".", 1, (G118/G117)^(('Summary, PPI''s'!$G118+'Summary, PPI''s'!$G117)/('Predicted PPIs'!S118+'Predicted PPIs'!S117)))*IF(H$36=".", 1, (H118/H117)^(('Summary, PPI''s'!$H118+'Summary, PPI''s'!$H117)/('Predicted PPIs'!S118+'Predicted PPIs'!S117)))*IF(I$36=".", 1, (I118/I117)^(('Summary, PPI''s'!$I118+'Summary, PPI''s'!$I117)/('Predicted PPIs'!S118+'Predicted PPIs'!S117)))*IF(J$36=".", 1, (J118/J117)^(('Summary, PPI''s'!$J118+'Summary, PPI''s'!$J117)/('Predicted PPIs'!S118+'Predicted PPIs'!S117)))*IF(K$36=".", 1, (K118/K117)^(('Summary, PPI''s'!$K118+'Summary, PPI''s'!$K117)/('Predicted PPIs'!S118+'Predicted PPIs'!S117)))*IF(L$36=".", 1, (L118/L117)^(('Summary, PPI''s'!$L118+'Summary, PPI''s'!$L117)/('Predicted PPIs'!S118+'Predicted PPIs'!S117)))*IF(M$36=".", 1, (M118/M117)^(('Summary, PPI''s'!$M118+'Summary, PPI''s'!$M117)/('Predicted PPIs'!S118+'Predicted PPIs'!S117)))*IF(B$36=".", 1, (B118/B117)^(('Summary, PPI''s'!$B118+'Summary, PPI''s'!$B117)/('Predicted PPIs'!S118+'Predicted PPIs'!S117)))*IF(C$36=".", 1, (C118/C117)^(('Summary, PPI''s'!$C118+'Summary, PPI''s'!$C117)/('Predicted PPIs'!S118+'Predicted PPIs'!S117)))*IF(D$36=".", 1, (D118/D117)^(('Summary, PPI''s'!$D118+'Summary, PPI''s'!$D117)/('Predicted PPIs'!S118+'Predicted PPIs'!S117)))*IF(N$36=".", 1, (N118/N117)^(('Summary, PPI''s'!$N118+'Summary, PPI''s'!$N117)/('Predicted PPIs'!S118+'Predicted PPIs'!S117)))*IF(O$36=".", 1, (O118/O117)^(('Summary, PPI''s'!$O118+'Summary, PPI''s'!$O117)/('Predicted PPIs'!S118+'Predicted PPIs'!S117)))*IF(P$36=".", 1, (P118/P117)^(('Summary, PPI''s'!$P118+'Summary, PPI''s'!$P117)/('Predicted PPIs'!S118+'Predicted PPIs'!S117)))</f>
        <v>#VALUE!</v>
      </c>
      <c r="AB118" s="4" t="e">
        <f>AB117*IF(E$46=".", 1, (E118/E117)^(('Summary, PPI''s'!$E118+'Summary, PPI''s'!$E117)/('Predicted PPIs'!T118+'Predicted PPIs'!T117)))*IF(F$46=".", 1, (F118/F117)^(('Summary, PPI''s'!$F118+'Summary, PPI''s'!$F117)/('Predicted PPIs'!T118+'Predicted PPIs'!T117)))*IF(G$46=".", 1, (G118/G117)^(('Summary, PPI''s'!$G118+'Summary, PPI''s'!$G117)/('Predicted PPIs'!T118+'Predicted PPIs'!T117)))*IF(H$46=".", 1, (H118/H117)^(('Summary, PPI''s'!$H118+'Summary, PPI''s'!$H117)/('Predicted PPIs'!T118+'Predicted PPIs'!T117)))*IF(I$46=".", 1, (I118/I117)^(('Summary, PPI''s'!$I118+'Summary, PPI''s'!$I117)/('Predicted PPIs'!T118+'Predicted PPIs'!T117)))*IF(J$46=".", 1, (J118/J117)^(('Summary, PPI''s'!$J118+'Summary, PPI''s'!$J117)/('Predicted PPIs'!T118+'Predicted PPIs'!T117)))*IF(K$46=".", 1, (K118/K117)^(('Summary, PPI''s'!$K118+'Summary, PPI''s'!$K117)/('Predicted PPIs'!T118+'Predicted PPIs'!T117)))*IF(L$46=".", 1, (L118/L117)^(('Summary, PPI''s'!$L118+'Summary, PPI''s'!$L117)/('Predicted PPIs'!T118+'Predicted PPIs'!T117)))*IF(M$46=".", 1, (M118/M117)^(('Summary, PPI''s'!$M118+'Summary, PPI''s'!$M117)/('Predicted PPIs'!T118+'Predicted PPIs'!T117)))*IF(B$46=".", 1, (B118/B117)^(('Summary, PPI''s'!$B118+'Summary, PPI''s'!$B117)/('Predicted PPIs'!T118+'Predicted PPIs'!T117)))*IF(C$46=".", 1, (C118/C117)^(('Summary, PPI''s'!$C118+'Summary, PPI''s'!$C117)/('Predicted PPIs'!T118+'Predicted PPIs'!T117)))*IF(D$46=".", 1, (D118/D117)^(('Summary, PPI''s'!$D118+'Summary, PPI''s'!$D117)/('Predicted PPIs'!T118+'Predicted PPIs'!T117)))*IF(N$46=".", 1, (N118/N117)^(('Summary, PPI''s'!$N118+'Summary, PPI''s'!$N117)/('Predicted PPIs'!T118+'Predicted PPIs'!T117)))*IF(O$46=".", 1, (O118/O117)^(('Summary, PPI''s'!$O118+'Summary, PPI''s'!$O117)/('Predicted PPIs'!T118+'Predicted PPIs'!T117)))*IF(P$46=".", 1, (P118/P117)^(('Summary, PPI''s'!$P118+'Summary, PPI''s'!$P117)/('Predicted PPIs'!T118+'Predicted PPIs'!T117)))</f>
        <v>#VALUE!</v>
      </c>
      <c r="AC118" s="4" t="e">
        <f>AC117*IF(E$60=".",1,(E118/E117)^(('Summary, PPI''s'!$E118+'Summary, PPI''s'!$E117)/('Predicted PPIs'!U118+'Predicted PPIs'!U117)))*IF(F$60=".",1,(F118/F117)^(('Summary, PPI''s'!$F118+'Summary, PPI''s'!$F117)/('Predicted PPIs'!U118+'Predicted PPIs'!U117)))*IF(G$60=".",1,(G118/G117)^(('Summary, PPI''s'!$G118+'Summary, PPI''s'!$G117)/('Predicted PPIs'!U118+'Predicted PPIs'!U117)))*IF(H$60=".",1,(H118/H117)^(('Summary, PPI''s'!$H118+'Summary, PPI''s'!$H117)/('Predicted PPIs'!U118+'Predicted PPIs'!U117)))*IF(I$60=".",1,(I118/I117)^(('Summary, PPI''s'!$I118+'Summary, PPI''s'!$I117)/('Predicted PPIs'!U118+'Predicted PPIs'!U117)))*IF(J$60=".",1,(J118/J117)^(('Summary, PPI''s'!$J118+'Summary, PPI''s'!$J117)/('Predicted PPIs'!U118+'Predicted PPIs'!U117)))*IF(K$60=".",1,(K118/K117)^(('Summary, PPI''s'!$K118+'Summary, PPI''s'!$K117)/('Predicted PPIs'!U118+'Predicted PPIs'!U117)))*IF(L$60=".",1,(L118/L117)^(('Summary, PPI''s'!$L118+'Summary, PPI''s'!$L117)/('Predicted PPIs'!U118+'Predicted PPIs'!U117)))*IF(M$60=".",1,(M118/M117)^(('Summary, PPI''s'!$M118+'Summary, PPI''s'!$M117)/('Predicted PPIs'!U118+'Predicted PPIs'!U117)))*IF(B$60=".",1,(B118/B117)^(('Summary, PPI''s'!$B118+'Summary, PPI''s'!$B117)/('Predicted PPIs'!U118+'Predicted PPIs'!U117)))*IF(C$60=".",1,(C118/C117)^(('Summary, PPI''s'!$C118+'Summary, PPI''s'!$C117)/('Predicted PPIs'!U118+'Predicted PPIs'!U117)))*IF(D$60=".",1,(D118/D117)^(('Summary, PPI''s'!$D118+'Summary, PPI''s'!$D117)/('Predicted PPIs'!U118+'Predicted PPIs'!U117)))*IF(N$60=".",1,(N118/N117)^(('Summary, PPI''s'!$N118+'Summary, PPI''s'!$N117)/('Predicted PPIs'!U118+'Predicted PPIs'!U117)))*IF(O$60=".",1,(O118/O117)^(('Summary, PPI''s'!$O118+'Summary, PPI''s'!$O117)/('Predicted PPIs'!U118+'Predicted PPIs'!U117)))*IF(P$60=".",1,(P118/P117)^(('Summary, PPI''s'!$P118+'Summary, PPI''s'!$P117)/('Predicted PPIs'!U118+'Predicted PPIs'!U117)))</f>
        <v>#VALUE!</v>
      </c>
      <c r="AD118" s="4" t="e">
        <f>AD117*IF(E$73=".", 1, (E118/E117)^(('Summary, PPI''s'!$E118+'Summary, PPI''s'!$E117)/('Predicted PPIs'!V118+'Predicted PPIs'!V117)))*IF(F$73=".", 1, (F118/F117)^(('Summary, PPI''s'!$F118+'Summary, PPI''s'!$F117)/('Predicted PPIs'!V118+'Predicted PPIs'!V117)))*IF(G$73=".", 1, (G118/G117)^(('Summary, PPI''s'!$G118+'Summary, PPI''s'!$G117)/('Predicted PPIs'!V118+'Predicted PPIs'!V117)))*IF(H$73=".", 1, (H118/H117)^(('Summary, PPI''s'!$H118+'Summary, PPI''s'!$H117)/('Predicted PPIs'!V118+'Predicted PPIs'!V117)))*IF(I$73=".", 1, (I118/I117)^(('Summary, PPI''s'!$I118+'Summary, PPI''s'!$I117)/('Predicted PPIs'!V118+'Predicted PPIs'!V117)))*IF(J$73=".", 1, (J118/J117)^(('Summary, PPI''s'!$J118+'Summary, PPI''s'!$J117)/('Predicted PPIs'!V118+'Predicted PPIs'!V117)))*IF(K$73=".", 1, (K118/K117)^(('Summary, PPI''s'!$K118+'Summary, PPI''s'!$K117)/('Predicted PPIs'!V118+'Predicted PPIs'!V117)))*IF(L$73=".", 1, (L118/L117)^(('Summary, PPI''s'!$L118+'Summary, PPI''s'!$L117)/('Predicted PPIs'!V118+'Predicted PPIs'!V117)))*IF(M$73=".", 1, (M118/M117)^(('Summary, PPI''s'!$M118+'Summary, PPI''s'!$M117)/('Predicted PPIs'!V118+'Predicted PPIs'!V117)))*IF(B$73=".", 1, (B118/B117)^(('Summary, PPI''s'!$B118+'Summary, PPI''s'!$B117)/('Predicted PPIs'!V118+'Predicted PPIs'!V117)))*IF(C$73=".", 1, (C118/C117)^(('Summary, PPI''s'!$C118+'Summary, PPI''s'!$C117)/('Predicted PPIs'!V118+'Predicted PPIs'!V117)))*IF(D$73=".", 1, (D118/D117)^(('Summary, PPI''s'!$D118+'Summary, PPI''s'!$D117)/('Predicted PPIs'!V118+'Predicted PPIs'!V117)))*IF(N$73=".", 1, (N118/N117)^(('Summary, PPI''s'!$N118+'Summary, PPI''s'!$N117)/('Predicted PPIs'!V118+'Predicted PPIs'!V117)))*IF(O$73=".", 1, (O118/O117)^(('Summary, PPI''s'!$O118+'Summary, PPI''s'!$O117)/('Predicted PPIs'!V118+'Predicted PPIs'!V117)))*IF(P$73=".", 1, (P118/P117)^(('Summary, PPI''s'!$P118+'Summary, PPI''s'!$P117)/('Predicted PPIs'!V118+'Predicted PPIs'!V117)))</f>
        <v>#VALUE!</v>
      </c>
      <c r="AE118" s="4" t="e">
        <f>AE117*IF(E$94=".", 1, (E118/E117)^(('Summary, PPI''s'!$E118+'Summary, PPI''s'!$E117)/('Predicted PPIs'!W118+'Predicted PPIs'!W117)))*IF(F$94=".", 1, (F118/F117)^(('Summary, PPI''s'!$F118+'Summary, PPI''s'!$F117)/('Predicted PPIs'!W118+'Predicted PPIs'!W117)))*IF(G$94=".", 1, (G118/G117)^(('Summary, PPI''s'!$G118+'Summary, PPI''s'!$G117)/('Predicted PPIs'!W118+'Predicted PPIs'!W117)))*IF(H$94=".", 1, (H118/H117)^(('Summary, PPI''s'!$H118+'Summary, PPI''s'!$H117)/('Predicted PPIs'!W118+'Predicted PPIs'!W117)))*IF(I$94=".", 1, (I118/I117)^(('Summary, PPI''s'!$I118+'Summary, PPI''s'!$I117)/('Predicted PPIs'!W118+'Predicted PPIs'!W117)))*IF(J$94=".", 1, (J118/J117)^(('Summary, PPI''s'!$J118+'Summary, PPI''s'!$J117)/('Predicted PPIs'!W118+'Predicted PPIs'!W117)))*IF(K$94=".", 1, (K118/K117)^(('Summary, PPI''s'!$K118+'Summary, PPI''s'!$K117)/('Predicted PPIs'!W118+'Predicted PPIs'!W117)))*IF(L$94=".", 1, (L118/L117)^(('Summary, PPI''s'!$L118+'Summary, PPI''s'!$L117)/('Predicted PPIs'!W118+'Predicted PPIs'!W117)))*IF(M$94=".", 1, (M118/M117)^(('Summary, PPI''s'!$M118+'Summary, PPI''s'!$M117)/('Predicted PPIs'!W118+'Predicted PPIs'!W117)))*IF(B$94=".", 1, (B118/B117)^(('Summary, PPI''s'!$B118+'Summary, PPI''s'!$B117)/('Predicted PPIs'!W118+'Predicted PPIs'!W117)))*IF(C$94=".", 1, (C118/C117)^(('Summary, PPI''s'!$C118+'Summary, PPI''s'!$C117)/('Predicted PPIs'!W118+'Predicted PPIs'!W117)))*IF(D$94=".", 1, (D118/D117)^(('Summary, PPI''s'!$D118+'Summary, PPI''s'!$D117)/('Predicted PPIs'!W118+'Predicted PPIs'!W117)))*IF(N$94=".", 1, (N118/N117)^(('Summary, PPI''s'!$N118+'Summary, PPI''s'!$N117)/('Predicted PPIs'!W118+'Predicted PPIs'!W117)))*IF(O$94=".", 1, (O118/O117)^(('Summary, PPI''s'!$O118+'Summary, PPI''s'!$O117)/('Predicted PPIs'!W118+'Predicted PPIs'!W117)))*IF(P$94=".", 1, (P118/P117)^(('Summary, PPI''s'!$P118+'Summary, PPI''s'!$P117)/('Predicted PPIs'!W118+'Predicted PPIs'!W117)))</f>
        <v>#VALUE!</v>
      </c>
      <c r="AF118" s="4">
        <f>AF117*IF(E$123=".", 1, (E118/E117)^(('Summary, PPI''s'!$E118+'Summary, PPI''s'!$E117)/('Predicted PPIs'!X118+'Predicted PPIs'!X117)))*IF(F$123=".", 1, (F118/F117)^(('Summary, PPI''s'!$F118+'Summary, PPI''s'!$F117)/('Predicted PPIs'!X118+'Predicted PPIs'!X117)))*IF(G$123=".", 1, (G118/G117)^(('Summary, PPI''s'!$G118+'Summary, PPI''s'!$G117)/('Predicted PPIs'!X118+'Predicted PPIs'!X117)))*IF(H$123=".", 1, (H118/H117)^(('Summary, PPI''s'!$H118+'Summary, PPI''s'!$H117)/('Predicted PPIs'!X118+'Predicted PPIs'!X117)))*IF(I$123=".", 1, (I118/I117)^(('Summary, PPI''s'!$I118+'Summary, PPI''s'!$I117)/('Predicted PPIs'!X118+'Predicted PPIs'!X117)))*IF(J$123=".", 1, (J118/J117)^(('Summary, PPI''s'!$J118+'Summary, PPI''s'!$J117)/('Predicted PPIs'!X118+'Predicted PPIs'!X117)))*IF(K$123=".", 1, (K118/K117)^(('Summary, PPI''s'!$K118+'Summary, PPI''s'!$K117)/('Predicted PPIs'!X118+'Predicted PPIs'!X117)))*IF(L$123=".", 1, (L118/L117)^(('Summary, PPI''s'!$L118+'Summary, PPI''s'!$L117)/('Predicted PPIs'!X118+'Predicted PPIs'!X117)))*IF(M$123=".", 1, (M118/M117)^(('Summary, PPI''s'!$M118+'Summary, PPI''s'!$M117)/('Predicted PPIs'!X118+'Predicted PPIs'!X117)))*IF(B$123=".", 1, (B118/B117)^(('Summary, PPI''s'!$B118+'Summary, PPI''s'!$B117)/('Predicted PPIs'!X118+'Predicted PPIs'!X117)))*IF(C$123=".", 1, (C118/C117)^(('Summary, PPI''s'!$C118+'Summary, PPI''s'!$C117)/('Predicted PPIs'!X118+'Predicted PPIs'!X117)))*IF(D$123=".", 1, (D118/D117)^(('Summary, PPI''s'!$D118+'Summary, PPI''s'!$D117)/('Predicted PPIs'!X118+'Predicted PPIs'!X117)))*IF(N$123=".", 1, (N118/N117)^(('Summary, PPI''s'!$N118+'Summary, PPI''s'!$N117)/('Predicted PPIs'!X118+'Predicted PPIs'!X117)))*IF(O$123=".", 1, (O118/O117)^(('Summary, PPI''s'!$O118+'Summary, PPI''s'!$O117)/('Predicted PPIs'!X118+'Predicted PPIs'!X117)))*IF(P$123=".", 1, (P118/P117)^(('Summary, PPI''s'!$P118+'Summary, PPI''s'!$P117)/('Predicted PPIs'!X118+'Predicted PPIs'!X117)))</f>
        <v>2.4024470466117953</v>
      </c>
      <c r="AH118" s="13">
        <f t="shared" si="212"/>
        <v>3.4308311308166033</v>
      </c>
      <c r="AJ118" s="4">
        <f t="shared" si="207"/>
        <v>17.487085867562321</v>
      </c>
      <c r="AK118" s="4">
        <f t="shared" si="191"/>
        <v>-0.38702038877434414</v>
      </c>
      <c r="AL118" s="4">
        <f t="shared" si="192"/>
        <v>-1.3257651146105385</v>
      </c>
      <c r="AM118" s="4">
        <f t="shared" si="193"/>
        <v>-0.20627531520780878</v>
      </c>
      <c r="AN118" s="4">
        <f t="shared" si="176"/>
        <v>23.319714878361374</v>
      </c>
      <c r="AO118" s="4">
        <v>4.0999999999999996</v>
      </c>
      <c r="AP118" s="4">
        <f t="shared" si="177"/>
        <v>-0.37930481283422463</v>
      </c>
      <c r="AQ118" s="4">
        <f t="shared" si="178"/>
        <v>-0.71706149732620295</v>
      </c>
      <c r="AR118" s="4">
        <f t="shared" si="210"/>
        <v>-1.8869410567051024E-5</v>
      </c>
      <c r="AS118" s="4">
        <f t="shared" si="208"/>
        <v>-3.8787922805561308E-2</v>
      </c>
      <c r="AT118" s="4">
        <f t="shared" si="194"/>
        <v>4.068684057971014</v>
      </c>
      <c r="AU118" s="4">
        <f t="shared" si="195"/>
        <v>6.6995855072463737</v>
      </c>
      <c r="AV118" s="4">
        <f t="shared" si="196"/>
        <v>5.2105942028985499</v>
      </c>
      <c r="AW118" s="4">
        <f t="shared" si="197"/>
        <v>2.9136434782608709</v>
      </c>
      <c r="AX118" s="4">
        <f t="shared" si="198"/>
        <v>3.8755420753920191</v>
      </c>
      <c r="AY118" s="4">
        <f t="shared" si="199"/>
        <v>4.5571362318840576</v>
      </c>
      <c r="AZ118" s="4">
        <f t="shared" si="200"/>
        <v>1.557707246376812</v>
      </c>
      <c r="BA118" s="4">
        <f t="shared" si="201"/>
        <v>4.2196840579710129</v>
      </c>
      <c r="BB118" s="4">
        <f t="shared" si="202"/>
        <v>24.135552655019524</v>
      </c>
      <c r="BC118" s="4">
        <f t="shared" si="203"/>
        <v>3.9553246376811604</v>
      </c>
      <c r="BD118" s="5">
        <f>'[2]Ordinary Experience'!$AD$308</f>
        <v>90.6</v>
      </c>
      <c r="BE118" s="5">
        <f>'[2]Ordinary Experience'!$AC$308</f>
        <v>0.72148667894984064</v>
      </c>
      <c r="BG118" s="4">
        <f t="shared" si="172"/>
        <v>4.43511071066421</v>
      </c>
      <c r="BI118" s="4">
        <f>BI$13*'[2]Ordinary Experience'!$D$308/'[2]Ordinary Experience'!$D$413</f>
        <v>83910950.097551972</v>
      </c>
      <c r="BJ118" s="4">
        <f>'[2]Ordinary Experience'!$E$308</f>
        <v>33.278371354379708</v>
      </c>
      <c r="BL118" s="4">
        <f t="shared" si="211"/>
        <v>19.987336144875009</v>
      </c>
      <c r="BM118" s="4">
        <f t="shared" si="153"/>
        <v>-1.1535859523172154E-2</v>
      </c>
      <c r="BO118" s="4" t="str">
        <f>IF(OR('Summary, hourly ad costs'!R118=-9999,'Summary, PPI''s'!R118="."),".",(('Summary, hourly ad costs'!B118/'Summary, hourly ad costs'!R118)*100/('Summary, hourly ad costs'!B$11/'Summary, hourly ad costs'!R$11))/('Summary, PPI''s'!R118))</f>
        <v>.</v>
      </c>
      <c r="BP118" s="4" t="str">
        <f>IF(OR('Summary, hourly ad costs'!S118=-9999,'Summary, PPI''s'!S118="."),".",(('Summary, hourly ad costs'!C118/'Summary, hourly ad costs'!S118)*100/('Summary, hourly ad costs'!C$11/'Summary, hourly ad costs'!S$11))/('Summary, PPI''s'!S118))</f>
        <v>.</v>
      </c>
      <c r="BQ118" s="4" t="str">
        <f>IF(OR('Summary, hourly ad costs'!T118=-9999,'Summary, PPI''s'!T118="."),".",(('Summary, hourly ad costs'!D118/'Summary, hourly ad costs'!T118)*100/('Summary, hourly ad costs'!D$11/'Summary, hourly ad costs'!T$11))/('Summary, PPI''s'!T118))</f>
        <v>.</v>
      </c>
      <c r="BR118" s="4" t="str">
        <f>IF(OR('Summary, hourly ad costs'!U118=-9999,'Summary, PPI''s'!U118="."),".",(('Summary, hourly ad costs'!E118/'Summary, hourly ad costs'!U118)*100/('Summary, hourly ad costs'!E$11/'Summary, hourly ad costs'!U$11))/('Summary, PPI''s'!U118))</f>
        <v>.</v>
      </c>
      <c r="BS118" s="4" t="str">
        <f>IF(OR('Summary, hourly ad costs'!V118=-9999,'Summary, PPI''s'!V118="."),".",(('Summary, hourly ad costs'!F118/'Summary, hourly ad costs'!V118)*100/('Summary, hourly ad costs'!F$11/'Summary, hourly ad costs'!V$11))/('Summary, PPI''s'!V118))</f>
        <v>.</v>
      </c>
      <c r="BT118" s="4" t="str">
        <f>IF(OR('Summary, hourly ad costs'!W118=-9999,'Summary, PPI''s'!W118="."),".",(('Summary, hourly ad costs'!G118/'Summary, hourly ad costs'!W118)*100/('Summary, hourly ad costs'!G$11/'Summary, hourly ad costs'!W$11))/('Summary, PPI''s'!W118))</f>
        <v>.</v>
      </c>
      <c r="BU118" s="4" t="str">
        <f>IF(OR('Summary, hourly ad costs'!X118=-9999,'Summary, PPI''s'!X118="."),".",(('Summary, hourly ad costs'!H118/'Summary, hourly ad costs'!X118)*100/('Summary, hourly ad costs'!H$11/'Summary, hourly ad costs'!X$11))/('Summary, PPI''s'!X118))</f>
        <v>.</v>
      </c>
      <c r="BV118" s="4" t="str">
        <f>IF(OR('Summary, hourly ad costs'!Y118=-9999,'Summary, PPI''s'!Y118="."),".",(('Summary, hourly ad costs'!I118/'Summary, hourly ad costs'!Y118)*100/('Summary, hourly ad costs'!I$11/'Summary, hourly ad costs'!Y$11))/('Summary, PPI''s'!Y118))</f>
        <v>.</v>
      </c>
      <c r="BW118" s="4" t="str">
        <f>IF(OR('Summary, hourly ad costs'!Z118=-9999,'Summary, PPI''s'!Z118="."),".",(('Summary, hourly ad costs'!J118/'Summary, hourly ad costs'!Z118)*100/('Summary, hourly ad costs'!J$11/'Summary, hourly ad costs'!Z$11))/('Summary, PPI''s'!Z118))</f>
        <v>.</v>
      </c>
      <c r="BX118" s="4" t="str">
        <f>IF(OR('Summary, hourly ad costs'!AA118=-9999,'Summary, PPI''s'!AA118="."),".",(('Summary, hourly ad costs'!K118/'Summary, hourly ad costs'!AA118)*100/('Summary, hourly ad costs'!K$11/'Summary, hourly ad costs'!AA$11))/('Summary, PPI''s'!AA118))</f>
        <v>.</v>
      </c>
      <c r="BY118" s="4" t="str">
        <f>IF(OR('Summary, hourly ad costs'!AB118=-9999,'Summary, PPI''s'!AB118="."),".",(('Summary, hourly ad costs'!L118/'Summary, hourly ad costs'!AB118)*100/('Summary, hourly ad costs'!L$11/'Summary, hourly ad costs'!AB$11))/('Summary, PPI''s'!AB118))</f>
        <v>.</v>
      </c>
      <c r="BZ118" s="4" t="str">
        <f>IF(OR('Summary, hourly ad costs'!AC118=-9999,'Summary, PPI''s'!AC118="."),".",(('Summary, hourly ad costs'!M118/'Summary, hourly ad costs'!AC118)*100/('Summary, hourly ad costs'!M$11/'Summary, hourly ad costs'!AC$11))/('Summary, PPI''s'!AC118))</f>
        <v>.</v>
      </c>
      <c r="CA118" s="4" t="str">
        <f>IF(OR('Summary, hourly ad costs'!AD118=-9999,'Summary, PPI''s'!AD118="."),".",(('Summary, hourly ad costs'!N118/'Summary, hourly ad costs'!AD118)*100/('Summary, hourly ad costs'!N$11/'Summary, hourly ad costs'!AD$11))/('Summary, PPI''s'!AD118))</f>
        <v>.</v>
      </c>
      <c r="CB118" s="4" t="str">
        <f>IF(OR('Summary, hourly ad costs'!AE118=-9999,'Summary, PPI''s'!AE118="."),".",(('Summary, hourly ad costs'!O118/'Summary, hourly ad costs'!AE118)*100/('Summary, hourly ad costs'!O$11/'Summary, hourly ad costs'!AE$11))/('Summary, PPI''s'!AE118))</f>
        <v>.</v>
      </c>
      <c r="CC118" s="4" t="str">
        <f>IF(OR('Summary, hourly ad costs'!AF118=-9999,'Summary, PPI''s'!AF118="."),".",(('Summary, hourly ad costs'!P118/'Summary, hourly ad costs'!AF118)*100/('Summary, hourly ad costs'!P$11/'Summary, hourly ad costs'!AF$11))/('Summary, PPI''s'!AF118))</f>
        <v>.</v>
      </c>
      <c r="CE118" s="4">
        <f t="shared" si="183"/>
        <v>-4.28173434563359E-2</v>
      </c>
      <c r="CF118" s="4" t="str">
        <f t="shared" si="184"/>
        <v>.</v>
      </c>
      <c r="CG118" s="4" t="str">
        <f t="shared" si="185"/>
        <v>.</v>
      </c>
      <c r="CH118" s="4">
        <f t="shared" si="145"/>
        <v>-3.6126608994339796E-2</v>
      </c>
      <c r="CI118" s="4">
        <f t="shared" si="145"/>
        <v>-3.9325837319631907E-2</v>
      </c>
      <c r="CJ118" s="4" t="str">
        <f t="shared" si="209"/>
        <v>.</v>
      </c>
      <c r="CK118" s="4">
        <f t="shared" si="149"/>
        <v>5.1911234259948737E-3</v>
      </c>
      <c r="CL118" s="4">
        <f t="shared" si="234"/>
        <v>-2.7769688802548799E-2</v>
      </c>
      <c r="CM118" s="4">
        <f t="shared" si="234"/>
        <v>5.2083537530662177E-3</v>
      </c>
      <c r="CN118" s="4">
        <f t="shared" si="204"/>
        <v>-4.2407069624283596E-2</v>
      </c>
      <c r="CO118" s="4">
        <f t="shared" si="180"/>
        <v>-8.1644227225960223E-2</v>
      </c>
      <c r="CP118" s="4">
        <f t="shared" si="180"/>
        <v>0.22143728792285555</v>
      </c>
      <c r="CQ118" s="4" t="str">
        <f t="shared" si="230"/>
        <v>.</v>
      </c>
      <c r="CR118" s="4" t="str">
        <f t="shared" si="231"/>
        <v>.</v>
      </c>
      <c r="CS118" s="4" t="str">
        <f t="shared" si="232"/>
        <v>.</v>
      </c>
      <c r="CU118" s="5">
        <f>IF(CU117=".", ".", IF('Summary, PPI''s'!R118=".",IF(OR('Summary, hourly ad costs'!R118=-9999,'Summary, hourly ad costs'!R118=0), ".", 'Predicted PPIs'!CU117*('Summary, hourly ad costs'!B118/'Summary, hourly ad costs'!R118)/('Summary, hourly ad costs'!B117/'Summary, hourly ad costs'!R117)/(1-CE117)), 'Summary, PPI''s'!R118))</f>
        <v>25.520799982771145</v>
      </c>
      <c r="CV118" s="5" t="str">
        <f>IF(CV117=".", ".", IF('Summary, PPI''s'!S118=".",IF(OR('Summary, hourly ad costs'!S118=-9999,'Summary, hourly ad costs'!S118=0), ".", 'Predicted PPIs'!CV117*('Summary, hourly ad costs'!C118/'Summary, hourly ad costs'!S118)/('Summary, hourly ad costs'!C117/'Summary, hourly ad costs'!S117)/(1-CF117)), 'Summary, PPI''s'!S118))</f>
        <v>.</v>
      </c>
      <c r="CW118" s="5" t="str">
        <f>IF(CW117=".", ".", IF('Summary, PPI''s'!T118=".",IF(OR('Summary, hourly ad costs'!T118=-9999,'Summary, hourly ad costs'!T118=0), ".", 'Predicted PPIs'!CW117*('Summary, hourly ad costs'!D118/'Summary, hourly ad costs'!T118)/('Summary, hourly ad costs'!D117/'Summary, hourly ad costs'!T117)/(1-CG117)), 'Summary, PPI''s'!T118))</f>
        <v>.</v>
      </c>
      <c r="CX118" s="5">
        <f>IF(CX117=".", ".", IF('Summary, PPI''s'!U118=".",IF(OR('Summary, hourly ad costs'!U118=-9999,'Summary, hourly ad costs'!U118=0), ".", 'Predicted PPIs'!CX117*('Summary, hourly ad costs'!E118/'Summary, hourly ad costs'!U118)/('Summary, hourly ad costs'!E117/'Summary, hourly ad costs'!U117)/(1-CH117)), 'Summary, PPI''s'!U118))</f>
        <v>0.99538280789440547</v>
      </c>
      <c r="CY118" s="5">
        <f>IF(CY117=".", ".", IF('Summary, PPI''s'!V118=".",IF(OR('Summary, hourly ad costs'!V118=-9999,'Summary, hourly ad costs'!V118=0), ".", 'Predicted PPIs'!CY117*('Summary, hourly ad costs'!F118/'Summary, hourly ad costs'!V118)/('Summary, hourly ad costs'!F117/'Summary, hourly ad costs'!V117)/(1-CI117)), 'Summary, PPI''s'!V118))</f>
        <v>0.93853388314229558</v>
      </c>
      <c r="CZ118" s="5" t="str">
        <f>IF(CZ117=".", ".", IF('Summary, PPI''s'!W118=".",IF(OR('Summary, hourly ad costs'!W118=-9999,'Summary, hourly ad costs'!W118=0), ".", 'Predicted PPIs'!CZ117*('Summary, hourly ad costs'!G118/'Summary, hourly ad costs'!W118)/('Summary, hourly ad costs'!G117/'Summary, hourly ad costs'!W117)/(1-CJ117)), 'Summary, PPI''s'!W118))</f>
        <v>.</v>
      </c>
      <c r="DA118" s="5">
        <f>IF(DA117=".", ".", IF('Summary, PPI''s'!X118=".",IF(OR('Summary, hourly ad costs'!X118=-9999,'Summary, hourly ad costs'!X118=0), ".", 'Predicted PPIs'!DA117*('Summary, hourly ad costs'!H118/'Summary, hourly ad costs'!X118)/('Summary, hourly ad costs'!H117/'Summary, hourly ad costs'!X117)/(1-CK117)), 'Summary, PPI''s'!X118))</f>
        <v>1.0499714200500525</v>
      </c>
      <c r="DB118" s="5" t="str">
        <f>IF(DB117=".", ".", IF('Summary, PPI''s'!Y118=".",IF(OR('Summary, hourly ad costs'!Y118=-9999,'Summary, hourly ad costs'!Y118=0), ".", 'Predicted PPIs'!DB117*('Summary, hourly ad costs'!I118/'Summary, hourly ad costs'!Y118)/('Summary, hourly ad costs'!I117/'Summary, hourly ad costs'!Y117)/(1-CL117)), 'Summary, PPI''s'!Y118))</f>
        <v>.</v>
      </c>
      <c r="DC118" s="5" t="str">
        <f>IF(DC117=".", ".", IF('Summary, PPI''s'!Z118=".",IF(OR('Summary, hourly ad costs'!Z118=-9999,'Summary, hourly ad costs'!Z118=0), ".", 'Predicted PPIs'!DC117*('Summary, hourly ad costs'!J118/'Summary, hourly ad costs'!Z118)/('Summary, hourly ad costs'!J117/'Summary, hourly ad costs'!Z117)/(1-CM117)), 'Summary, PPI''s'!Z118))</f>
        <v>.</v>
      </c>
      <c r="DD118" s="5" t="str">
        <f>IF(DD117=".", ".", IF('Summary, PPI''s'!AA118=".",IF(OR('Summary, hourly ad costs'!AA118=-9999,'Summary, hourly ad costs'!AA118=0), ".", 'Predicted PPIs'!DD117*('Summary, hourly ad costs'!K118/'Summary, hourly ad costs'!AA118)/('Summary, hourly ad costs'!K117/'Summary, hourly ad costs'!AA117)/(1-CN117)), 'Summary, PPI''s'!AA118))</f>
        <v>.</v>
      </c>
      <c r="DE118" s="5" t="str">
        <f>IF(DE117=".", ".", IF('Summary, PPI''s'!AB118=".",IF(OR('Summary, hourly ad costs'!AB118=-9999,'Summary, hourly ad costs'!AB118=0), ".", 'Predicted PPIs'!DE117*('Summary, hourly ad costs'!L118/'Summary, hourly ad costs'!AB118)/('Summary, hourly ad costs'!L117/'Summary, hourly ad costs'!AB117)/(1-CO117)), 'Summary, PPI''s'!AB118))</f>
        <v>.</v>
      </c>
      <c r="DF118" s="5" t="str">
        <f>IF(DF117=".", ".", IF('Summary, PPI''s'!AC118=".",IF(OR('Summary, hourly ad costs'!AC118=-9999,'Summary, hourly ad costs'!AC118=0), ".", 'Predicted PPIs'!DF117*('Summary, hourly ad costs'!M118/'Summary, hourly ad costs'!AC118)/('Summary, hourly ad costs'!M117/'Summary, hourly ad costs'!AC117)/(1-CP117)), 'Summary, PPI''s'!AC118))</f>
        <v>.</v>
      </c>
      <c r="DG118" s="5" t="str">
        <f>IF(DG117=".", ".", IF('Summary, PPI''s'!AD118=".",IF(OR('Summary, hourly ad costs'!AD118=-9999,'Summary, hourly ad costs'!AD118=0), ".", 'Predicted PPIs'!DG117*('Summary, hourly ad costs'!N118/'Summary, hourly ad costs'!AD118)/('Summary, hourly ad costs'!N117/'Summary, hourly ad costs'!AD117)/(1-CQ117)), 'Summary, PPI''s'!AD118))</f>
        <v>.</v>
      </c>
      <c r="DH118" s="5" t="str">
        <f>IF(DH117=".", ".", IF('Summary, PPI''s'!AE118=".",IF(OR('Summary, hourly ad costs'!AE118=-9999,'Summary, hourly ad costs'!AE118=0), ".", 'Predicted PPIs'!DH117*('Summary, hourly ad costs'!O118/'Summary, hourly ad costs'!AE118)/('Summary, hourly ad costs'!O117/'Summary, hourly ad costs'!AE117)/(1-CR117)), 'Summary, PPI''s'!AE118))</f>
        <v>.</v>
      </c>
      <c r="DI118" s="5" t="str">
        <f>IF(DI117=".", ".", IF('Summary, PPI''s'!AF118=".",IF(OR('Summary, hourly ad costs'!AF118=-9999,'Summary, hourly ad costs'!AF118=0), ".", 'Predicted PPIs'!DI117*('Summary, hourly ad costs'!P118/'Summary, hourly ad costs'!AF118)/('Summary, hourly ad costs'!P117/'Summary, hourly ad costs'!AF117)/(1-CS117)), 'Summary, PPI''s'!AF118))</f>
        <v>.</v>
      </c>
      <c r="DK118" s="4">
        <f t="shared" si="205"/>
        <v>0.9225754385964906</v>
      </c>
      <c r="DM118" s="5">
        <f t="shared" si="186"/>
        <v>3.0848502837671266E-2</v>
      </c>
      <c r="DN118" s="4">
        <f t="shared" si="187"/>
        <v>-1.7409939584369684E-2</v>
      </c>
      <c r="DO118" s="4">
        <f t="shared" si="233"/>
        <v>-2.2923888429644101E-2</v>
      </c>
      <c r="DP118" s="5">
        <f t="shared" si="188"/>
        <v>1.7102073878065838E-2</v>
      </c>
      <c r="DQ118" s="5">
        <f t="shared" si="189"/>
        <v>1.9806754086029388E-2</v>
      </c>
      <c r="DR118" s="4">
        <f t="shared" si="146"/>
        <v>-1.2885066424438592E-2</v>
      </c>
      <c r="DS118" s="5">
        <f t="shared" si="190"/>
        <v>1.4395642667667685E-2</v>
      </c>
      <c r="DT118" s="4">
        <f t="shared" si="206"/>
        <v>1.8974379576093943E-2</v>
      </c>
      <c r="DU118" s="4">
        <f t="shared" si="171"/>
        <v>-3.5844036335469974E-2</v>
      </c>
      <c r="DV118" s="4">
        <f t="shared" si="235"/>
        <v>1.2824200477914269E-3</v>
      </c>
      <c r="DW118" s="4">
        <f t="shared" si="182"/>
        <v>1.5449048744577865E-2</v>
      </c>
      <c r="DX118" s="4">
        <f t="shared" si="182"/>
        <v>-0.20454294954845437</v>
      </c>
      <c r="DY118" s="4">
        <f t="shared" si="228"/>
        <v>-2.1660000028597338E-2</v>
      </c>
      <c r="DZ118" s="4">
        <f t="shared" si="236"/>
        <v>-1.5418653957119411E-2</v>
      </c>
      <c r="EA118" s="4">
        <f t="shared" si="229"/>
        <v>-1.2919530856950223E-2</v>
      </c>
      <c r="EC118" s="1">
        <f t="shared" si="213"/>
        <v>25.520799982771145</v>
      </c>
      <c r="ED118" s="1">
        <f t="shared" si="214"/>
        <v>0.81275081766354862</v>
      </c>
      <c r="EE118" s="1">
        <f t="shared" si="215"/>
        <v>0.44448160106370893</v>
      </c>
      <c r="EF118" s="1">
        <f t="shared" si="216"/>
        <v>0.99538280789440547</v>
      </c>
      <c r="EG118" s="1">
        <f t="shared" si="217"/>
        <v>0.93853388314229558</v>
      </c>
      <c r="EH118" s="1">
        <f t="shared" si="218"/>
        <v>0.71672924916732583</v>
      </c>
      <c r="EI118" s="1">
        <f t="shared" si="219"/>
        <v>1.0499714200500525</v>
      </c>
      <c r="EJ118" s="1">
        <f t="shared" si="220"/>
        <v>1.3079223781149854</v>
      </c>
      <c r="EK118" s="1">
        <f t="shared" si="221"/>
        <v>1.447370612746294</v>
      </c>
      <c r="EL118" s="1">
        <f t="shared" si="222"/>
        <v>0.7661276637265646</v>
      </c>
      <c r="EM118" s="1">
        <f t="shared" si="223"/>
        <v>2.956987781285457E-2</v>
      </c>
      <c r="EN118" s="1">
        <f t="shared" si="224"/>
        <v>0.38611370830977498</v>
      </c>
      <c r="EO118" s="1">
        <f t="shared" si="225"/>
        <v>0.3428015458617113</v>
      </c>
      <c r="EP118" s="1">
        <f t="shared" si="226"/>
        <v>0.65813186610029695</v>
      </c>
      <c r="EQ118" s="1">
        <f t="shared" si="227"/>
        <v>0.53146036247785333</v>
      </c>
      <c r="ES118" s="1">
        <f>IF(EF$26=".", 0, 'Summary, PPI''s'!E118)+IF(EG$26=".", 0, 'Summary, PPI''s'!F118)+IF(EH$26=".", 0, 'Summary, PPI''s'!G118)+IF(EI$26=".", 0, 'Summary, PPI''s'!H118)+IF(EJ$26=".", 0, 'Summary, PPI''s'!I118)+IF(EK$26=".", 0, 'Summary, PPI''s'!J118)+IF(EL$26=".", 0, 'Summary, PPI''s'!K118)+IF(EM$26=".", 0, 'Summary, PPI''s'!L118)+IF(EN$26=".", 0, 'Summary, PPI''s'!M118)+IF(EC$26=".", 0, 'Summary, PPI''s'!B118)+IF(ED$26=".", 0, 'Summary, PPI''s'!C118)+IF(EE$26=".", 0, 'Summary, PPI''s'!D118)+IF(EO$26=".", 0, 'Summary, PPI''s'!N118)+IF(EP$26=".", 0, 'Summary, PPI''s'!O118)+IF(EQ$26=".", 0, 'Summary, PPI''s'!P118)</f>
        <v>546745.63240750309</v>
      </c>
      <c r="ET118" s="1">
        <f>'Summary, hourly ad costs'!E118+'Summary, hourly ad costs'!F118+'Summary, hourly ad costs'!H118+'Summary, hourly ad costs'!I118+'Summary, hourly ad costs'!J118+'Summary, hourly ad costs'!K118+'Summary, hourly ad costs'!L118+'Summary, hourly ad costs'!M118+'Summary, hourly ad costs'!B118</f>
        <v>332102.19141868211</v>
      </c>
      <c r="EV118" s="13">
        <f>EV117*IF(EF$26=".", 1, (EF118/EF117)^(('Summary, PPI''s'!$E118+'Summary, PPI''s'!$E117)/('Predicted PPIs'!ES118+'Predicted PPIs'!ES117)))*IF(EG$26=".", 1, (EG118/EG117)^(('Summary, PPI''s'!$F118+'Summary, PPI''s'!$F117)/('Predicted PPIs'!ES118+'Predicted PPIs'!ES117)))*IF(EH$26=".", 1, (EH118/EH117)^(('Summary, PPI''s'!$G118+'Summary, PPI''s'!$G117)/('Predicted PPIs'!ES118+'Predicted PPIs'!ES117)))*IF(EI$26=".", 1, (EI118/EI117)^(('Summary, PPI''s'!$H118+'Summary, PPI''s'!$H117)/('Predicted PPIs'!ES118+'Predicted PPIs'!ES117)))*IF(EJ$26=".", 1, (EJ118/EJ117)^(('Summary, PPI''s'!$I118+'Summary, PPI''s'!$I117)/('Predicted PPIs'!ES118+'Predicted PPIs'!ES117)))*IF(EK$26=".", 1, (EK118/EK117)^(('Summary, PPI''s'!$J118+'Summary, PPI''s'!$J117)/('Predicted PPIs'!ES118+'Predicted PPIs'!ES117)))*IF(EL$26=".", 1, (EL118/EL117)^(('Summary, PPI''s'!$K118+'Summary, PPI''s'!$K117)/('Predicted PPIs'!ES118+'Predicted PPIs'!ES117)))*IF(EM$26=".", 1, (EM118/EM117)^(('Summary, PPI''s'!$L118+'Summary, PPI''s'!$L117)/('Predicted PPIs'!ES118+'Predicted PPIs'!ES117)))*IF(EN$26=".", 1, (EN118/EN117)^(('Summary, PPI''s'!$M118+'Summary, PPI''s'!$M117)/('Predicted PPIs'!ES118+'Predicted PPIs'!ES117)))*IF(EC$26=".", 1, (EC118/EC117)^(('Summary, PPI''s'!$B118+'Summary, PPI''s'!$B117)/('Predicted PPIs'!ES118+'Predicted PPIs'!ES117)))*IF(ED$26=".", 1, (ED118/ED117)^(('Summary, PPI''s'!$C118+'Summary, PPI''s'!$C117)/('Predicted PPIs'!ES118+'Predicted PPIs'!ES117)))*IF(EE$26=".", 1, (EE118/EE117)^(('Summary, PPI''s'!$D118+'Summary, PPI''s'!$D117)/('Predicted PPIs'!ES118+'Predicted PPIs'!ES117)))*IF(EO$26=".", 1, (EO118/EO117)^(('Summary, PPI''s'!$N118+'Summary, PPI''s'!$N117)/('Predicted PPIs'!ES118+'Predicted PPIs'!ES117)))*IF(EP$26=".", 1, (EP118/EP117)^(('Summary, PPI''s'!$O118+'Summary, PPI''s'!$O117)/('Predicted PPIs'!ES118+'Predicted PPIs'!ES117)))*IF(EQ$26=".", 1, (EQ118/EQ117)^(('Summary, PPI''s'!$P118+'Summary, PPI''s'!$P117)/('Predicted PPIs'!ES118+'Predicted PPIs'!ES117)))</f>
        <v>1.4720698539683923</v>
      </c>
      <c r="EW118" s="13">
        <f>EW117*IF(EF$26=".", 1, (EF118/EF117)^(('Summary, PPI''s'!$E118+'Summary, PPI''s'!$E117)/('Predicted PPIs'!ET118+'Predicted PPIs'!ET117)))*IF(EG$26=".", 1, (EG118/EG117)^(('Summary, PPI''s'!$F118+'Summary, PPI''s'!$F117)/('Predicted PPIs'!ET118+'Predicted PPIs'!ET117)))*IF(EH$26=".", 1, (EH118/EH117)^(('Summary, PPI''s'!$G118+'Summary, PPI''s'!$G117)/('Predicted PPIs'!ET118+'Predicted PPIs'!ET117)))*IF(EK$26=".", 1, (EK118/EK117)^(('Summary, PPI''s'!$J118+'Summary, PPI''s'!$J117)/('Predicted PPIs'!ET118+'Predicted PPIs'!ET117)))*IF(EL$26=".", 1, (EL118/EL117)^(('Summary, PPI''s'!$K118+'Summary, PPI''s'!$K117)/('Predicted PPIs'!ET118+'Predicted PPIs'!ET117)))*IF(EM$26=".", 1, (EM118/EM117)^(('Summary, PPI''s'!$L118+'Summary, PPI''s'!$L117)/('Predicted PPIs'!ET118+'Predicted PPIs'!ET117)))*IF(EN$26=".", 1, (EN118/EN117)^(('Summary, PPI''s'!$M118+'Summary, PPI''s'!$M117)/('Predicted PPIs'!ET118+'Predicted PPIs'!ET117)))*IF(EC$26=".", 1, (EC118/EC117)^(('Summary, PPI''s'!$B118+'Summary, PPI''s'!$B117)/('Predicted PPIs'!ET118+'Predicted PPIs'!ET117)))</f>
        <v>3.5778108963351607</v>
      </c>
      <c r="EY118" s="2"/>
    </row>
    <row r="119" spans="1:155" x14ac:dyDescent="0.3">
      <c r="A119" s="4">
        <v>1904</v>
      </c>
      <c r="B119" s="10">
        <f>IF(B118=".", ".", IF('Summary, PPI''s'!R119=".",IF(OR('Summary, hourly ad costs'!R119=-9999,'Summary, hourly ad costs'!R119=0), ".", 'Predicted PPIs'!B118*('Summary, hourly ad costs'!B119/'Summary, hourly ad costs'!R119)/('Summary, hourly ad costs'!B118/'Summary, hourly ad costs'!R118)), 'Summary, PPI''s'!R119))</f>
        <v>65.759376842010269</v>
      </c>
      <c r="C119" s="10" t="str">
        <f>IF(C118=".", ".", IF('Summary, PPI''s'!S119=".",IF(OR('Summary, hourly ad costs'!S119=-9999,'Summary, hourly ad costs'!S119=0), ".", 'Predicted PPIs'!C118*('Summary, hourly ad costs'!C119/'Summary, hourly ad costs'!S119)/('Summary, hourly ad costs'!C118/'Summary, hourly ad costs'!S118)), 'Summary, PPI''s'!S119))</f>
        <v>.</v>
      </c>
      <c r="D119" s="10" t="str">
        <f>IF(D118=".", ".", IF('Summary, PPI''s'!T119=".",IF(OR('Summary, hourly ad costs'!T119=-9999,'Summary, hourly ad costs'!T119=0), ".", 'Predicted PPIs'!D118*('Summary, hourly ad costs'!D119/'Summary, hourly ad costs'!T119)/('Summary, hourly ad costs'!D118/'Summary, hourly ad costs'!T118)), 'Summary, PPI''s'!T119))</f>
        <v>.</v>
      </c>
      <c r="E119" s="10">
        <f>IF(E118=".", ".", IF('Summary, PPI''s'!U119=".",IF(OR('Summary, hourly ad costs'!U119=-9999,'Summary, hourly ad costs'!U119=0), ".", 'Predicted PPIs'!E118*('Summary, hourly ad costs'!E119/'Summary, hourly ad costs'!U119)/('Summary, hourly ad costs'!E118/'Summary, hourly ad costs'!U118)), 'Summary, PPI''s'!U119))</f>
        <v>0.96634365880287121</v>
      </c>
      <c r="F119" s="10">
        <f>IF(F118=".", ".", IF('Summary, PPI''s'!V119=".",IF(OR('Summary, hourly ad costs'!V119=-9999,'Summary, hourly ad costs'!V119=0), ".", 'Predicted PPIs'!F118*('Summary, hourly ad costs'!F119/'Summary, hourly ad costs'!V119)/('Summary, hourly ad costs'!F118/'Summary, hourly ad costs'!V118)), 'Summary, PPI''s'!V119))</f>
        <v>0.80176100851062881</v>
      </c>
      <c r="G119" s="10" t="str">
        <f>IF(G118=".", ".", IF('Summary, PPI''s'!W119=".",IF(OR('Summary, hourly ad costs'!W119=-9999,'Summary, hourly ad costs'!W119=0), ".", 'Predicted PPIs'!G118*('Summary, hourly ad costs'!G119/'Summary, hourly ad costs'!W119)/('Summary, hourly ad costs'!G118/'Summary, hourly ad costs'!W118)), 'Summary, PPI''s'!W119))</f>
        <v>.</v>
      </c>
      <c r="H119" s="10">
        <f>IF(H118=".", ".", IF('Summary, PPI''s'!X119=".",IF(OR('Summary, hourly ad costs'!X119=-9999,'Summary, hourly ad costs'!X119=0), ".", 'Predicted PPIs'!H118*('Summary, hourly ad costs'!H119/'Summary, hourly ad costs'!X119)/('Summary, hourly ad costs'!H118/'Summary, hourly ad costs'!X118)), 'Summary, PPI''s'!X119))</f>
        <v>0.8285540028490026</v>
      </c>
      <c r="I119" s="10" t="str">
        <f>IF(I118=".", ".", IF('Summary, PPI''s'!Y119=".",IF(OR('Summary, hourly ad costs'!Y119=-9999,'Summary, hourly ad costs'!Y119=0), ".", 'Predicted PPIs'!I118*('Summary, hourly ad costs'!I119/'Summary, hourly ad costs'!Y119)/('Summary, hourly ad costs'!I118/'Summary, hourly ad costs'!Y118)), 'Summary, PPI''s'!Y119))</f>
        <v>.</v>
      </c>
      <c r="J119" s="10" t="str">
        <f>IF(J118=".", ".", IF('Summary, PPI''s'!Z119=".",IF(OR('Summary, hourly ad costs'!Z119=-9999,'Summary, hourly ad costs'!Z119=0), ".", 'Predicted PPIs'!J118*('Summary, hourly ad costs'!J119/'Summary, hourly ad costs'!Z119)/('Summary, hourly ad costs'!J118/'Summary, hourly ad costs'!Z118)), 'Summary, PPI''s'!Z119))</f>
        <v>.</v>
      </c>
      <c r="K119" s="10" t="str">
        <f>IF(K118=".", ".", IF('Summary, PPI''s'!AA119=".",IF(OR('Summary, hourly ad costs'!AA119=-9999,'Summary, hourly ad costs'!AA119=0), ".", 'Predicted PPIs'!K118*('Summary, hourly ad costs'!K119/'Summary, hourly ad costs'!AA119)/('Summary, hourly ad costs'!K118/'Summary, hourly ad costs'!AA118)), 'Summary, PPI''s'!AA119))</f>
        <v>.</v>
      </c>
      <c r="L119" s="10" t="str">
        <f>IF(L118=".", ".", IF('Summary, PPI''s'!AB119=".",IF(OR('Summary, hourly ad costs'!AB119=-9999,'Summary, hourly ad costs'!AB119=0), ".", 'Predicted PPIs'!L118*('Summary, hourly ad costs'!L119/'Summary, hourly ad costs'!AB119)/('Summary, hourly ad costs'!L118/'Summary, hourly ad costs'!AB118)), 'Summary, PPI''s'!AB119))</f>
        <v>.</v>
      </c>
      <c r="M119" s="10" t="str">
        <f>IF(M118=".", ".", IF('Summary, PPI''s'!AC119=".",IF(OR('Summary, hourly ad costs'!AC119=-9999,'Summary, hourly ad costs'!AC119=0), ".", 'Predicted PPIs'!M118*('Summary, hourly ad costs'!M119/'Summary, hourly ad costs'!AC119)/('Summary, hourly ad costs'!M118/'Summary, hourly ad costs'!AC118)), 'Summary, PPI''s'!AC119))</f>
        <v>.</v>
      </c>
      <c r="N119" s="10" t="str">
        <f>IF(N118=".", ".", IF('Summary, PPI''s'!AD119=".",IF(OR('Summary, hourly ad costs'!AD119=-9999,'Summary, hourly ad costs'!AD119=0), ".", 'Predicted PPIs'!N118*('Summary, hourly ad costs'!N119/'Summary, hourly ad costs'!AD119)/('Summary, hourly ad costs'!N118/'Summary, hourly ad costs'!AD118)), 'Summary, PPI''s'!AD119))</f>
        <v>.</v>
      </c>
      <c r="O119" s="10" t="str">
        <f>IF(O118=".", ".", IF('Summary, PPI''s'!AE119=".",IF(OR('Summary, hourly ad costs'!AE119=-9999,'Summary, hourly ad costs'!AE119=0), ".", 'Predicted PPIs'!O118*('Summary, hourly ad costs'!O119/'Summary, hourly ad costs'!AE119)/('Summary, hourly ad costs'!O118/'Summary, hourly ad costs'!AE118)), 'Summary, PPI''s'!AE119))</f>
        <v>.</v>
      </c>
      <c r="P119" s="10" t="str">
        <f>IF(P118=".", ".", IF('Summary, PPI''s'!AF119=".",IF(OR('Summary, hourly ad costs'!AF119=-9999,'Summary, hourly ad costs'!AF119=0), ".", 'Predicted PPIs'!P118*('Summary, hourly ad costs'!P119/'Summary, hourly ad costs'!AF119)/('Summary, hourly ad costs'!P118/'Summary, hourly ad costs'!AF118)), 'Summary, PPI''s'!AF119))</f>
        <v>.</v>
      </c>
      <c r="R119" s="1">
        <f>IF(E$26=".", 0, 'Summary, PPI''s'!E119)+IF(F$26=".", 0, 'Summary, PPI''s'!F119)+IF(G$26=".", 0, 'Summary, PPI''s'!G119)+IF(H$26=".", 0, 'Summary, PPI''s'!H119)+IF(I$26=".", 0, 'Summary, PPI''s'!I119)+IF(J$26=".", 0, 'Summary, PPI''s'!J119)+IF(K$26=".", 0, 'Summary, PPI''s'!K119)+IF(L$26=".", 0, 'Summary, PPI''s'!L119)+IF(M$26=".", 0, 'Summary, PPI''s'!M119)+IF(B$26=".", 0, 'Summary, PPI''s'!B119)+IF(C$26=".", 0, 'Summary, PPI''s'!C119)+IF(D$26=".", 0, 'Summary, PPI''s'!D119)+IF(N$26=".", 0, 'Summary, PPI''s'!N119)+IF(O$26=".", 0, 'Summary, PPI''s'!O119)+IF(P$26=".", 0, 'Summary, PPI''s'!P119)</f>
        <v>529719.37944858219</v>
      </c>
      <c r="S119" s="1">
        <f>IF(E$36=".", 0, 'Summary, PPI''s'!E119)+IF(F$36=".", 0, 'Summary, PPI''s'!F119)+IF(G$36=".", 0, 'Summary, PPI''s'!G119)+IF(H$36=".", 0, 'Summary, PPI''s'!H119)+IF(I$36=".", 0, 'Summary, PPI''s'!I119)+IF(J$36=".", 0, 'Summary, PPI''s'!J119)+IF(K$36=".", 0, 'Summary, PPI''s'!K119)+IF(L$36=".", 0, 'Summary, PPI''s'!L119)+IF(M$36=".", 0, 'Summary, PPI''s'!M119)+IF(B$36=".", 0, 'Summary, PPI''s'!B119)+IF(C$36=".", 0, 'Summary, PPI''s'!C119)+IF(D$36=".", 0, 'Summary, PPI''s'!D119)+IF(N$36=".", 0, 'Summary, PPI''s'!N119)+IF(O$36=".", 0, 'Summary, PPI''s'!O119)+IF(P$36=".", 0, 'Summary, PPI''s'!P119)</f>
        <v>529719.37944858219</v>
      </c>
      <c r="T119" s="1">
        <f>IF(E$46=".", 0, 'Summary, PPI''s'!E119)+IF(F$46=".", 0, 'Summary, PPI''s'!F119)+IF(G$46=".", 0, 'Summary, PPI''s'!G119)+IF(H$46=".", 0, 'Summary, PPI''s'!H119)+IF(I$46=".", 0, 'Summary, PPI''s'!I119)+IF(J$46=".", 0, 'Summary, PPI''s'!J119)+IF(K$46=".", 0, 'Summary, PPI''s'!K119)+IF(L$46=".", 0, 'Summary, PPI''s'!L119)+IF(M$46=".", 0, 'Summary, PPI''s'!M119)+IF(B$46=".", 0, 'Summary, PPI''s'!B119)+IF(C$46=".", 0, 'Summary, PPI''s'!C119)+IF(D$46=".", 0, 'Summary, PPI''s'!D119)+IF(N$46=".", 0, 'Summary, PPI''s'!N119)+IF(O$46=".", 0, 'Summary, PPI''s'!O119)+IF(P$46=".", 0, 'Summary, PPI''s'!P119)</f>
        <v>478957.76252223115</v>
      </c>
      <c r="U119" s="1">
        <f>IF(E$60=".", 0, 'Summary, PPI''s'!E119)+IF(F$60=".", 0, 'Summary, PPI''s'!F119)+IF(G$60=".", 0, 'Summary, PPI''s'!G119)+IF(H$60=".", 0, 'Summary, PPI''s'!H119)+IF(I$60=".", 0, 'Summary, PPI''s'!I119)+IF(J$60=".", 0, 'Summary, PPI''s'!J119)+IF(K$60=".", 0, 'Summary, PPI''s'!K119)+IF(L$60=".", 0, 'Summary, PPI''s'!L119)+IF(M$60=".", 0, 'Summary, PPI''s'!M119)+IF(B$60=".", 0, 'Summary, PPI''s'!B119)+IF(C$60=".", 0, 'Summary, PPI''s'!C119)+IF(D$60=".", 0, 'Summary, PPI''s'!D119)+IF(N$60=".", 0, 'Summary, PPI''s'!N119)+IF(O$60=".", 0, 'Summary, PPI''s'!O119)+IF(P$60=".", 0, 'Summary, PPI''s'!P119)</f>
        <v>460092.21517599153</v>
      </c>
      <c r="V119" s="1">
        <f>IF(E$73=".", 0, 'Summary, PPI''s'!E119)+IF(F$73=".", 0, 'Summary, PPI''s'!F119)+IF(G$73=".", 0, 'Summary, PPI''s'!G119)+IF(H$73=".", 0, 'Summary, PPI''s'!H119)+IF(I$73=".", 0, 'Summary, PPI''s'!I119)+IF(J$73=".", 0, 'Summary, PPI''s'!J119)+IF(K$73=".", 0, 'Summary, PPI''s'!K119)+IF(L$73=".", 0, 'Summary, PPI''s'!L119)+IF(M$73=".", 0, 'Summary, PPI''s'!M119)+IF(B$73=".", 0, 'Summary, PPI''s'!B119)+IF(C$73=".", 0, 'Summary, PPI''s'!C119)+IF(D$73=".", 0, 'Summary, PPI''s'!D119)+IF(N$73=".", 0, 'Summary, PPI''s'!N119)+IF(O$73=".", 0, 'Summary, PPI''s'!O119)+IF(P$73=".", 0, 'Summary, PPI''s'!P119)</f>
        <v>322043.64847307536</v>
      </c>
      <c r="W119" s="1">
        <f>IF(E$94=".",0,'Summary, PPI''s'!E119)+IF(F$94=".",0,'Summary, PPI''s'!F119)+IF(G$94=".",0,'Summary, PPI''s'!G119)+IF(H$94=".",0,'Summary, PPI''s'!H119)+IF(I$94=".",0,'Summary, PPI''s'!I119)+IF(J$94=".",0,'Summary, PPI''s'!J119)+IF(K$94=".",0,'Summary, PPI''s'!K119)+IF(L$94=".",0,'Summary, PPI''s'!L119)+IF(M$94=".",0,'Summary, PPI''s'!M119)+IF(B$94=".",0,'Summary, PPI''s'!B119)+IF(C$94=".",0,'Summary, PPI''s'!C119)+IF(D$94=".",0,'Summary, PPI''s'!D119)+IF(N$94=".",0,'Summary, PPI''s'!N119)+IF(O$94=".",0,'Summary, PPI''s'!O119)+IF(P$94=".",0,'Summary, PPI''s'!P119)</f>
        <v>322043.64847307536</v>
      </c>
      <c r="X119" s="1">
        <f>IF(E$123=".", 0, 'Summary, PPI''s'!E119)+IF(F$123=".", 0, 'Summary, PPI''s'!F119)+IF(G$123=".", 0, 'Summary, PPI''s'!G119)+IF(H$123=".", 0, 'Summary, PPI''s'!H119)+IF(I$123=".", 0, 'Summary, PPI''s'!I119)+IF(J$123=".", 0, 'Summary, PPI''s'!J119)+IF(K$123=".", 0, 'Summary, PPI''s'!K119)+IF(L$123=".", 0, 'Summary, PPI''s'!L119)+IF(M$123=".", 0, 'Summary, PPI''s'!M119)+IF(B$123=".", 0, 'Summary, PPI''s'!B119)+IF(C$123=".", 0, 'Summary, PPI''s'!C119)+IF(D$123=".", 0, 'Summary, PPI''s'!D119)+IF(N$123=".", 0, 'Summary, PPI''s'!N119)+IF(O$123=".", 0, 'Summary, PPI''s'!O119)+IF(P$123=".", 0, 'Summary, PPI''s'!P119)</f>
        <v>322043.64847307536</v>
      </c>
      <c r="Z119" s="4" t="e">
        <f>Z118*IF(E$26=".", 1, (E119/E118)^(('Summary, PPI''s'!$E119+'Summary, PPI''s'!$E118)/('Predicted PPIs'!R119+'Predicted PPIs'!R118)))*IF(F$26=".", 1, (F119/F118)^(('Summary, PPI''s'!$F119+'Summary, PPI''s'!$F118)/('Predicted PPIs'!R119+'Predicted PPIs'!R118)))*IF(G$26=".", 1, (G119/G118)^(('Summary, PPI''s'!$G119+'Summary, PPI''s'!$G118)/('Predicted PPIs'!R119+'Predicted PPIs'!R118)))*IF(H$26=".", 1, (H119/H118)^(('Summary, PPI''s'!$H119+'Summary, PPI''s'!$H118)/('Predicted PPIs'!R119+'Predicted PPIs'!R118)))*IF(I$26=".", 1, (I119/I118)^(('Summary, PPI''s'!$I119+'Summary, PPI''s'!$I118)/('Predicted PPIs'!R119+'Predicted PPIs'!R118)))*IF(J$26=".", 1, (J119/J118)^(('Summary, PPI''s'!$J119+'Summary, PPI''s'!$J118)/('Predicted PPIs'!R119+'Predicted PPIs'!R118)))*IF(K$26=".", 1, (K119/K118)^(('Summary, PPI''s'!$K119+'Summary, PPI''s'!$K118)/('Predicted PPIs'!R119+'Predicted PPIs'!R118)))*IF(L$26=".", 1, (L119/L118)^(('Summary, PPI''s'!$L119+'Summary, PPI''s'!$L118)/('Predicted PPIs'!R119+'Predicted PPIs'!R118)))*IF(M$26=".", 1, (M119/M118)^(('Summary, PPI''s'!$M119+'Summary, PPI''s'!$M118)/('Predicted PPIs'!R119+'Predicted PPIs'!R118)))*IF(B$26=".", 1, (B119/B118)^(('Summary, PPI''s'!$B119+'Summary, PPI''s'!$B118)/('Predicted PPIs'!R119+'Predicted PPIs'!R118)))*IF(C$26=".", 1, (C119/C118)^(('Summary, PPI''s'!$C119+'Summary, PPI''s'!$C118)/('Predicted PPIs'!R119+'Predicted PPIs'!R118)))*IF(D$26=".", 1, (D119/D118)^(('Summary, PPI''s'!$D119+'Summary, PPI''s'!$D118)/('Predicted PPIs'!R119+'Predicted PPIs'!R118)))*IF(N$26=".", 1, (N119/N118)^(('Summary, PPI''s'!$N119+'Summary, PPI''s'!$N118)/('Predicted PPIs'!R119+'Predicted PPIs'!R118)))*IF(O$26=".", 1, (O119/O118)^(('Summary, PPI''s'!$O119+'Summary, PPI''s'!$O118)/('Predicted PPIs'!R119+'Predicted PPIs'!R118)))*IF(P$26=".", 1, (P119/P118)^(('Summary, PPI''s'!$P119+'Summary, PPI''s'!$P118)/('Predicted PPIs'!R119+'Predicted PPIs'!R118)))</f>
        <v>#VALUE!</v>
      </c>
      <c r="AA119" s="4" t="e">
        <f>AA118*IF(E$36=".", 1, (E119/E118)^(('Summary, PPI''s'!$E119+'Summary, PPI''s'!$E118)/('Predicted PPIs'!S119+'Predicted PPIs'!S118)))*IF(F$36=".", 1, (F119/F118)^(('Summary, PPI''s'!$F119+'Summary, PPI''s'!$F118)/('Predicted PPIs'!S119+'Predicted PPIs'!S118)))*IF(G$36=".", 1, (G119/G118)^(('Summary, PPI''s'!$G119+'Summary, PPI''s'!$G118)/('Predicted PPIs'!S119+'Predicted PPIs'!S118)))*IF(H$36=".", 1, (H119/H118)^(('Summary, PPI''s'!$H119+'Summary, PPI''s'!$H118)/('Predicted PPIs'!S119+'Predicted PPIs'!S118)))*IF(I$36=".", 1, (I119/I118)^(('Summary, PPI''s'!$I119+'Summary, PPI''s'!$I118)/('Predicted PPIs'!S119+'Predicted PPIs'!S118)))*IF(J$36=".", 1, (J119/J118)^(('Summary, PPI''s'!$J119+'Summary, PPI''s'!$J118)/('Predicted PPIs'!S119+'Predicted PPIs'!S118)))*IF(K$36=".", 1, (K119/K118)^(('Summary, PPI''s'!$K119+'Summary, PPI''s'!$K118)/('Predicted PPIs'!S119+'Predicted PPIs'!S118)))*IF(L$36=".", 1, (L119/L118)^(('Summary, PPI''s'!$L119+'Summary, PPI''s'!$L118)/('Predicted PPIs'!S119+'Predicted PPIs'!S118)))*IF(M$36=".", 1, (M119/M118)^(('Summary, PPI''s'!$M119+'Summary, PPI''s'!$M118)/('Predicted PPIs'!S119+'Predicted PPIs'!S118)))*IF(B$36=".", 1, (B119/B118)^(('Summary, PPI''s'!$B119+'Summary, PPI''s'!$B118)/('Predicted PPIs'!S119+'Predicted PPIs'!S118)))*IF(C$36=".", 1, (C119/C118)^(('Summary, PPI''s'!$C119+'Summary, PPI''s'!$C118)/('Predicted PPIs'!S119+'Predicted PPIs'!S118)))*IF(D$36=".", 1, (D119/D118)^(('Summary, PPI''s'!$D119+'Summary, PPI''s'!$D118)/('Predicted PPIs'!S119+'Predicted PPIs'!S118)))*IF(N$36=".", 1, (N119/N118)^(('Summary, PPI''s'!$N119+'Summary, PPI''s'!$N118)/('Predicted PPIs'!S119+'Predicted PPIs'!S118)))*IF(O$36=".", 1, (O119/O118)^(('Summary, PPI''s'!$O119+'Summary, PPI''s'!$O118)/('Predicted PPIs'!S119+'Predicted PPIs'!S118)))*IF(P$36=".", 1, (P119/P118)^(('Summary, PPI''s'!$P119+'Summary, PPI''s'!$P118)/('Predicted PPIs'!S119+'Predicted PPIs'!S118)))</f>
        <v>#VALUE!</v>
      </c>
      <c r="AB119" s="4" t="e">
        <f>AB118*IF(E$46=".", 1, (E119/E118)^(('Summary, PPI''s'!$E119+'Summary, PPI''s'!$E118)/('Predicted PPIs'!T119+'Predicted PPIs'!T118)))*IF(F$46=".", 1, (F119/F118)^(('Summary, PPI''s'!$F119+'Summary, PPI''s'!$F118)/('Predicted PPIs'!T119+'Predicted PPIs'!T118)))*IF(G$46=".", 1, (G119/G118)^(('Summary, PPI''s'!$G119+'Summary, PPI''s'!$G118)/('Predicted PPIs'!T119+'Predicted PPIs'!T118)))*IF(H$46=".", 1, (H119/H118)^(('Summary, PPI''s'!$H119+'Summary, PPI''s'!$H118)/('Predicted PPIs'!T119+'Predicted PPIs'!T118)))*IF(I$46=".", 1, (I119/I118)^(('Summary, PPI''s'!$I119+'Summary, PPI''s'!$I118)/('Predicted PPIs'!T119+'Predicted PPIs'!T118)))*IF(J$46=".", 1, (J119/J118)^(('Summary, PPI''s'!$J119+'Summary, PPI''s'!$J118)/('Predicted PPIs'!T119+'Predicted PPIs'!T118)))*IF(K$46=".", 1, (K119/K118)^(('Summary, PPI''s'!$K119+'Summary, PPI''s'!$K118)/('Predicted PPIs'!T119+'Predicted PPIs'!T118)))*IF(L$46=".", 1, (L119/L118)^(('Summary, PPI''s'!$L119+'Summary, PPI''s'!$L118)/('Predicted PPIs'!T119+'Predicted PPIs'!T118)))*IF(M$46=".", 1, (M119/M118)^(('Summary, PPI''s'!$M119+'Summary, PPI''s'!$M118)/('Predicted PPIs'!T119+'Predicted PPIs'!T118)))*IF(B$46=".", 1, (B119/B118)^(('Summary, PPI''s'!$B119+'Summary, PPI''s'!$B118)/('Predicted PPIs'!T119+'Predicted PPIs'!T118)))*IF(C$46=".", 1, (C119/C118)^(('Summary, PPI''s'!$C119+'Summary, PPI''s'!$C118)/('Predicted PPIs'!T119+'Predicted PPIs'!T118)))*IF(D$46=".", 1, (D119/D118)^(('Summary, PPI''s'!$D119+'Summary, PPI''s'!$D118)/('Predicted PPIs'!T119+'Predicted PPIs'!T118)))*IF(N$46=".", 1, (N119/N118)^(('Summary, PPI''s'!$N119+'Summary, PPI''s'!$N118)/('Predicted PPIs'!T119+'Predicted PPIs'!T118)))*IF(O$46=".", 1, (O119/O118)^(('Summary, PPI''s'!$O119+'Summary, PPI''s'!$O118)/('Predicted PPIs'!T119+'Predicted PPIs'!T118)))*IF(P$46=".", 1, (P119/P118)^(('Summary, PPI''s'!$P119+'Summary, PPI''s'!$P118)/('Predicted PPIs'!T119+'Predicted PPIs'!T118)))</f>
        <v>#VALUE!</v>
      </c>
      <c r="AC119" s="4" t="e">
        <f>AC118*IF(E$60=".",1,(E119/E118)^(('Summary, PPI''s'!$E119+'Summary, PPI''s'!$E118)/('Predicted PPIs'!U119+'Predicted PPIs'!U118)))*IF(F$60=".",1,(F119/F118)^(('Summary, PPI''s'!$F119+'Summary, PPI''s'!$F118)/('Predicted PPIs'!U119+'Predicted PPIs'!U118)))*IF(G$60=".",1,(G119/G118)^(('Summary, PPI''s'!$G119+'Summary, PPI''s'!$G118)/('Predicted PPIs'!U119+'Predicted PPIs'!U118)))*IF(H$60=".",1,(H119/H118)^(('Summary, PPI''s'!$H119+'Summary, PPI''s'!$H118)/('Predicted PPIs'!U119+'Predicted PPIs'!U118)))*IF(I$60=".",1,(I119/I118)^(('Summary, PPI''s'!$I119+'Summary, PPI''s'!$I118)/('Predicted PPIs'!U119+'Predicted PPIs'!U118)))*IF(J$60=".",1,(J119/J118)^(('Summary, PPI''s'!$J119+'Summary, PPI''s'!$J118)/('Predicted PPIs'!U119+'Predicted PPIs'!U118)))*IF(K$60=".",1,(K119/K118)^(('Summary, PPI''s'!$K119+'Summary, PPI''s'!$K118)/('Predicted PPIs'!U119+'Predicted PPIs'!U118)))*IF(L$60=".",1,(L119/L118)^(('Summary, PPI''s'!$L119+'Summary, PPI''s'!$L118)/('Predicted PPIs'!U119+'Predicted PPIs'!U118)))*IF(M$60=".",1,(M119/M118)^(('Summary, PPI''s'!$M119+'Summary, PPI''s'!$M118)/('Predicted PPIs'!U119+'Predicted PPIs'!U118)))*IF(B$60=".",1,(B119/B118)^(('Summary, PPI''s'!$B119+'Summary, PPI''s'!$B118)/('Predicted PPIs'!U119+'Predicted PPIs'!U118)))*IF(C$60=".",1,(C119/C118)^(('Summary, PPI''s'!$C119+'Summary, PPI''s'!$C118)/('Predicted PPIs'!U119+'Predicted PPIs'!U118)))*IF(D$60=".",1,(D119/D118)^(('Summary, PPI''s'!$D119+'Summary, PPI''s'!$D118)/('Predicted PPIs'!U119+'Predicted PPIs'!U118)))*IF(N$60=".",1,(N119/N118)^(('Summary, PPI''s'!$N119+'Summary, PPI''s'!$N118)/('Predicted PPIs'!U119+'Predicted PPIs'!U118)))*IF(O$60=".",1,(O119/O118)^(('Summary, PPI''s'!$O119+'Summary, PPI''s'!$O118)/('Predicted PPIs'!U119+'Predicted PPIs'!U118)))*IF(P$60=".",1,(P119/P118)^(('Summary, PPI''s'!$P119+'Summary, PPI''s'!$P118)/('Predicted PPIs'!U119+'Predicted PPIs'!U118)))</f>
        <v>#VALUE!</v>
      </c>
      <c r="AD119" s="4" t="e">
        <f>AD118*IF(E$73=".", 1, (E119/E118)^(('Summary, PPI''s'!$E119+'Summary, PPI''s'!$E118)/('Predicted PPIs'!V119+'Predicted PPIs'!V118)))*IF(F$73=".", 1, (F119/F118)^(('Summary, PPI''s'!$F119+'Summary, PPI''s'!$F118)/('Predicted PPIs'!V119+'Predicted PPIs'!V118)))*IF(G$73=".", 1, (G119/G118)^(('Summary, PPI''s'!$G119+'Summary, PPI''s'!$G118)/('Predicted PPIs'!V119+'Predicted PPIs'!V118)))*IF(H$73=".", 1, (H119/H118)^(('Summary, PPI''s'!$H119+'Summary, PPI''s'!$H118)/('Predicted PPIs'!V119+'Predicted PPIs'!V118)))*IF(I$73=".", 1, (I119/I118)^(('Summary, PPI''s'!$I119+'Summary, PPI''s'!$I118)/('Predicted PPIs'!V119+'Predicted PPIs'!V118)))*IF(J$73=".", 1, (J119/J118)^(('Summary, PPI''s'!$J119+'Summary, PPI''s'!$J118)/('Predicted PPIs'!V119+'Predicted PPIs'!V118)))*IF(K$73=".", 1, (K119/K118)^(('Summary, PPI''s'!$K119+'Summary, PPI''s'!$K118)/('Predicted PPIs'!V119+'Predicted PPIs'!V118)))*IF(L$73=".", 1, (L119/L118)^(('Summary, PPI''s'!$L119+'Summary, PPI''s'!$L118)/('Predicted PPIs'!V119+'Predicted PPIs'!V118)))*IF(M$73=".", 1, (M119/M118)^(('Summary, PPI''s'!$M119+'Summary, PPI''s'!$M118)/('Predicted PPIs'!V119+'Predicted PPIs'!V118)))*IF(B$73=".", 1, (B119/B118)^(('Summary, PPI''s'!$B119+'Summary, PPI''s'!$B118)/('Predicted PPIs'!V119+'Predicted PPIs'!V118)))*IF(C$73=".", 1, (C119/C118)^(('Summary, PPI''s'!$C119+'Summary, PPI''s'!$C118)/('Predicted PPIs'!V119+'Predicted PPIs'!V118)))*IF(D$73=".", 1, (D119/D118)^(('Summary, PPI''s'!$D119+'Summary, PPI''s'!$D118)/('Predicted PPIs'!V119+'Predicted PPIs'!V118)))*IF(N$73=".", 1, (N119/N118)^(('Summary, PPI''s'!$N119+'Summary, PPI''s'!$N118)/('Predicted PPIs'!V119+'Predicted PPIs'!V118)))*IF(O$73=".", 1, (O119/O118)^(('Summary, PPI''s'!$O119+'Summary, PPI''s'!$O118)/('Predicted PPIs'!V119+'Predicted PPIs'!V118)))*IF(P$73=".", 1, (P119/P118)^(('Summary, PPI''s'!$P119+'Summary, PPI''s'!$P118)/('Predicted PPIs'!V119+'Predicted PPIs'!V118)))</f>
        <v>#VALUE!</v>
      </c>
      <c r="AE119" s="4" t="e">
        <f>AE118*IF(E$94=".", 1, (E119/E118)^(('Summary, PPI''s'!$E119+'Summary, PPI''s'!$E118)/('Predicted PPIs'!W119+'Predicted PPIs'!W118)))*IF(F$94=".", 1, (F119/F118)^(('Summary, PPI''s'!$F119+'Summary, PPI''s'!$F118)/('Predicted PPIs'!W119+'Predicted PPIs'!W118)))*IF(G$94=".", 1, (G119/G118)^(('Summary, PPI''s'!$G119+'Summary, PPI''s'!$G118)/('Predicted PPIs'!W119+'Predicted PPIs'!W118)))*IF(H$94=".", 1, (H119/H118)^(('Summary, PPI''s'!$H119+'Summary, PPI''s'!$H118)/('Predicted PPIs'!W119+'Predicted PPIs'!W118)))*IF(I$94=".", 1, (I119/I118)^(('Summary, PPI''s'!$I119+'Summary, PPI''s'!$I118)/('Predicted PPIs'!W119+'Predicted PPIs'!W118)))*IF(J$94=".", 1, (J119/J118)^(('Summary, PPI''s'!$J119+'Summary, PPI''s'!$J118)/('Predicted PPIs'!W119+'Predicted PPIs'!W118)))*IF(K$94=".", 1, (K119/K118)^(('Summary, PPI''s'!$K119+'Summary, PPI''s'!$K118)/('Predicted PPIs'!W119+'Predicted PPIs'!W118)))*IF(L$94=".", 1, (L119/L118)^(('Summary, PPI''s'!$L119+'Summary, PPI''s'!$L118)/('Predicted PPIs'!W119+'Predicted PPIs'!W118)))*IF(M$94=".", 1, (M119/M118)^(('Summary, PPI''s'!$M119+'Summary, PPI''s'!$M118)/('Predicted PPIs'!W119+'Predicted PPIs'!W118)))*IF(B$94=".", 1, (B119/B118)^(('Summary, PPI''s'!$B119+'Summary, PPI''s'!$B118)/('Predicted PPIs'!W119+'Predicted PPIs'!W118)))*IF(C$94=".", 1, (C119/C118)^(('Summary, PPI''s'!$C119+'Summary, PPI''s'!$C118)/('Predicted PPIs'!W119+'Predicted PPIs'!W118)))*IF(D$94=".", 1, (D119/D118)^(('Summary, PPI''s'!$D119+'Summary, PPI''s'!$D118)/('Predicted PPIs'!W119+'Predicted PPIs'!W118)))*IF(N$94=".", 1, (N119/N118)^(('Summary, PPI''s'!$N119+'Summary, PPI''s'!$N118)/('Predicted PPIs'!W119+'Predicted PPIs'!W118)))*IF(O$94=".", 1, (O119/O118)^(('Summary, PPI''s'!$O119+'Summary, PPI''s'!$O118)/('Predicted PPIs'!W119+'Predicted PPIs'!W118)))*IF(P$94=".", 1, (P119/P118)^(('Summary, PPI''s'!$P119+'Summary, PPI''s'!$P118)/('Predicted PPIs'!W119+'Predicted PPIs'!W118)))</f>
        <v>#VALUE!</v>
      </c>
      <c r="AF119" s="4">
        <f>AF118*IF(E$123=".", 1, (E119/E118)^(('Summary, PPI''s'!$E119+'Summary, PPI''s'!$E118)/('Predicted PPIs'!X119+'Predicted PPIs'!X118)))*IF(F$123=".", 1, (F119/F118)^(('Summary, PPI''s'!$F119+'Summary, PPI''s'!$F118)/('Predicted PPIs'!X119+'Predicted PPIs'!X118)))*IF(G$123=".", 1, (G119/G118)^(('Summary, PPI''s'!$G119+'Summary, PPI''s'!$G118)/('Predicted PPIs'!X119+'Predicted PPIs'!X118)))*IF(H$123=".", 1, (H119/H118)^(('Summary, PPI''s'!$H119+'Summary, PPI''s'!$H118)/('Predicted PPIs'!X119+'Predicted PPIs'!X118)))*IF(I$123=".", 1, (I119/I118)^(('Summary, PPI''s'!$I119+'Summary, PPI''s'!$I118)/('Predicted PPIs'!X119+'Predicted PPIs'!X118)))*IF(J$123=".", 1, (J119/J118)^(('Summary, PPI''s'!$J119+'Summary, PPI''s'!$J118)/('Predicted PPIs'!X119+'Predicted PPIs'!X118)))*IF(K$123=".", 1, (K119/K118)^(('Summary, PPI''s'!$K119+'Summary, PPI''s'!$K118)/('Predicted PPIs'!X119+'Predicted PPIs'!X118)))*IF(L$123=".", 1, (L119/L118)^(('Summary, PPI''s'!$L119+'Summary, PPI''s'!$L118)/('Predicted PPIs'!X119+'Predicted PPIs'!X118)))*IF(M$123=".", 1, (M119/M118)^(('Summary, PPI''s'!$M119+'Summary, PPI''s'!$M118)/('Predicted PPIs'!X119+'Predicted PPIs'!X118)))*IF(B$123=".", 1, (B119/B118)^(('Summary, PPI''s'!$B119+'Summary, PPI''s'!$B118)/('Predicted PPIs'!X119+'Predicted PPIs'!X118)))*IF(C$123=".", 1, (C119/C118)^(('Summary, PPI''s'!$C119+'Summary, PPI''s'!$C118)/('Predicted PPIs'!X119+'Predicted PPIs'!X118)))*IF(D$123=".", 1, (D119/D118)^(('Summary, PPI''s'!$D119+'Summary, PPI''s'!$D118)/('Predicted PPIs'!X119+'Predicted PPIs'!X118)))*IF(N$123=".", 1, (N119/N118)^(('Summary, PPI''s'!$N119+'Summary, PPI''s'!$N118)/('Predicted PPIs'!X119+'Predicted PPIs'!X118)))*IF(O$123=".", 1, (O119/O118)^(('Summary, PPI''s'!$O119+'Summary, PPI''s'!$O118)/('Predicted PPIs'!X119+'Predicted PPIs'!X118)))*IF(P$123=".", 1, (P119/P118)^(('Summary, PPI''s'!$P119+'Summary, PPI''s'!$P118)/('Predicted PPIs'!X119+'Predicted PPIs'!X118)))</f>
        <v>2.4000599094054911</v>
      </c>
      <c r="AH119" s="13">
        <f t="shared" si="212"/>
        <v>3.4274221630091879</v>
      </c>
      <c r="AJ119" s="4">
        <f t="shared" si="207"/>
        <v>16.815663424222318</v>
      </c>
      <c r="AK119" s="4">
        <f t="shared" si="191"/>
        <v>-0.37216061299344722</v>
      </c>
      <c r="AL119" s="4">
        <f t="shared" si="192"/>
        <v>-1.2748619247201105</v>
      </c>
      <c r="AM119" s="4">
        <f t="shared" si="193"/>
        <v>-0.19835530628313924</v>
      </c>
      <c r="AN119" s="4">
        <f t="shared" si="176"/>
        <v>22.424346715809758</v>
      </c>
      <c r="AO119" s="4">
        <v>3.5</v>
      </c>
      <c r="AP119" s="4">
        <f t="shared" si="177"/>
        <v>-0.32379679144385032</v>
      </c>
      <c r="AQ119" s="4">
        <f t="shared" si="178"/>
        <v>-0.61212566844919769</v>
      </c>
      <c r="AR119" s="4">
        <f t="shared" si="210"/>
        <v>-1.4051688720144378E-5</v>
      </c>
      <c r="AS119" s="4">
        <f t="shared" si="208"/>
        <v>-2.8884623365843524E-2</v>
      </c>
      <c r="AT119" s="4">
        <f t="shared" si="194"/>
        <v>3.9249777777777779</v>
      </c>
      <c r="AU119" s="4">
        <f t="shared" si="195"/>
        <v>6.4629555555555536</v>
      </c>
      <c r="AV119" s="4">
        <f t="shared" si="196"/>
        <v>5.0265555555555554</v>
      </c>
      <c r="AW119" s="4">
        <f t="shared" si="197"/>
        <v>2.8107333333333351</v>
      </c>
      <c r="AX119" s="4">
        <f t="shared" si="198"/>
        <v>3.7386575870779524</v>
      </c>
      <c r="AY119" s="4">
        <f t="shared" si="199"/>
        <v>4.396177777777778</v>
      </c>
      <c r="AZ119" s="4">
        <f t="shared" si="200"/>
        <v>1.5026888888888894</v>
      </c>
      <c r="BA119" s="4">
        <f t="shared" si="201"/>
        <v>4.0706444444444436</v>
      </c>
      <c r="BB119" s="4">
        <f t="shared" si="202"/>
        <v>23.283082804069611</v>
      </c>
      <c r="BC119" s="4">
        <f t="shared" si="203"/>
        <v>3.815622222222224</v>
      </c>
      <c r="BD119" s="5">
        <f>'[2]Ordinary Experience'!$AD$307</f>
        <v>87.4</v>
      </c>
      <c r="BE119" s="5">
        <f>'[2]Ordinary Experience'!$AC$307</f>
        <v>0.70970730459963915</v>
      </c>
      <c r="BG119" s="4">
        <f t="shared" si="172"/>
        <v>4.3862072865024988</v>
      </c>
      <c r="BI119" s="4">
        <f>BI$13*'[2]Ordinary Experience'!$D$307/'[2]Ordinary Experience'!$D$413</f>
        <v>82325534.197538018</v>
      </c>
      <c r="BJ119" s="4">
        <f>'[2]Ordinary Experience'!$E$307</f>
        <v>33.51918650839562</v>
      </c>
      <c r="BL119" s="4">
        <f t="shared" si="211"/>
        <v>20.220598124311586</v>
      </c>
      <c r="BM119" s="4">
        <f t="shared" si="153"/>
        <v>-3.2819465201774589E-2</v>
      </c>
      <c r="BO119" s="4" t="str">
        <f>IF(OR('Summary, hourly ad costs'!R119=-9999,'Summary, PPI''s'!R119="."),".",(('Summary, hourly ad costs'!B119/'Summary, hourly ad costs'!R119)*100/('Summary, hourly ad costs'!B$11/'Summary, hourly ad costs'!R$11))/('Summary, PPI''s'!R119))</f>
        <v>.</v>
      </c>
      <c r="BP119" s="4" t="str">
        <f>IF(OR('Summary, hourly ad costs'!S119=-9999,'Summary, PPI''s'!S119="."),".",(('Summary, hourly ad costs'!C119/'Summary, hourly ad costs'!S119)*100/('Summary, hourly ad costs'!C$11/'Summary, hourly ad costs'!S$11))/('Summary, PPI''s'!S119))</f>
        <v>.</v>
      </c>
      <c r="BQ119" s="4" t="str">
        <f>IF(OR('Summary, hourly ad costs'!T119=-9999,'Summary, PPI''s'!T119="."),".",(('Summary, hourly ad costs'!D119/'Summary, hourly ad costs'!T119)*100/('Summary, hourly ad costs'!D$11/'Summary, hourly ad costs'!T$11))/('Summary, PPI''s'!T119))</f>
        <v>.</v>
      </c>
      <c r="BR119" s="4" t="str">
        <f>IF(OR('Summary, hourly ad costs'!U119=-9999,'Summary, PPI''s'!U119="."),".",(('Summary, hourly ad costs'!E119/'Summary, hourly ad costs'!U119)*100/('Summary, hourly ad costs'!E$11/'Summary, hourly ad costs'!U$11))/('Summary, PPI''s'!U119))</f>
        <v>.</v>
      </c>
      <c r="BS119" s="4" t="str">
        <f>IF(OR('Summary, hourly ad costs'!V119=-9999,'Summary, PPI''s'!V119="."),".",(('Summary, hourly ad costs'!F119/'Summary, hourly ad costs'!V119)*100/('Summary, hourly ad costs'!F$11/'Summary, hourly ad costs'!V$11))/('Summary, PPI''s'!V119))</f>
        <v>.</v>
      </c>
      <c r="BT119" s="4" t="str">
        <f>IF(OR('Summary, hourly ad costs'!W119=-9999,'Summary, PPI''s'!W119="."),".",(('Summary, hourly ad costs'!G119/'Summary, hourly ad costs'!W119)*100/('Summary, hourly ad costs'!G$11/'Summary, hourly ad costs'!W$11))/('Summary, PPI''s'!W119))</f>
        <v>.</v>
      </c>
      <c r="BU119" s="4" t="str">
        <f>IF(OR('Summary, hourly ad costs'!X119=-9999,'Summary, PPI''s'!X119="."),".",(('Summary, hourly ad costs'!H119/'Summary, hourly ad costs'!X119)*100/('Summary, hourly ad costs'!H$11/'Summary, hourly ad costs'!X$11))/('Summary, PPI''s'!X119))</f>
        <v>.</v>
      </c>
      <c r="BV119" s="4" t="str">
        <f>IF(OR('Summary, hourly ad costs'!Y119=-9999,'Summary, PPI''s'!Y119="."),".",(('Summary, hourly ad costs'!I119/'Summary, hourly ad costs'!Y119)*100/('Summary, hourly ad costs'!I$11/'Summary, hourly ad costs'!Y$11))/('Summary, PPI''s'!Y119))</f>
        <v>.</v>
      </c>
      <c r="BW119" s="4" t="str">
        <f>IF(OR('Summary, hourly ad costs'!Z119=-9999,'Summary, PPI''s'!Z119="."),".",(('Summary, hourly ad costs'!J119/'Summary, hourly ad costs'!Z119)*100/('Summary, hourly ad costs'!J$11/'Summary, hourly ad costs'!Z$11))/('Summary, PPI''s'!Z119))</f>
        <v>.</v>
      </c>
      <c r="BX119" s="4" t="str">
        <f>IF(OR('Summary, hourly ad costs'!AA119=-9999,'Summary, PPI''s'!AA119="."),".",(('Summary, hourly ad costs'!K119/'Summary, hourly ad costs'!AA119)*100/('Summary, hourly ad costs'!K$11/'Summary, hourly ad costs'!AA$11))/('Summary, PPI''s'!AA119))</f>
        <v>.</v>
      </c>
      <c r="BY119" s="4" t="str">
        <f>IF(OR('Summary, hourly ad costs'!AB119=-9999,'Summary, PPI''s'!AB119="."),".",(('Summary, hourly ad costs'!L119/'Summary, hourly ad costs'!AB119)*100/('Summary, hourly ad costs'!L$11/'Summary, hourly ad costs'!AB$11))/('Summary, PPI''s'!AB119))</f>
        <v>.</v>
      </c>
      <c r="BZ119" s="4" t="str">
        <f>IF(OR('Summary, hourly ad costs'!AC119=-9999,'Summary, PPI''s'!AC119="."),".",(('Summary, hourly ad costs'!M119/'Summary, hourly ad costs'!AC119)*100/('Summary, hourly ad costs'!M$11/'Summary, hourly ad costs'!AC$11))/('Summary, PPI''s'!AC119))</f>
        <v>.</v>
      </c>
      <c r="CA119" s="4" t="str">
        <f>IF(OR('Summary, hourly ad costs'!AD119=-9999,'Summary, PPI''s'!AD119="."),".",(('Summary, hourly ad costs'!N119/'Summary, hourly ad costs'!AD119)*100/('Summary, hourly ad costs'!N$11/'Summary, hourly ad costs'!AD$11))/('Summary, PPI''s'!AD119))</f>
        <v>.</v>
      </c>
      <c r="CB119" s="4" t="str">
        <f>IF(OR('Summary, hourly ad costs'!AE119=-9999,'Summary, PPI''s'!AE119="."),".",(('Summary, hourly ad costs'!O119/'Summary, hourly ad costs'!AE119)*100/('Summary, hourly ad costs'!O$11/'Summary, hourly ad costs'!AE$11))/('Summary, PPI''s'!AE119))</f>
        <v>.</v>
      </c>
      <c r="CC119" s="4" t="str">
        <f>IF(OR('Summary, hourly ad costs'!AF119=-9999,'Summary, PPI''s'!AF119="."),".",(('Summary, hourly ad costs'!P119/'Summary, hourly ad costs'!AF119)*100/('Summary, hourly ad costs'!P$11/'Summary, hourly ad costs'!AF$11))/('Summary, PPI''s'!AF119))</f>
        <v>.</v>
      </c>
      <c r="CE119" s="4">
        <f t="shared" si="183"/>
        <v>-6.2944760447966014E-2</v>
      </c>
      <c r="CF119" s="4" t="str">
        <f t="shared" si="184"/>
        <v>.</v>
      </c>
      <c r="CG119" s="4" t="str">
        <f t="shared" si="185"/>
        <v>.</v>
      </c>
      <c r="CH119" s="4">
        <f t="shared" si="145"/>
        <v>-6.362963325210691E-2</v>
      </c>
      <c r="CI119" s="4">
        <f t="shared" si="145"/>
        <v>-7.0561740162263312E-2</v>
      </c>
      <c r="CJ119" s="4" t="str">
        <f t="shared" si="209"/>
        <v>.</v>
      </c>
      <c r="CK119" s="4">
        <f t="shared" si="149"/>
        <v>6.3960935992682291E-3</v>
      </c>
      <c r="CL119" s="4">
        <f t="shared" si="234"/>
        <v>-4.9604587563515816E-2</v>
      </c>
      <c r="CM119" s="4">
        <f t="shared" si="234"/>
        <v>-3.558814110438074E-3</v>
      </c>
      <c r="CN119" s="4">
        <f t="shared" si="204"/>
        <v>-6.4432896366898834E-2</v>
      </c>
      <c r="CO119" s="4">
        <f t="shared" si="180"/>
        <v>-0.22148091962619623</v>
      </c>
      <c r="CP119" s="4">
        <f t="shared" si="180"/>
        <v>0.27779593373559874</v>
      </c>
      <c r="CQ119" s="4" t="str">
        <f t="shared" si="230"/>
        <v>.</v>
      </c>
      <c r="CR119" s="4" t="str">
        <f t="shared" si="231"/>
        <v>.</v>
      </c>
      <c r="CS119" s="4" t="str">
        <f t="shared" si="232"/>
        <v>.</v>
      </c>
      <c r="CU119" s="5">
        <f>IF(CU118=".", ".", IF('Summary, PPI''s'!R119=".",IF(OR('Summary, hourly ad costs'!R119=-9999,'Summary, hourly ad costs'!R119=0), ".", 'Predicted PPIs'!CU118*('Summary, hourly ad costs'!B119/'Summary, hourly ad costs'!R119)/('Summary, hourly ad costs'!B118/'Summary, hourly ad costs'!R118)/(1-CE118)), 'Summary, PPI''s'!R119))</f>
        <v>24.352883853930013</v>
      </c>
      <c r="CV119" s="5" t="str">
        <f>IF(CV118=".", ".", IF('Summary, PPI''s'!S119=".",IF(OR('Summary, hourly ad costs'!S119=-9999,'Summary, hourly ad costs'!S119=0), ".", 'Predicted PPIs'!CV118*('Summary, hourly ad costs'!C119/'Summary, hourly ad costs'!S119)/('Summary, hourly ad costs'!C118/'Summary, hourly ad costs'!S118)/(1-CF118)), 'Summary, PPI''s'!S119))</f>
        <v>.</v>
      </c>
      <c r="CW119" s="5" t="str">
        <f>IF(CW118=".", ".", IF('Summary, PPI''s'!T119=".",IF(OR('Summary, hourly ad costs'!T119=-9999,'Summary, hourly ad costs'!T119=0), ".", 'Predicted PPIs'!CW118*('Summary, hourly ad costs'!D119/'Summary, hourly ad costs'!T119)/('Summary, hourly ad costs'!D118/'Summary, hourly ad costs'!T118)/(1-CG118)), 'Summary, PPI''s'!T119))</f>
        <v>.</v>
      </c>
      <c r="CX119" s="5">
        <f>IF(CX118=".", ".", IF('Summary, PPI''s'!U119=".",IF(OR('Summary, hourly ad costs'!U119=-9999,'Summary, hourly ad costs'!U119=0), ".", 'Predicted PPIs'!CX118*('Summary, hourly ad costs'!E119/'Summary, hourly ad costs'!U119)/('Summary, hourly ad costs'!E118/'Summary, hourly ad costs'!U118)/(1-CH118)), 'Summary, PPI''s'!U119))</f>
        <v>0.96266804006910045</v>
      </c>
      <c r="CY119" s="5">
        <f>IF(CY118=".", ".", IF('Summary, PPI''s'!V119=".",IF(OR('Summary, hourly ad costs'!V119=-9999,'Summary, hourly ad costs'!V119=0), ".", 'Predicted PPIs'!CY118*('Summary, hourly ad costs'!F119/'Summary, hourly ad costs'!V119)/('Summary, hourly ad costs'!F118/'Summary, hourly ad costs'!V118)/(1-CI118)), 'Summary, PPI''s'!V119))</f>
        <v>0.90528021830561733</v>
      </c>
      <c r="CZ119" s="5" t="str">
        <f>IF(CZ118=".", ".", IF('Summary, PPI''s'!W119=".",IF(OR('Summary, hourly ad costs'!W119=-9999,'Summary, hourly ad costs'!W119=0), ".", 'Predicted PPIs'!CZ118*('Summary, hourly ad costs'!G119/'Summary, hourly ad costs'!W119)/('Summary, hourly ad costs'!G118/'Summary, hourly ad costs'!W118)/(1-CJ118)), 'Summary, PPI''s'!W119))</f>
        <v>.</v>
      </c>
      <c r="DA119" s="5">
        <f>IF(DA118=".", ".", IF('Summary, PPI''s'!X119=".",IF(OR('Summary, hourly ad costs'!X119=-9999,'Summary, hourly ad costs'!X119=0), ".", 'Predicted PPIs'!DA118*('Summary, hourly ad costs'!H119/'Summary, hourly ad costs'!X119)/('Summary, hourly ad costs'!H118/'Summary, hourly ad costs'!X118)/(1-CK118)), 'Summary, PPI''s'!X119))</f>
        <v>1.0181717922234752</v>
      </c>
      <c r="DB119" s="5" t="str">
        <f>IF(DB118=".", ".", IF('Summary, PPI''s'!Y119=".",IF(OR('Summary, hourly ad costs'!Y119=-9999,'Summary, hourly ad costs'!Y119=0), ".", 'Predicted PPIs'!DB118*('Summary, hourly ad costs'!I119/'Summary, hourly ad costs'!Y119)/('Summary, hourly ad costs'!I118/'Summary, hourly ad costs'!Y118)/(1-CL118)), 'Summary, PPI''s'!Y119))</f>
        <v>.</v>
      </c>
      <c r="DC119" s="5" t="str">
        <f>IF(DC118=".", ".", IF('Summary, PPI''s'!Z119=".",IF(OR('Summary, hourly ad costs'!Z119=-9999,'Summary, hourly ad costs'!Z119=0), ".", 'Predicted PPIs'!DC118*('Summary, hourly ad costs'!J119/'Summary, hourly ad costs'!Z119)/('Summary, hourly ad costs'!J118/'Summary, hourly ad costs'!Z118)/(1-CM118)), 'Summary, PPI''s'!Z119))</f>
        <v>.</v>
      </c>
      <c r="DD119" s="5" t="str">
        <f>IF(DD118=".", ".", IF('Summary, PPI''s'!AA119=".",IF(OR('Summary, hourly ad costs'!AA119=-9999,'Summary, hourly ad costs'!AA119=0), ".", 'Predicted PPIs'!DD118*('Summary, hourly ad costs'!K119/'Summary, hourly ad costs'!AA119)/('Summary, hourly ad costs'!K118/'Summary, hourly ad costs'!AA118)/(1-CN118)), 'Summary, PPI''s'!AA119))</f>
        <v>.</v>
      </c>
      <c r="DE119" s="5" t="str">
        <f>IF(DE118=".", ".", IF('Summary, PPI''s'!AB119=".",IF(OR('Summary, hourly ad costs'!AB119=-9999,'Summary, hourly ad costs'!AB119=0), ".", 'Predicted PPIs'!DE118*('Summary, hourly ad costs'!L119/'Summary, hourly ad costs'!AB119)/('Summary, hourly ad costs'!L118/'Summary, hourly ad costs'!AB118)/(1-CO118)), 'Summary, PPI''s'!AB119))</f>
        <v>.</v>
      </c>
      <c r="DF119" s="5" t="str">
        <f>IF(DF118=".", ".", IF('Summary, PPI''s'!AC119=".",IF(OR('Summary, hourly ad costs'!AC119=-9999,'Summary, hourly ad costs'!AC119=0), ".", 'Predicted PPIs'!DF118*('Summary, hourly ad costs'!M119/'Summary, hourly ad costs'!AC119)/('Summary, hourly ad costs'!M118/'Summary, hourly ad costs'!AC118)/(1-CP118)), 'Summary, PPI''s'!AC119))</f>
        <v>.</v>
      </c>
      <c r="DG119" s="5" t="str">
        <f>IF(DG118=".", ".", IF('Summary, PPI''s'!AD119=".",IF(OR('Summary, hourly ad costs'!AD119=-9999,'Summary, hourly ad costs'!AD119=0), ".", 'Predicted PPIs'!DG118*('Summary, hourly ad costs'!N119/'Summary, hourly ad costs'!AD119)/('Summary, hourly ad costs'!N118/'Summary, hourly ad costs'!AD118)/(1-CQ118)), 'Summary, PPI''s'!AD119))</f>
        <v>.</v>
      </c>
      <c r="DH119" s="5" t="str">
        <f>IF(DH118=".", ".", IF('Summary, PPI''s'!AE119=".",IF(OR('Summary, hourly ad costs'!AE119=-9999,'Summary, hourly ad costs'!AE119=0), ".", 'Predicted PPIs'!DH118*('Summary, hourly ad costs'!O119/'Summary, hourly ad costs'!AE119)/('Summary, hourly ad costs'!O118/'Summary, hourly ad costs'!AE118)/(1-CR118)), 'Summary, PPI''s'!AE119))</f>
        <v>.</v>
      </c>
      <c r="DI119" s="5" t="str">
        <f>IF(DI118=".", ".", IF('Summary, PPI''s'!AF119=".",IF(OR('Summary, hourly ad costs'!AF119=-9999,'Summary, hourly ad costs'!AF119=0), ".", 'Predicted PPIs'!DI118*('Summary, hourly ad costs'!P119/'Summary, hourly ad costs'!AF119)/('Summary, hourly ad costs'!P118/'Summary, hourly ad costs'!AF118)/(1-CS118)), 'Summary, PPI''s'!AF119))</f>
        <v>.</v>
      </c>
      <c r="DK119" s="4">
        <f t="shared" si="205"/>
        <v>0.90751298245613976</v>
      </c>
      <c r="DM119" s="5">
        <f t="shared" si="186"/>
        <v>0.11372642716995385</v>
      </c>
      <c r="DN119" s="4">
        <f t="shared" si="187"/>
        <v>-1.3285966507055855E-2</v>
      </c>
      <c r="DO119" s="4">
        <f t="shared" si="233"/>
        <v>-2.3070649619891744E-2</v>
      </c>
      <c r="DP119" s="5">
        <f t="shared" si="188"/>
        <v>0.14906773136979212</v>
      </c>
      <c r="DQ119" s="5">
        <f t="shared" si="189"/>
        <v>0.1800644541957015</v>
      </c>
      <c r="DR119" s="4">
        <f t="shared" si="146"/>
        <v>-1.583092676521488E-2</v>
      </c>
      <c r="DS119" s="5">
        <f t="shared" si="190"/>
        <v>2.3096920990546277E-2</v>
      </c>
      <c r="DT119" s="4">
        <f t="shared" si="206"/>
        <v>3.4350313563508456E-2</v>
      </c>
      <c r="DU119" s="4">
        <f t="shared" si="171"/>
        <v>-4.4407121114414583E-2</v>
      </c>
      <c r="DV119" s="4">
        <f t="shared" si="235"/>
        <v>2.0765054646466885E-3</v>
      </c>
      <c r="DW119" s="4">
        <f t="shared" si="182"/>
        <v>7.7193742661212872E-2</v>
      </c>
      <c r="DX119" s="4">
        <f t="shared" si="182"/>
        <v>-0.31909649744102997</v>
      </c>
      <c r="DY119" s="4">
        <f t="shared" si="228"/>
        <v>-2.4397058581046033E-2</v>
      </c>
      <c r="DZ119" s="4">
        <f t="shared" si="236"/>
        <v>-1.8403368917368799E-2</v>
      </c>
      <c r="EA119" s="4">
        <f t="shared" si="229"/>
        <v>-1.4629597459257517E-2</v>
      </c>
      <c r="EC119" s="1">
        <f t="shared" si="213"/>
        <v>24.352883853930013</v>
      </c>
      <c r="ED119" s="1">
        <f t="shared" si="214"/>
        <v>0.78580067429402178</v>
      </c>
      <c r="EE119" s="1">
        <f t="shared" si="215"/>
        <v>0.42742648162081182</v>
      </c>
      <c r="EF119" s="1">
        <f t="shared" si="216"/>
        <v>0.96266804006910045</v>
      </c>
      <c r="EG119" s="1">
        <f t="shared" si="217"/>
        <v>0.90528021830561733</v>
      </c>
      <c r="EH119" s="1">
        <f t="shared" si="218"/>
        <v>0.69605878347965489</v>
      </c>
      <c r="EI119" s="1">
        <f t="shared" si="219"/>
        <v>1.0181717922234752</v>
      </c>
      <c r="EJ119" s="1">
        <f t="shared" si="220"/>
        <v>1.3114525416923548</v>
      </c>
      <c r="EK119" s="1">
        <f t="shared" si="221"/>
        <v>1.374473397720015</v>
      </c>
      <c r="EL119" s="1">
        <f t="shared" si="222"/>
        <v>0.75458715466679593</v>
      </c>
      <c r="EM119" s="1">
        <f t="shared" si="223"/>
        <v>2.9543523634254852E-2</v>
      </c>
      <c r="EN119" s="1">
        <f t="shared" si="224"/>
        <v>0.31531446111873962</v>
      </c>
      <c r="EO119" s="1">
        <f t="shared" si="225"/>
        <v>0.3300557777732675</v>
      </c>
      <c r="EP119" s="1">
        <f t="shared" si="226"/>
        <v>0.63755659157789646</v>
      </c>
      <c r="EQ119" s="1">
        <f t="shared" si="227"/>
        <v>0.51611548861969181</v>
      </c>
      <c r="ES119" s="1">
        <f>IF(EF$26=".", 0, 'Summary, PPI''s'!E119)+IF(EG$26=".", 0, 'Summary, PPI''s'!F119)+IF(EH$26=".", 0, 'Summary, PPI''s'!G119)+IF(EI$26=".", 0, 'Summary, PPI''s'!H119)+IF(EJ$26=".", 0, 'Summary, PPI''s'!I119)+IF(EK$26=".", 0, 'Summary, PPI''s'!J119)+IF(EL$26=".", 0, 'Summary, PPI''s'!K119)+IF(EM$26=".", 0, 'Summary, PPI''s'!L119)+IF(EN$26=".", 0, 'Summary, PPI''s'!M119)+IF(EC$26=".", 0, 'Summary, PPI''s'!B119)+IF(ED$26=".", 0, 'Summary, PPI''s'!C119)+IF(EE$26=".", 0, 'Summary, PPI''s'!D119)+IF(EO$26=".", 0, 'Summary, PPI''s'!N119)+IF(EP$26=".", 0, 'Summary, PPI''s'!O119)+IF(EQ$26=".", 0, 'Summary, PPI''s'!P119)</f>
        <v>529719.37944858219</v>
      </c>
      <c r="ET119" s="1">
        <f>'Summary, hourly ad costs'!E119+'Summary, hourly ad costs'!F119+'Summary, hourly ad costs'!H119+'Summary, hourly ad costs'!I119+'Summary, hourly ad costs'!J119+'Summary, hourly ad costs'!K119+'Summary, hourly ad costs'!L119+'Summary, hourly ad costs'!M119+'Summary, hourly ad costs'!B119</f>
        <v>322043.64847307536</v>
      </c>
      <c r="EV119" s="13">
        <f>EV118*IF(EF$26=".", 1, (EF119/EF118)^(('Summary, PPI''s'!$E119+'Summary, PPI''s'!$E118)/('Predicted PPIs'!ES119+'Predicted PPIs'!ES118)))*IF(EG$26=".", 1, (EG119/EG118)^(('Summary, PPI''s'!$F119+'Summary, PPI''s'!$F118)/('Predicted PPIs'!ES119+'Predicted PPIs'!ES118)))*IF(EH$26=".", 1, (EH119/EH118)^(('Summary, PPI''s'!$G119+'Summary, PPI''s'!$G118)/('Predicted PPIs'!ES119+'Predicted PPIs'!ES118)))*IF(EI$26=".", 1, (EI119/EI118)^(('Summary, PPI''s'!$H119+'Summary, PPI''s'!$H118)/('Predicted PPIs'!ES119+'Predicted PPIs'!ES118)))*IF(EJ$26=".", 1, (EJ119/EJ118)^(('Summary, PPI''s'!$I119+'Summary, PPI''s'!$I118)/('Predicted PPIs'!ES119+'Predicted PPIs'!ES118)))*IF(EK$26=".", 1, (EK119/EK118)^(('Summary, PPI''s'!$J119+'Summary, PPI''s'!$J118)/('Predicted PPIs'!ES119+'Predicted PPIs'!ES118)))*IF(EL$26=".", 1, (EL119/EL118)^(('Summary, PPI''s'!$K119+'Summary, PPI''s'!$K118)/('Predicted PPIs'!ES119+'Predicted PPIs'!ES118)))*IF(EM$26=".", 1, (EM119/EM118)^(('Summary, PPI''s'!$L119+'Summary, PPI''s'!$L118)/('Predicted PPIs'!ES119+'Predicted PPIs'!ES118)))*IF(EN$26=".", 1, (EN119/EN118)^(('Summary, PPI''s'!$M119+'Summary, PPI''s'!$M118)/('Predicted PPIs'!ES119+'Predicted PPIs'!ES118)))*IF(EC$26=".", 1, (EC119/EC118)^(('Summary, PPI''s'!$B119+'Summary, PPI''s'!$B118)/('Predicted PPIs'!ES119+'Predicted PPIs'!ES118)))*IF(ED$26=".", 1, (ED119/ED118)^(('Summary, PPI''s'!$C119+'Summary, PPI''s'!$C118)/('Predicted PPIs'!ES119+'Predicted PPIs'!ES118)))*IF(EE$26=".", 1, (EE119/EE118)^(('Summary, PPI''s'!$D119+'Summary, PPI''s'!$D118)/('Predicted PPIs'!ES119+'Predicted PPIs'!ES118)))*IF(EO$26=".", 1, (EO119/EO118)^(('Summary, PPI''s'!$N119+'Summary, PPI''s'!$N118)/('Predicted PPIs'!ES119+'Predicted PPIs'!ES118)))*IF(EP$26=".", 1, (EP119/EP118)^(('Summary, PPI''s'!$O119+'Summary, PPI''s'!$O118)/('Predicted PPIs'!ES119+'Predicted PPIs'!ES118)))*IF(EQ$26=".", 1, (EQ119/EQ118)^(('Summary, PPI''s'!$P119+'Summary, PPI''s'!$P118)/('Predicted PPIs'!ES119+'Predicted PPIs'!ES118)))</f>
        <v>1.4175682881194269</v>
      </c>
      <c r="EW119" s="13">
        <f>EW118*IF(EF$26=".", 1, (EF119/EF118)^(('Summary, PPI''s'!$E119+'Summary, PPI''s'!$E118)/('Predicted PPIs'!ET119+'Predicted PPIs'!ET118)))*IF(EG$26=".", 1, (EG119/EG118)^(('Summary, PPI''s'!$F119+'Summary, PPI''s'!$F118)/('Predicted PPIs'!ET119+'Predicted PPIs'!ET118)))*IF(EH$26=".", 1, (EH119/EH118)^(('Summary, PPI''s'!$G119+'Summary, PPI''s'!$G118)/('Predicted PPIs'!ET119+'Predicted PPIs'!ET118)))*IF(EK$26=".", 1, (EK119/EK118)^(('Summary, PPI''s'!$J119+'Summary, PPI''s'!$J118)/('Predicted PPIs'!ET119+'Predicted PPIs'!ET118)))*IF(EL$26=".", 1, (EL119/EL118)^(('Summary, PPI''s'!$K119+'Summary, PPI''s'!$K118)/('Predicted PPIs'!ET119+'Predicted PPIs'!ET118)))*IF(EM$26=".", 1, (EM119/EM118)^(('Summary, PPI''s'!$L119+'Summary, PPI''s'!$L118)/('Predicted PPIs'!ET119+'Predicted PPIs'!ET118)))*IF(EN$26=".", 1, (EN119/EN118)^(('Summary, PPI''s'!$M119+'Summary, PPI''s'!$M118)/('Predicted PPIs'!ET119+'Predicted PPIs'!ET118)))*IF(EC$26=".", 1, (EC119/EC118)^(('Summary, PPI''s'!$B119+'Summary, PPI''s'!$B118)/('Predicted PPIs'!ET119+'Predicted PPIs'!ET118)))</f>
        <v>3.4388868261431398</v>
      </c>
      <c r="EY119" s="2"/>
    </row>
    <row r="120" spans="1:155" x14ac:dyDescent="0.3">
      <c r="A120" s="4">
        <v>1903</v>
      </c>
      <c r="B120" s="10">
        <f>IF(B119=".", ".", IF('Summary, PPI''s'!R120=".",IF(OR('Summary, hourly ad costs'!R120=-9999,'Summary, hourly ad costs'!R120=0), ".", 'Predicted PPIs'!B119*('Summary, hourly ad costs'!B120/'Summary, hourly ad costs'!R120)/('Summary, hourly ad costs'!B119/'Summary, hourly ad costs'!R119)), 'Summary, PPI''s'!R120))</f>
        <v>62.109952965402904</v>
      </c>
      <c r="C120" s="10" t="str">
        <f>IF(C119=".", ".", IF('Summary, PPI''s'!S120=".",IF(OR('Summary, hourly ad costs'!S120=-9999,'Summary, hourly ad costs'!S120=0), ".", 'Predicted PPIs'!C119*('Summary, hourly ad costs'!C120/'Summary, hourly ad costs'!S120)/('Summary, hourly ad costs'!C119/'Summary, hourly ad costs'!S119)), 'Summary, PPI''s'!S120))</f>
        <v>.</v>
      </c>
      <c r="D120" s="10" t="str">
        <f>IF(D119=".", ".", IF('Summary, PPI''s'!T120=".",IF(OR('Summary, hourly ad costs'!T120=-9999,'Summary, hourly ad costs'!T120=0), ".", 'Predicted PPIs'!D119*('Summary, hourly ad costs'!D120/'Summary, hourly ad costs'!T120)/('Summary, hourly ad costs'!D119/'Summary, hourly ad costs'!T119)), 'Summary, PPI''s'!T120))</f>
        <v>.</v>
      </c>
      <c r="E120" s="10">
        <f>IF(E119=".", ".", IF('Summary, PPI''s'!U120=".",IF(OR('Summary, hourly ad costs'!U120=-9999,'Summary, hourly ad costs'!U120=0), ".", 'Predicted PPIs'!E119*('Summary, hourly ad costs'!E120/'Summary, hourly ad costs'!U120)/('Summary, hourly ad costs'!E119/'Summary, hourly ad costs'!U119)), 'Summary, PPI''s'!U120))</f>
        <v>0.88521291525421741</v>
      </c>
      <c r="F120" s="10">
        <f>IF(F119=".", ".", IF('Summary, PPI''s'!V120=".",IF(OR('Summary, hourly ad costs'!V120=-9999,'Summary, hourly ad costs'!V120=0), ".", 'Predicted PPIs'!F119*('Summary, hourly ad costs'!F120/'Summary, hourly ad costs'!V120)/('Summary, hourly ad costs'!F119/'Summary, hourly ad costs'!V119)), 'Summary, PPI''s'!V120))</f>
        <v>0.7198172700871559</v>
      </c>
      <c r="G120" s="10" t="str">
        <f>IF(G119=".", ".", IF('Summary, PPI''s'!W120=".",IF(OR('Summary, hourly ad costs'!W120=-9999,'Summary, hourly ad costs'!W120=0), ".", 'Predicted PPIs'!G119*('Summary, hourly ad costs'!G120/'Summary, hourly ad costs'!W120)/('Summary, hourly ad costs'!G119/'Summary, hourly ad costs'!W119)), 'Summary, PPI''s'!W120))</f>
        <v>.</v>
      </c>
      <c r="H120" s="10">
        <f>IF(H119=".", ".", IF('Summary, PPI''s'!X120=".",IF(OR('Summary, hourly ad costs'!X120=-9999,'Summary, hourly ad costs'!X120=0), ".", 'Predicted PPIs'!H119*('Summary, hourly ad costs'!H120/'Summary, hourly ad costs'!X120)/('Summary, hourly ad costs'!H119/'Summary, hourly ad costs'!X119)), 'Summary, PPI''s'!X120))</f>
        <v>0.79632192493496801</v>
      </c>
      <c r="I120" s="10" t="str">
        <f>IF(I119=".", ".", IF('Summary, PPI''s'!Y120=".",IF(OR('Summary, hourly ad costs'!Y120=-9999,'Summary, hourly ad costs'!Y120=0), ".", 'Predicted PPIs'!I119*('Summary, hourly ad costs'!I120/'Summary, hourly ad costs'!Y120)/('Summary, hourly ad costs'!I119/'Summary, hourly ad costs'!Y119)), 'Summary, PPI''s'!Y120))</f>
        <v>.</v>
      </c>
      <c r="J120" s="10" t="str">
        <f>IF(J119=".", ".", IF('Summary, PPI''s'!Z120=".",IF(OR('Summary, hourly ad costs'!Z120=-9999,'Summary, hourly ad costs'!Z120=0), ".", 'Predicted PPIs'!J119*('Summary, hourly ad costs'!J120/'Summary, hourly ad costs'!Z120)/('Summary, hourly ad costs'!J119/'Summary, hourly ad costs'!Z119)), 'Summary, PPI''s'!Z120))</f>
        <v>.</v>
      </c>
      <c r="K120" s="10" t="str">
        <f>IF(K119=".", ".", IF('Summary, PPI''s'!AA120=".",IF(OR('Summary, hourly ad costs'!AA120=-9999,'Summary, hourly ad costs'!AA120=0), ".", 'Predicted PPIs'!K119*('Summary, hourly ad costs'!K120/'Summary, hourly ad costs'!AA120)/('Summary, hourly ad costs'!K119/'Summary, hourly ad costs'!AA119)), 'Summary, PPI''s'!AA120))</f>
        <v>.</v>
      </c>
      <c r="L120" s="10" t="str">
        <f>IF(L119=".", ".", IF('Summary, PPI''s'!AB120=".",IF(OR('Summary, hourly ad costs'!AB120=-9999,'Summary, hourly ad costs'!AB120=0), ".", 'Predicted PPIs'!L119*('Summary, hourly ad costs'!L120/'Summary, hourly ad costs'!AB120)/('Summary, hourly ad costs'!L119/'Summary, hourly ad costs'!AB119)), 'Summary, PPI''s'!AB120))</f>
        <v>.</v>
      </c>
      <c r="M120" s="10" t="str">
        <f>IF(M119=".", ".", IF('Summary, PPI''s'!AC120=".",IF(OR('Summary, hourly ad costs'!AC120=-9999,'Summary, hourly ad costs'!AC120=0), ".", 'Predicted PPIs'!M119*('Summary, hourly ad costs'!M120/'Summary, hourly ad costs'!AC120)/('Summary, hourly ad costs'!M119/'Summary, hourly ad costs'!AC119)), 'Summary, PPI''s'!AC120))</f>
        <v>.</v>
      </c>
      <c r="N120" s="10" t="str">
        <f>IF(N119=".", ".", IF('Summary, PPI''s'!AD120=".",IF(OR('Summary, hourly ad costs'!AD120=-9999,'Summary, hourly ad costs'!AD120=0), ".", 'Predicted PPIs'!N119*('Summary, hourly ad costs'!N120/'Summary, hourly ad costs'!AD120)/('Summary, hourly ad costs'!N119/'Summary, hourly ad costs'!AD119)), 'Summary, PPI''s'!AD120))</f>
        <v>.</v>
      </c>
      <c r="O120" s="10" t="str">
        <f>IF(O119=".", ".", IF('Summary, PPI''s'!AE120=".",IF(OR('Summary, hourly ad costs'!AE120=-9999,'Summary, hourly ad costs'!AE120=0), ".", 'Predicted PPIs'!O119*('Summary, hourly ad costs'!O120/'Summary, hourly ad costs'!AE120)/('Summary, hourly ad costs'!O119/'Summary, hourly ad costs'!AE119)), 'Summary, PPI''s'!AE120))</f>
        <v>.</v>
      </c>
      <c r="P120" s="10" t="str">
        <f>IF(P119=".", ".", IF('Summary, PPI''s'!AF120=".",IF(OR('Summary, hourly ad costs'!AF120=-9999,'Summary, hourly ad costs'!AF120=0), ".", 'Predicted PPIs'!P119*('Summary, hourly ad costs'!P120/'Summary, hourly ad costs'!AF120)/('Summary, hourly ad costs'!P119/'Summary, hourly ad costs'!AF119)), 'Summary, PPI''s'!AF120))</f>
        <v>.</v>
      </c>
      <c r="R120" s="1">
        <f>IF(E$26=".", 0, 'Summary, PPI''s'!E120)+IF(F$26=".", 0, 'Summary, PPI''s'!F120)+IF(G$26=".", 0, 'Summary, PPI''s'!G120)+IF(H$26=".", 0, 'Summary, PPI''s'!H120)+IF(I$26=".", 0, 'Summary, PPI''s'!I120)+IF(J$26=".", 0, 'Summary, PPI''s'!J120)+IF(K$26=".", 0, 'Summary, PPI''s'!K120)+IF(L$26=".", 0, 'Summary, PPI''s'!L120)+IF(M$26=".", 0, 'Summary, PPI''s'!M120)+IF(B$26=".", 0, 'Summary, PPI''s'!B120)+IF(C$26=".", 0, 'Summary, PPI''s'!C120)+IF(D$26=".", 0, 'Summary, PPI''s'!D120)+IF(N$26=".", 0, 'Summary, PPI''s'!N120)+IF(O$26=".", 0, 'Summary, PPI''s'!O120)+IF(P$26=".", 0, 'Summary, PPI''s'!P120)</f>
        <v>459683.8423524613</v>
      </c>
      <c r="S120" s="1">
        <f>IF(E$36=".", 0, 'Summary, PPI''s'!E120)+IF(F$36=".", 0, 'Summary, PPI''s'!F120)+IF(G$36=".", 0, 'Summary, PPI''s'!G120)+IF(H$36=".", 0, 'Summary, PPI''s'!H120)+IF(I$36=".", 0, 'Summary, PPI''s'!I120)+IF(J$36=".", 0, 'Summary, PPI''s'!J120)+IF(K$36=".", 0, 'Summary, PPI''s'!K120)+IF(L$36=".", 0, 'Summary, PPI''s'!L120)+IF(M$36=".", 0, 'Summary, PPI''s'!M120)+IF(B$36=".", 0, 'Summary, PPI''s'!B120)+IF(C$36=".", 0, 'Summary, PPI''s'!C120)+IF(D$36=".", 0, 'Summary, PPI''s'!D120)+IF(N$36=".", 0, 'Summary, PPI''s'!N120)+IF(O$36=".", 0, 'Summary, PPI''s'!O120)+IF(P$36=".", 0, 'Summary, PPI''s'!P120)</f>
        <v>459683.8423524613</v>
      </c>
      <c r="T120" s="1">
        <f>IF(E$46=".", 0, 'Summary, PPI''s'!E120)+IF(F$46=".", 0, 'Summary, PPI''s'!F120)+IF(G$46=".", 0, 'Summary, PPI''s'!G120)+IF(H$46=".", 0, 'Summary, PPI''s'!H120)+IF(I$46=".", 0, 'Summary, PPI''s'!I120)+IF(J$46=".", 0, 'Summary, PPI''s'!J120)+IF(K$46=".", 0, 'Summary, PPI''s'!K120)+IF(L$46=".", 0, 'Summary, PPI''s'!L120)+IF(M$46=".", 0, 'Summary, PPI''s'!M120)+IF(B$46=".", 0, 'Summary, PPI''s'!B120)+IF(C$46=".", 0, 'Summary, PPI''s'!C120)+IF(D$46=".", 0, 'Summary, PPI''s'!D120)+IF(N$46=".", 0, 'Summary, PPI''s'!N120)+IF(O$46=".", 0, 'Summary, PPI''s'!O120)+IF(P$46=".", 0, 'Summary, PPI''s'!P120)</f>
        <v>415462.66022348352</v>
      </c>
      <c r="U120" s="1">
        <f>IF(E$60=".", 0, 'Summary, PPI''s'!E120)+IF(F$60=".", 0, 'Summary, PPI''s'!F120)+IF(G$60=".", 0, 'Summary, PPI''s'!G120)+IF(H$60=".", 0, 'Summary, PPI''s'!H120)+IF(I$60=".", 0, 'Summary, PPI''s'!I120)+IF(J$60=".", 0, 'Summary, PPI''s'!J120)+IF(K$60=".", 0, 'Summary, PPI''s'!K120)+IF(L$60=".", 0, 'Summary, PPI''s'!L120)+IF(M$60=".", 0, 'Summary, PPI''s'!M120)+IF(B$60=".", 0, 'Summary, PPI''s'!B120)+IF(C$60=".", 0, 'Summary, PPI''s'!C120)+IF(D$60=".", 0, 'Summary, PPI''s'!D120)+IF(N$60=".", 0, 'Summary, PPI''s'!N120)+IF(O$60=".", 0, 'Summary, PPI''s'!O120)+IF(P$60=".", 0, 'Summary, PPI''s'!P120)</f>
        <v>399021.83833236864</v>
      </c>
      <c r="V120" s="1">
        <f>IF(E$73=".", 0, 'Summary, PPI''s'!E120)+IF(F$73=".", 0, 'Summary, PPI''s'!F120)+IF(G$73=".", 0, 'Summary, PPI''s'!G120)+IF(H$73=".", 0, 'Summary, PPI''s'!H120)+IF(I$73=".", 0, 'Summary, PPI''s'!I120)+IF(J$73=".", 0, 'Summary, PPI''s'!J120)+IF(K$73=".", 0, 'Summary, PPI''s'!K120)+IF(L$73=".", 0, 'Summary, PPI''s'!L120)+IF(M$73=".", 0, 'Summary, PPI''s'!M120)+IF(B$73=".", 0, 'Summary, PPI''s'!B120)+IF(C$73=".", 0, 'Summary, PPI''s'!C120)+IF(D$73=".", 0, 'Summary, PPI''s'!D120)+IF(N$73=".", 0, 'Summary, PPI''s'!N120)+IF(O$73=".", 0, 'Summary, PPI''s'!O120)+IF(P$73=".", 0, 'Summary, PPI''s'!P120)</f>
        <v>279678.35404180823</v>
      </c>
      <c r="W120" s="1">
        <f>IF(E$94=".",0,'Summary, PPI''s'!E120)+IF(F$94=".",0,'Summary, PPI''s'!F120)+IF(G$94=".",0,'Summary, PPI''s'!G120)+IF(H$94=".",0,'Summary, PPI''s'!H120)+IF(I$94=".",0,'Summary, PPI''s'!I120)+IF(J$94=".",0,'Summary, PPI''s'!J120)+IF(K$94=".",0,'Summary, PPI''s'!K120)+IF(L$94=".",0,'Summary, PPI''s'!L120)+IF(M$94=".",0,'Summary, PPI''s'!M120)+IF(B$94=".",0,'Summary, PPI''s'!B120)+IF(C$94=".",0,'Summary, PPI''s'!C120)+IF(D$94=".",0,'Summary, PPI''s'!D120)+IF(N$94=".",0,'Summary, PPI''s'!N120)+IF(O$94=".",0,'Summary, PPI''s'!O120)+IF(P$94=".",0,'Summary, PPI''s'!P120)</f>
        <v>279678.35404180823</v>
      </c>
      <c r="X120" s="1">
        <f>IF(E$123=".", 0, 'Summary, PPI''s'!E120)+IF(F$123=".", 0, 'Summary, PPI''s'!F120)+IF(G$123=".", 0, 'Summary, PPI''s'!G120)+IF(H$123=".", 0, 'Summary, PPI''s'!H120)+IF(I$123=".", 0, 'Summary, PPI''s'!I120)+IF(J$123=".", 0, 'Summary, PPI''s'!J120)+IF(K$123=".", 0, 'Summary, PPI''s'!K120)+IF(L$123=".", 0, 'Summary, PPI''s'!L120)+IF(M$123=".", 0, 'Summary, PPI''s'!M120)+IF(B$123=".", 0, 'Summary, PPI''s'!B120)+IF(C$123=".", 0, 'Summary, PPI''s'!C120)+IF(D$123=".", 0, 'Summary, PPI''s'!D120)+IF(N$123=".", 0, 'Summary, PPI''s'!N120)+IF(O$123=".", 0, 'Summary, PPI''s'!O120)+IF(P$123=".", 0, 'Summary, PPI''s'!P120)</f>
        <v>279678.35404180823</v>
      </c>
      <c r="Z120" s="4" t="e">
        <f>Z119*IF(E$26=".", 1, (E120/E119)^(('Summary, PPI''s'!$E120+'Summary, PPI''s'!$E119)/('Predicted PPIs'!R120+'Predicted PPIs'!R119)))*IF(F$26=".", 1, (F120/F119)^(('Summary, PPI''s'!$F120+'Summary, PPI''s'!$F119)/('Predicted PPIs'!R120+'Predicted PPIs'!R119)))*IF(G$26=".", 1, (G120/G119)^(('Summary, PPI''s'!$G120+'Summary, PPI''s'!$G119)/('Predicted PPIs'!R120+'Predicted PPIs'!R119)))*IF(H$26=".", 1, (H120/H119)^(('Summary, PPI''s'!$H120+'Summary, PPI''s'!$H119)/('Predicted PPIs'!R120+'Predicted PPIs'!R119)))*IF(I$26=".", 1, (I120/I119)^(('Summary, PPI''s'!$I120+'Summary, PPI''s'!$I119)/('Predicted PPIs'!R120+'Predicted PPIs'!R119)))*IF(J$26=".", 1, (J120/J119)^(('Summary, PPI''s'!$J120+'Summary, PPI''s'!$J119)/('Predicted PPIs'!R120+'Predicted PPIs'!R119)))*IF(K$26=".", 1, (K120/K119)^(('Summary, PPI''s'!$K120+'Summary, PPI''s'!$K119)/('Predicted PPIs'!R120+'Predicted PPIs'!R119)))*IF(L$26=".", 1, (L120/L119)^(('Summary, PPI''s'!$L120+'Summary, PPI''s'!$L119)/('Predicted PPIs'!R120+'Predicted PPIs'!R119)))*IF(M$26=".", 1, (M120/M119)^(('Summary, PPI''s'!$M120+'Summary, PPI''s'!$M119)/('Predicted PPIs'!R120+'Predicted PPIs'!R119)))*IF(B$26=".", 1, (B120/B119)^(('Summary, PPI''s'!$B120+'Summary, PPI''s'!$B119)/('Predicted PPIs'!R120+'Predicted PPIs'!R119)))*IF(C$26=".", 1, (C120/C119)^(('Summary, PPI''s'!$C120+'Summary, PPI''s'!$C119)/('Predicted PPIs'!R120+'Predicted PPIs'!R119)))*IF(D$26=".", 1, (D120/D119)^(('Summary, PPI''s'!$D120+'Summary, PPI''s'!$D119)/('Predicted PPIs'!R120+'Predicted PPIs'!R119)))*IF(N$26=".", 1, (N120/N119)^(('Summary, PPI''s'!$N120+'Summary, PPI''s'!$N119)/('Predicted PPIs'!R120+'Predicted PPIs'!R119)))*IF(O$26=".", 1, (O120/O119)^(('Summary, PPI''s'!$O120+'Summary, PPI''s'!$O119)/('Predicted PPIs'!R120+'Predicted PPIs'!R119)))*IF(P$26=".", 1, (P120/P119)^(('Summary, PPI''s'!$P120+'Summary, PPI''s'!$P119)/('Predicted PPIs'!R120+'Predicted PPIs'!R119)))</f>
        <v>#VALUE!</v>
      </c>
      <c r="AA120" s="4" t="e">
        <f>AA119*IF(E$36=".", 1, (E120/E119)^(('Summary, PPI''s'!$E120+'Summary, PPI''s'!$E119)/('Predicted PPIs'!S120+'Predicted PPIs'!S119)))*IF(F$36=".", 1, (F120/F119)^(('Summary, PPI''s'!$F120+'Summary, PPI''s'!$F119)/('Predicted PPIs'!S120+'Predicted PPIs'!S119)))*IF(G$36=".", 1, (G120/G119)^(('Summary, PPI''s'!$G120+'Summary, PPI''s'!$G119)/('Predicted PPIs'!S120+'Predicted PPIs'!S119)))*IF(H$36=".", 1, (H120/H119)^(('Summary, PPI''s'!$H120+'Summary, PPI''s'!$H119)/('Predicted PPIs'!S120+'Predicted PPIs'!S119)))*IF(I$36=".", 1, (I120/I119)^(('Summary, PPI''s'!$I120+'Summary, PPI''s'!$I119)/('Predicted PPIs'!S120+'Predicted PPIs'!S119)))*IF(J$36=".", 1, (J120/J119)^(('Summary, PPI''s'!$J120+'Summary, PPI''s'!$J119)/('Predicted PPIs'!S120+'Predicted PPIs'!S119)))*IF(K$36=".", 1, (K120/K119)^(('Summary, PPI''s'!$K120+'Summary, PPI''s'!$K119)/('Predicted PPIs'!S120+'Predicted PPIs'!S119)))*IF(L$36=".", 1, (L120/L119)^(('Summary, PPI''s'!$L120+'Summary, PPI''s'!$L119)/('Predicted PPIs'!S120+'Predicted PPIs'!S119)))*IF(M$36=".", 1, (M120/M119)^(('Summary, PPI''s'!$M120+'Summary, PPI''s'!$M119)/('Predicted PPIs'!S120+'Predicted PPIs'!S119)))*IF(B$36=".", 1, (B120/B119)^(('Summary, PPI''s'!$B120+'Summary, PPI''s'!$B119)/('Predicted PPIs'!S120+'Predicted PPIs'!S119)))*IF(C$36=".", 1, (C120/C119)^(('Summary, PPI''s'!$C120+'Summary, PPI''s'!$C119)/('Predicted PPIs'!S120+'Predicted PPIs'!S119)))*IF(D$36=".", 1, (D120/D119)^(('Summary, PPI''s'!$D120+'Summary, PPI''s'!$D119)/('Predicted PPIs'!S120+'Predicted PPIs'!S119)))*IF(N$36=".", 1, (N120/N119)^(('Summary, PPI''s'!$N120+'Summary, PPI''s'!$N119)/('Predicted PPIs'!S120+'Predicted PPIs'!S119)))*IF(O$36=".", 1, (O120/O119)^(('Summary, PPI''s'!$O120+'Summary, PPI''s'!$O119)/('Predicted PPIs'!S120+'Predicted PPIs'!S119)))*IF(P$36=".", 1, (P120/P119)^(('Summary, PPI''s'!$P120+'Summary, PPI''s'!$P119)/('Predicted PPIs'!S120+'Predicted PPIs'!S119)))</f>
        <v>#VALUE!</v>
      </c>
      <c r="AB120" s="4" t="e">
        <f>AB119*IF(E$46=".", 1, (E120/E119)^(('Summary, PPI''s'!$E120+'Summary, PPI''s'!$E119)/('Predicted PPIs'!T120+'Predicted PPIs'!T119)))*IF(F$46=".", 1, (F120/F119)^(('Summary, PPI''s'!$F120+'Summary, PPI''s'!$F119)/('Predicted PPIs'!T120+'Predicted PPIs'!T119)))*IF(G$46=".", 1, (G120/G119)^(('Summary, PPI''s'!$G120+'Summary, PPI''s'!$G119)/('Predicted PPIs'!T120+'Predicted PPIs'!T119)))*IF(H$46=".", 1, (H120/H119)^(('Summary, PPI''s'!$H120+'Summary, PPI''s'!$H119)/('Predicted PPIs'!T120+'Predicted PPIs'!T119)))*IF(I$46=".", 1, (I120/I119)^(('Summary, PPI''s'!$I120+'Summary, PPI''s'!$I119)/('Predicted PPIs'!T120+'Predicted PPIs'!T119)))*IF(J$46=".", 1, (J120/J119)^(('Summary, PPI''s'!$J120+'Summary, PPI''s'!$J119)/('Predicted PPIs'!T120+'Predicted PPIs'!T119)))*IF(K$46=".", 1, (K120/K119)^(('Summary, PPI''s'!$K120+'Summary, PPI''s'!$K119)/('Predicted PPIs'!T120+'Predicted PPIs'!T119)))*IF(L$46=".", 1, (L120/L119)^(('Summary, PPI''s'!$L120+'Summary, PPI''s'!$L119)/('Predicted PPIs'!T120+'Predicted PPIs'!T119)))*IF(M$46=".", 1, (M120/M119)^(('Summary, PPI''s'!$M120+'Summary, PPI''s'!$M119)/('Predicted PPIs'!T120+'Predicted PPIs'!T119)))*IF(B$46=".", 1, (B120/B119)^(('Summary, PPI''s'!$B120+'Summary, PPI''s'!$B119)/('Predicted PPIs'!T120+'Predicted PPIs'!T119)))*IF(C$46=".", 1, (C120/C119)^(('Summary, PPI''s'!$C120+'Summary, PPI''s'!$C119)/('Predicted PPIs'!T120+'Predicted PPIs'!T119)))*IF(D$46=".", 1, (D120/D119)^(('Summary, PPI''s'!$D120+'Summary, PPI''s'!$D119)/('Predicted PPIs'!T120+'Predicted PPIs'!T119)))*IF(N$46=".", 1, (N120/N119)^(('Summary, PPI''s'!$N120+'Summary, PPI''s'!$N119)/('Predicted PPIs'!T120+'Predicted PPIs'!T119)))*IF(O$46=".", 1, (O120/O119)^(('Summary, PPI''s'!$O120+'Summary, PPI''s'!$O119)/('Predicted PPIs'!T120+'Predicted PPIs'!T119)))*IF(P$46=".", 1, (P120/P119)^(('Summary, PPI''s'!$P120+'Summary, PPI''s'!$P119)/('Predicted PPIs'!T120+'Predicted PPIs'!T119)))</f>
        <v>#VALUE!</v>
      </c>
      <c r="AC120" s="4" t="e">
        <f>AC119*IF(E$60=".",1,(E120/E119)^(('Summary, PPI''s'!$E120+'Summary, PPI''s'!$E119)/('Predicted PPIs'!U120+'Predicted PPIs'!U119)))*IF(F$60=".",1,(F120/F119)^(('Summary, PPI''s'!$F120+'Summary, PPI''s'!$F119)/('Predicted PPIs'!U120+'Predicted PPIs'!U119)))*IF(G$60=".",1,(G120/G119)^(('Summary, PPI''s'!$G120+'Summary, PPI''s'!$G119)/('Predicted PPIs'!U120+'Predicted PPIs'!U119)))*IF(H$60=".",1,(H120/H119)^(('Summary, PPI''s'!$H120+'Summary, PPI''s'!$H119)/('Predicted PPIs'!U120+'Predicted PPIs'!U119)))*IF(I$60=".",1,(I120/I119)^(('Summary, PPI''s'!$I120+'Summary, PPI''s'!$I119)/('Predicted PPIs'!U120+'Predicted PPIs'!U119)))*IF(J$60=".",1,(J120/J119)^(('Summary, PPI''s'!$J120+'Summary, PPI''s'!$J119)/('Predicted PPIs'!U120+'Predicted PPIs'!U119)))*IF(K$60=".",1,(K120/K119)^(('Summary, PPI''s'!$K120+'Summary, PPI''s'!$K119)/('Predicted PPIs'!U120+'Predicted PPIs'!U119)))*IF(L$60=".",1,(L120/L119)^(('Summary, PPI''s'!$L120+'Summary, PPI''s'!$L119)/('Predicted PPIs'!U120+'Predicted PPIs'!U119)))*IF(M$60=".",1,(M120/M119)^(('Summary, PPI''s'!$M120+'Summary, PPI''s'!$M119)/('Predicted PPIs'!U120+'Predicted PPIs'!U119)))*IF(B$60=".",1,(B120/B119)^(('Summary, PPI''s'!$B120+'Summary, PPI''s'!$B119)/('Predicted PPIs'!U120+'Predicted PPIs'!U119)))*IF(C$60=".",1,(C120/C119)^(('Summary, PPI''s'!$C120+'Summary, PPI''s'!$C119)/('Predicted PPIs'!U120+'Predicted PPIs'!U119)))*IF(D$60=".",1,(D120/D119)^(('Summary, PPI''s'!$D120+'Summary, PPI''s'!$D119)/('Predicted PPIs'!U120+'Predicted PPIs'!U119)))*IF(N$60=".",1,(N120/N119)^(('Summary, PPI''s'!$N120+'Summary, PPI''s'!$N119)/('Predicted PPIs'!U120+'Predicted PPIs'!U119)))*IF(O$60=".",1,(O120/O119)^(('Summary, PPI''s'!$O120+'Summary, PPI''s'!$O119)/('Predicted PPIs'!U120+'Predicted PPIs'!U119)))*IF(P$60=".",1,(P120/P119)^(('Summary, PPI''s'!$P120+'Summary, PPI''s'!$P119)/('Predicted PPIs'!U120+'Predicted PPIs'!U119)))</f>
        <v>#VALUE!</v>
      </c>
      <c r="AD120" s="4" t="e">
        <f>AD119*IF(E$73=".", 1, (E120/E119)^(('Summary, PPI''s'!$E120+'Summary, PPI''s'!$E119)/('Predicted PPIs'!V120+'Predicted PPIs'!V119)))*IF(F$73=".", 1, (F120/F119)^(('Summary, PPI''s'!$F120+'Summary, PPI''s'!$F119)/('Predicted PPIs'!V120+'Predicted PPIs'!V119)))*IF(G$73=".", 1, (G120/G119)^(('Summary, PPI''s'!$G120+'Summary, PPI''s'!$G119)/('Predicted PPIs'!V120+'Predicted PPIs'!V119)))*IF(H$73=".", 1, (H120/H119)^(('Summary, PPI''s'!$H120+'Summary, PPI''s'!$H119)/('Predicted PPIs'!V120+'Predicted PPIs'!V119)))*IF(I$73=".", 1, (I120/I119)^(('Summary, PPI''s'!$I120+'Summary, PPI''s'!$I119)/('Predicted PPIs'!V120+'Predicted PPIs'!V119)))*IF(J$73=".", 1, (J120/J119)^(('Summary, PPI''s'!$J120+'Summary, PPI''s'!$J119)/('Predicted PPIs'!V120+'Predicted PPIs'!V119)))*IF(K$73=".", 1, (K120/K119)^(('Summary, PPI''s'!$K120+'Summary, PPI''s'!$K119)/('Predicted PPIs'!V120+'Predicted PPIs'!V119)))*IF(L$73=".", 1, (L120/L119)^(('Summary, PPI''s'!$L120+'Summary, PPI''s'!$L119)/('Predicted PPIs'!V120+'Predicted PPIs'!V119)))*IF(M$73=".", 1, (M120/M119)^(('Summary, PPI''s'!$M120+'Summary, PPI''s'!$M119)/('Predicted PPIs'!V120+'Predicted PPIs'!V119)))*IF(B$73=".", 1, (B120/B119)^(('Summary, PPI''s'!$B120+'Summary, PPI''s'!$B119)/('Predicted PPIs'!V120+'Predicted PPIs'!V119)))*IF(C$73=".", 1, (C120/C119)^(('Summary, PPI''s'!$C120+'Summary, PPI''s'!$C119)/('Predicted PPIs'!V120+'Predicted PPIs'!V119)))*IF(D$73=".", 1, (D120/D119)^(('Summary, PPI''s'!$D120+'Summary, PPI''s'!$D119)/('Predicted PPIs'!V120+'Predicted PPIs'!V119)))*IF(N$73=".", 1, (N120/N119)^(('Summary, PPI''s'!$N120+'Summary, PPI''s'!$N119)/('Predicted PPIs'!V120+'Predicted PPIs'!V119)))*IF(O$73=".", 1, (O120/O119)^(('Summary, PPI''s'!$O120+'Summary, PPI''s'!$O119)/('Predicted PPIs'!V120+'Predicted PPIs'!V119)))*IF(P$73=".", 1, (P120/P119)^(('Summary, PPI''s'!$P120+'Summary, PPI''s'!$P119)/('Predicted PPIs'!V120+'Predicted PPIs'!V119)))</f>
        <v>#VALUE!</v>
      </c>
      <c r="AE120" s="4" t="e">
        <f>AE119*IF(E$94=".", 1, (E120/E119)^(('Summary, PPI''s'!$E120+'Summary, PPI''s'!$E119)/('Predicted PPIs'!W120+'Predicted PPIs'!W119)))*IF(F$94=".", 1, (F120/F119)^(('Summary, PPI''s'!$F120+'Summary, PPI''s'!$F119)/('Predicted PPIs'!W120+'Predicted PPIs'!W119)))*IF(G$94=".", 1, (G120/G119)^(('Summary, PPI''s'!$G120+'Summary, PPI''s'!$G119)/('Predicted PPIs'!W120+'Predicted PPIs'!W119)))*IF(H$94=".", 1, (H120/H119)^(('Summary, PPI''s'!$H120+'Summary, PPI''s'!$H119)/('Predicted PPIs'!W120+'Predicted PPIs'!W119)))*IF(I$94=".", 1, (I120/I119)^(('Summary, PPI''s'!$I120+'Summary, PPI''s'!$I119)/('Predicted PPIs'!W120+'Predicted PPIs'!W119)))*IF(J$94=".", 1, (J120/J119)^(('Summary, PPI''s'!$J120+'Summary, PPI''s'!$J119)/('Predicted PPIs'!W120+'Predicted PPIs'!W119)))*IF(K$94=".", 1, (K120/K119)^(('Summary, PPI''s'!$K120+'Summary, PPI''s'!$K119)/('Predicted PPIs'!W120+'Predicted PPIs'!W119)))*IF(L$94=".", 1, (L120/L119)^(('Summary, PPI''s'!$L120+'Summary, PPI''s'!$L119)/('Predicted PPIs'!W120+'Predicted PPIs'!W119)))*IF(M$94=".", 1, (M120/M119)^(('Summary, PPI''s'!$M120+'Summary, PPI''s'!$M119)/('Predicted PPIs'!W120+'Predicted PPIs'!W119)))*IF(B$94=".", 1, (B120/B119)^(('Summary, PPI''s'!$B120+'Summary, PPI''s'!$B119)/('Predicted PPIs'!W120+'Predicted PPIs'!W119)))*IF(C$94=".", 1, (C120/C119)^(('Summary, PPI''s'!$C120+'Summary, PPI''s'!$C119)/('Predicted PPIs'!W120+'Predicted PPIs'!W119)))*IF(D$94=".", 1, (D120/D119)^(('Summary, PPI''s'!$D120+'Summary, PPI''s'!$D119)/('Predicted PPIs'!W120+'Predicted PPIs'!W119)))*IF(N$94=".", 1, (N120/N119)^(('Summary, PPI''s'!$N120+'Summary, PPI''s'!$N119)/('Predicted PPIs'!W120+'Predicted PPIs'!W119)))*IF(O$94=".", 1, (O120/O119)^(('Summary, PPI''s'!$O120+'Summary, PPI''s'!$O119)/('Predicted PPIs'!W120+'Predicted PPIs'!W119)))*IF(P$94=".", 1, (P120/P119)^(('Summary, PPI''s'!$P120+'Summary, PPI''s'!$P119)/('Predicted PPIs'!W120+'Predicted PPIs'!W119)))</f>
        <v>#VALUE!</v>
      </c>
      <c r="AF120" s="4">
        <f>AF119*IF(E$123=".", 1, (E120/E119)^(('Summary, PPI''s'!$E120+'Summary, PPI''s'!$E119)/('Predicted PPIs'!X120+'Predicted PPIs'!X119)))*IF(F$123=".", 1, (F120/F119)^(('Summary, PPI''s'!$F120+'Summary, PPI''s'!$F119)/('Predicted PPIs'!X120+'Predicted PPIs'!X119)))*IF(G$123=".", 1, (G120/G119)^(('Summary, PPI''s'!$G120+'Summary, PPI''s'!$G119)/('Predicted PPIs'!X120+'Predicted PPIs'!X119)))*IF(H$123=".", 1, (H120/H119)^(('Summary, PPI''s'!$H120+'Summary, PPI''s'!$H119)/('Predicted PPIs'!X120+'Predicted PPIs'!X119)))*IF(I$123=".", 1, (I120/I119)^(('Summary, PPI''s'!$I120+'Summary, PPI''s'!$I119)/('Predicted PPIs'!X120+'Predicted PPIs'!X119)))*IF(J$123=".", 1, (J120/J119)^(('Summary, PPI''s'!$J120+'Summary, PPI''s'!$J119)/('Predicted PPIs'!X120+'Predicted PPIs'!X119)))*IF(K$123=".", 1, (K120/K119)^(('Summary, PPI''s'!$K120+'Summary, PPI''s'!$K119)/('Predicted PPIs'!X120+'Predicted PPIs'!X119)))*IF(L$123=".", 1, (L120/L119)^(('Summary, PPI''s'!$L120+'Summary, PPI''s'!$L119)/('Predicted PPIs'!X120+'Predicted PPIs'!X119)))*IF(M$123=".", 1, (M120/M119)^(('Summary, PPI''s'!$M120+'Summary, PPI''s'!$M119)/('Predicted PPIs'!X120+'Predicted PPIs'!X119)))*IF(B$123=".", 1, (B120/B119)^(('Summary, PPI''s'!$B120+'Summary, PPI''s'!$B119)/('Predicted PPIs'!X120+'Predicted PPIs'!X119)))*IF(C$123=".", 1, (C120/C119)^(('Summary, PPI''s'!$C120+'Summary, PPI''s'!$C119)/('Predicted PPIs'!X120+'Predicted PPIs'!X119)))*IF(D$123=".", 1, (D120/D119)^(('Summary, PPI''s'!$D120+'Summary, PPI''s'!$D119)/('Predicted PPIs'!X120+'Predicted PPIs'!X119)))*IF(N$123=".", 1, (N120/N119)^(('Summary, PPI''s'!$N120+'Summary, PPI''s'!$N119)/('Predicted PPIs'!X120+'Predicted PPIs'!X119)))*IF(O$123=".", 1, (O120/O119)^(('Summary, PPI''s'!$O120+'Summary, PPI''s'!$O119)/('Predicted PPIs'!X120+'Predicted PPIs'!X119)))*IF(P$123=".", 1, (P120/P119)^(('Summary, PPI''s'!$P120+'Summary, PPI''s'!$P119)/('Predicted PPIs'!X120+'Predicted PPIs'!X119)))</f>
        <v>2.2249469982582033</v>
      </c>
      <c r="AH120" s="13">
        <f t="shared" si="212"/>
        <v>3.1773509583933235</v>
      </c>
      <c r="AJ120" s="4">
        <f t="shared" si="207"/>
        <v>16.267238279977271</v>
      </c>
      <c r="AK120" s="4">
        <f t="shared" si="191"/>
        <v>-0.36002298673903166</v>
      </c>
      <c r="AL120" s="4">
        <f t="shared" si="192"/>
        <v>-1.2332836463424628</v>
      </c>
      <c r="AM120" s="4">
        <f t="shared" si="193"/>
        <v>-0.1918861569718249</v>
      </c>
      <c r="AN120" s="4">
        <f t="shared" si="176"/>
        <v>21.69300027576957</v>
      </c>
      <c r="AO120" s="4">
        <v>3.6</v>
      </c>
      <c r="AP120" s="4">
        <f t="shared" si="177"/>
        <v>-0.33304812834224606</v>
      </c>
      <c r="AQ120" s="4">
        <f t="shared" si="178"/>
        <v>-0.62961497326203197</v>
      </c>
      <c r="AR120" s="4">
        <f t="shared" si="210"/>
        <v>-1.2338068144517016E-5</v>
      </c>
      <c r="AS120" s="4">
        <f t="shared" si="208"/>
        <v>-2.5362108321228462E-2</v>
      </c>
      <c r="AT120" s="4">
        <f t="shared" si="194"/>
        <v>3.7722898550724633</v>
      </c>
      <c r="AU120" s="4">
        <f t="shared" si="195"/>
        <v>6.2115362318840557</v>
      </c>
      <c r="AV120" s="4">
        <f t="shared" si="196"/>
        <v>4.8310144927536225</v>
      </c>
      <c r="AW120" s="4">
        <f t="shared" si="197"/>
        <v>2.7013913043478275</v>
      </c>
      <c r="AX120" s="4">
        <f t="shared" si="198"/>
        <v>3.593217818244256</v>
      </c>
      <c r="AY120" s="4">
        <f t="shared" si="199"/>
        <v>4.225159420289855</v>
      </c>
      <c r="AZ120" s="4">
        <f t="shared" si="200"/>
        <v>1.4442318840579713</v>
      </c>
      <c r="BA120" s="4">
        <f t="shared" si="201"/>
        <v>3.9122898550724625</v>
      </c>
      <c r="BB120" s="4">
        <f t="shared" si="202"/>
        <v>22.377333587435324</v>
      </c>
      <c r="BC120" s="4">
        <f t="shared" si="203"/>
        <v>3.6671884057971034</v>
      </c>
      <c r="BD120" s="5">
        <f>'[2]Ordinary Experience'!$AD$306</f>
        <v>84</v>
      </c>
      <c r="BE120" s="5">
        <f>'[2]Ordinary Experience'!$AC$306</f>
        <v>0.70234519563076325</v>
      </c>
      <c r="BG120" s="4">
        <f t="shared" si="172"/>
        <v>4.4331261092555909</v>
      </c>
      <c r="BI120" s="4">
        <f>BI$13*'[2]Ordinary Experience'!$D$306/'[2]Ordinary Experience'!$D$413</f>
        <v>80770073.191052213</v>
      </c>
      <c r="BJ120" s="4">
        <f>'[2]Ordinary Experience'!$E$306</f>
        <v>33.761744293917936</v>
      </c>
      <c r="BL120" s="4">
        <f t="shared" si="211"/>
        <v>20.906746358920504</v>
      </c>
      <c r="BM120" s="4">
        <f t="shared" si="153"/>
        <v>9.8085633410374129E-3</v>
      </c>
      <c r="BO120" s="4" t="str">
        <f>IF(OR('Summary, hourly ad costs'!R120=-9999,'Summary, PPI''s'!R120="."),".",(('Summary, hourly ad costs'!B120/'Summary, hourly ad costs'!R120)*100/('Summary, hourly ad costs'!B$11/'Summary, hourly ad costs'!R$11))/('Summary, PPI''s'!R120))</f>
        <v>.</v>
      </c>
      <c r="BP120" s="4" t="str">
        <f>IF(OR('Summary, hourly ad costs'!S120=-9999,'Summary, PPI''s'!S120="."),".",(('Summary, hourly ad costs'!C120/'Summary, hourly ad costs'!S120)*100/('Summary, hourly ad costs'!C$11/'Summary, hourly ad costs'!S$11))/('Summary, PPI''s'!S120))</f>
        <v>.</v>
      </c>
      <c r="BQ120" s="4" t="str">
        <f>IF(OR('Summary, hourly ad costs'!T120=-9999,'Summary, PPI''s'!T120="."),".",(('Summary, hourly ad costs'!D120/'Summary, hourly ad costs'!T120)*100/('Summary, hourly ad costs'!D$11/'Summary, hourly ad costs'!T$11))/('Summary, PPI''s'!T120))</f>
        <v>.</v>
      </c>
      <c r="BR120" s="4" t="str">
        <f>IF(OR('Summary, hourly ad costs'!U120=-9999,'Summary, PPI''s'!U120="."),".",(('Summary, hourly ad costs'!E120/'Summary, hourly ad costs'!U120)*100/('Summary, hourly ad costs'!E$11/'Summary, hourly ad costs'!U$11))/('Summary, PPI''s'!U120))</f>
        <v>.</v>
      </c>
      <c r="BS120" s="4" t="str">
        <f>IF(OR('Summary, hourly ad costs'!V120=-9999,'Summary, PPI''s'!V120="."),".",(('Summary, hourly ad costs'!F120/'Summary, hourly ad costs'!V120)*100/('Summary, hourly ad costs'!F$11/'Summary, hourly ad costs'!V$11))/('Summary, PPI''s'!V120))</f>
        <v>.</v>
      </c>
      <c r="BT120" s="4" t="str">
        <f>IF(OR('Summary, hourly ad costs'!W120=-9999,'Summary, PPI''s'!W120="."),".",(('Summary, hourly ad costs'!G120/'Summary, hourly ad costs'!W120)*100/('Summary, hourly ad costs'!G$11/'Summary, hourly ad costs'!W$11))/('Summary, PPI''s'!W120))</f>
        <v>.</v>
      </c>
      <c r="BU120" s="4" t="str">
        <f>IF(OR('Summary, hourly ad costs'!X120=-9999,'Summary, PPI''s'!X120="."),".",(('Summary, hourly ad costs'!H120/'Summary, hourly ad costs'!X120)*100/('Summary, hourly ad costs'!H$11/'Summary, hourly ad costs'!X$11))/('Summary, PPI''s'!X120))</f>
        <v>.</v>
      </c>
      <c r="BV120" s="4" t="str">
        <f>IF(OR('Summary, hourly ad costs'!Y120=-9999,'Summary, PPI''s'!Y120="."),".",(('Summary, hourly ad costs'!I120/'Summary, hourly ad costs'!Y120)*100/('Summary, hourly ad costs'!I$11/'Summary, hourly ad costs'!Y$11))/('Summary, PPI''s'!Y120))</f>
        <v>.</v>
      </c>
      <c r="BW120" s="4" t="str">
        <f>IF(OR('Summary, hourly ad costs'!Z120=-9999,'Summary, PPI''s'!Z120="."),".",(('Summary, hourly ad costs'!J120/'Summary, hourly ad costs'!Z120)*100/('Summary, hourly ad costs'!J$11/'Summary, hourly ad costs'!Z$11))/('Summary, PPI''s'!Z120))</f>
        <v>.</v>
      </c>
      <c r="BX120" s="4" t="str">
        <f>IF(OR('Summary, hourly ad costs'!AA120=-9999,'Summary, PPI''s'!AA120="."),".",(('Summary, hourly ad costs'!K120/'Summary, hourly ad costs'!AA120)*100/('Summary, hourly ad costs'!K$11/'Summary, hourly ad costs'!AA$11))/('Summary, PPI''s'!AA120))</f>
        <v>.</v>
      </c>
      <c r="BY120" s="4" t="str">
        <f>IF(OR('Summary, hourly ad costs'!AB120=-9999,'Summary, PPI''s'!AB120="."),".",(('Summary, hourly ad costs'!L120/'Summary, hourly ad costs'!AB120)*100/('Summary, hourly ad costs'!L$11/'Summary, hourly ad costs'!AB$11))/('Summary, PPI''s'!AB120))</f>
        <v>.</v>
      </c>
      <c r="BZ120" s="4" t="str">
        <f>IF(OR('Summary, hourly ad costs'!AC120=-9999,'Summary, PPI''s'!AC120="."),".",(('Summary, hourly ad costs'!M120/'Summary, hourly ad costs'!AC120)*100/('Summary, hourly ad costs'!M$11/'Summary, hourly ad costs'!AC$11))/('Summary, PPI''s'!AC120))</f>
        <v>.</v>
      </c>
      <c r="CA120" s="4" t="str">
        <f>IF(OR('Summary, hourly ad costs'!AD120=-9999,'Summary, PPI''s'!AD120="."),".",(('Summary, hourly ad costs'!N120/'Summary, hourly ad costs'!AD120)*100/('Summary, hourly ad costs'!N$11/'Summary, hourly ad costs'!AD$11))/('Summary, PPI''s'!AD120))</f>
        <v>.</v>
      </c>
      <c r="CB120" s="4" t="str">
        <f>IF(OR('Summary, hourly ad costs'!AE120=-9999,'Summary, PPI''s'!AE120="."),".",(('Summary, hourly ad costs'!O120/'Summary, hourly ad costs'!AE120)*100/('Summary, hourly ad costs'!O$11/'Summary, hourly ad costs'!AE$11))/('Summary, PPI''s'!AE120))</f>
        <v>.</v>
      </c>
      <c r="CC120" s="4" t="str">
        <f>IF(OR('Summary, hourly ad costs'!AF120=-9999,'Summary, PPI''s'!AF120="."),".",(('Summary, hourly ad costs'!P120/'Summary, hourly ad costs'!AF120)*100/('Summary, hourly ad costs'!P$11/'Summary, hourly ad costs'!AF$11))/('Summary, PPI''s'!AF120))</f>
        <v>.</v>
      </c>
      <c r="CE120" s="4">
        <f t="shared" si="183"/>
        <v>-2.2632413049288452E-2</v>
      </c>
      <c r="CF120" s="4" t="str">
        <f t="shared" si="184"/>
        <v>.</v>
      </c>
      <c r="CG120" s="4" t="str">
        <f t="shared" si="185"/>
        <v>.</v>
      </c>
      <c r="CH120" s="4">
        <f t="shared" si="145"/>
        <v>-8.5449957720757745E-3</v>
      </c>
      <c r="CI120" s="4">
        <f t="shared" si="145"/>
        <v>-8.0006789378088399E-3</v>
      </c>
      <c r="CJ120" s="4" t="str">
        <f t="shared" si="209"/>
        <v>.</v>
      </c>
      <c r="CK120" s="4">
        <f t="shared" si="149"/>
        <v>3.982710091079378E-3</v>
      </c>
      <c r="CL120" s="4">
        <f t="shared" si="234"/>
        <v>-5.8723975545797481E-3</v>
      </c>
      <c r="CM120" s="4">
        <f t="shared" si="234"/>
        <v>1.4000573503137815E-2</v>
      </c>
      <c r="CN120" s="4">
        <f t="shared" si="204"/>
        <v>-2.0318304824396293E-2</v>
      </c>
      <c r="CO120" s="4">
        <f t="shared" si="180"/>
        <v>5.8592043807934743E-2</v>
      </c>
      <c r="CP120" s="4">
        <f t="shared" si="180"/>
        <v>0.16491759917994725</v>
      </c>
      <c r="CQ120" s="4" t="str">
        <f t="shared" si="230"/>
        <v>.</v>
      </c>
      <c r="CR120" s="4" t="str">
        <f t="shared" si="231"/>
        <v>.</v>
      </c>
      <c r="CS120" s="4" t="str">
        <f t="shared" si="232"/>
        <v>.</v>
      </c>
      <c r="CU120" s="5">
        <f>IF(CU119=".", ".", IF('Summary, PPI''s'!R120=".",IF(OR('Summary, hourly ad costs'!R120=-9999,'Summary, hourly ad costs'!R120=0), ".", 'Predicted PPIs'!CU119*('Summary, hourly ad costs'!B120/'Summary, hourly ad costs'!R120)/('Summary, hourly ad costs'!B119/'Summary, hourly ad costs'!R119)/(1-CE119)), 'Summary, PPI''s'!R120))</f>
        <v>21.639300271142154</v>
      </c>
      <c r="CV120" s="5" t="str">
        <f>IF(CV119=".", ".", IF('Summary, PPI''s'!S120=".",IF(OR('Summary, hourly ad costs'!S120=-9999,'Summary, hourly ad costs'!S120=0), ".", 'Predicted PPIs'!CV119*('Summary, hourly ad costs'!C120/'Summary, hourly ad costs'!S120)/('Summary, hourly ad costs'!C119/'Summary, hourly ad costs'!S119)/(1-CF119)), 'Summary, PPI''s'!S120))</f>
        <v>.</v>
      </c>
      <c r="CW120" s="5" t="str">
        <f>IF(CW119=".", ".", IF('Summary, PPI''s'!T120=".",IF(OR('Summary, hourly ad costs'!T120=-9999,'Summary, hourly ad costs'!T120=0), ".", 'Predicted PPIs'!CW119*('Summary, hourly ad costs'!D120/'Summary, hourly ad costs'!T120)/('Summary, hourly ad costs'!D119/'Summary, hourly ad costs'!T119)/(1-CG119)), 'Summary, PPI''s'!T120))</f>
        <v>.</v>
      </c>
      <c r="CX120" s="5">
        <f>IF(CX119=".", ".", IF('Summary, PPI''s'!U120=".",IF(OR('Summary, hourly ad costs'!U120=-9999,'Summary, hourly ad costs'!U120=0), ".", 'Predicted PPIs'!CX119*('Summary, hourly ad costs'!E120/'Summary, hourly ad costs'!U120)/('Summary, hourly ad costs'!E119/'Summary, hourly ad costs'!U119)/(1-CH119)), 'Summary, PPI''s'!U120))</f>
        <v>0.82909112411080355</v>
      </c>
      <c r="CY120" s="5">
        <f>IF(CY119=".", ".", IF('Summary, PPI''s'!V120=".",IF(OR('Summary, hourly ad costs'!V120=-9999,'Summary, hourly ad costs'!V120=0), ".", 'Predicted PPIs'!CY119*('Summary, hourly ad costs'!F120/'Summary, hourly ad costs'!V120)/('Summary, hourly ad costs'!F119/'Summary, hourly ad costs'!V119)/(1-CI119)), 'Summary, PPI''s'!V120))</f>
        <v>0.75918678974391651</v>
      </c>
      <c r="CZ120" s="5" t="str">
        <f>IF(CZ119=".", ".", IF('Summary, PPI''s'!W120=".",IF(OR('Summary, hourly ad costs'!W120=-9999,'Summary, hourly ad costs'!W120=0), ".", 'Predicted PPIs'!CZ119*('Summary, hourly ad costs'!G120/'Summary, hourly ad costs'!W120)/('Summary, hourly ad costs'!G119/'Summary, hourly ad costs'!W119)/(1-CJ119)), 'Summary, PPI''s'!W120))</f>
        <v>.</v>
      </c>
      <c r="DA120" s="5">
        <f>IF(DA119=".", ".", IF('Summary, PPI''s'!X120=".",IF(OR('Summary, hourly ad costs'!X120=-9999,'Summary, hourly ad costs'!X120=0), ".", 'Predicted PPIs'!DA119*('Summary, hourly ad costs'!H120/'Summary, hourly ad costs'!X120)/('Summary, hourly ad costs'!H119/'Summary, hourly ad costs'!X119)/(1-CK119)), 'Summary, PPI''s'!X120))</f>
        <v>0.98486255162982272</v>
      </c>
      <c r="DB120" s="5" t="str">
        <f>IF(DB119=".", ".", IF('Summary, PPI''s'!Y120=".",IF(OR('Summary, hourly ad costs'!Y120=-9999,'Summary, hourly ad costs'!Y120=0), ".", 'Predicted PPIs'!DB119*('Summary, hourly ad costs'!I120/'Summary, hourly ad costs'!Y120)/('Summary, hourly ad costs'!I119/'Summary, hourly ad costs'!Y119)/(1-CL119)), 'Summary, PPI''s'!Y120))</f>
        <v>.</v>
      </c>
      <c r="DC120" s="5" t="str">
        <f>IF(DC119=".", ".", IF('Summary, PPI''s'!Z120=".",IF(OR('Summary, hourly ad costs'!Z120=-9999,'Summary, hourly ad costs'!Z120=0), ".", 'Predicted PPIs'!DC119*('Summary, hourly ad costs'!J120/'Summary, hourly ad costs'!Z120)/('Summary, hourly ad costs'!J119/'Summary, hourly ad costs'!Z119)/(1-CM119)), 'Summary, PPI''s'!Z120))</f>
        <v>.</v>
      </c>
      <c r="DD120" s="5" t="str">
        <f>IF(DD119=".", ".", IF('Summary, PPI''s'!AA120=".",IF(OR('Summary, hourly ad costs'!AA120=-9999,'Summary, hourly ad costs'!AA120=0), ".", 'Predicted PPIs'!DD119*('Summary, hourly ad costs'!K120/'Summary, hourly ad costs'!AA120)/('Summary, hourly ad costs'!K119/'Summary, hourly ad costs'!AA119)/(1-CN119)), 'Summary, PPI''s'!AA120))</f>
        <v>.</v>
      </c>
      <c r="DE120" s="5" t="str">
        <f>IF(DE119=".", ".", IF('Summary, PPI''s'!AB120=".",IF(OR('Summary, hourly ad costs'!AB120=-9999,'Summary, hourly ad costs'!AB120=0), ".", 'Predicted PPIs'!DE119*('Summary, hourly ad costs'!L120/'Summary, hourly ad costs'!AB120)/('Summary, hourly ad costs'!L119/'Summary, hourly ad costs'!AB119)/(1-CO119)), 'Summary, PPI''s'!AB120))</f>
        <v>.</v>
      </c>
      <c r="DF120" s="5" t="str">
        <f>IF(DF119=".", ".", IF('Summary, PPI''s'!AC120=".",IF(OR('Summary, hourly ad costs'!AC120=-9999,'Summary, hourly ad costs'!AC120=0), ".", 'Predicted PPIs'!DF119*('Summary, hourly ad costs'!M120/'Summary, hourly ad costs'!AC120)/('Summary, hourly ad costs'!M119/'Summary, hourly ad costs'!AC119)/(1-CP119)), 'Summary, PPI''s'!AC120))</f>
        <v>.</v>
      </c>
      <c r="DG120" s="5" t="str">
        <f>IF(DG119=".", ".", IF('Summary, PPI''s'!AD120=".",IF(OR('Summary, hourly ad costs'!AD120=-9999,'Summary, hourly ad costs'!AD120=0), ".", 'Predicted PPIs'!DG119*('Summary, hourly ad costs'!N120/'Summary, hourly ad costs'!AD120)/('Summary, hourly ad costs'!N119/'Summary, hourly ad costs'!AD119)/(1-CQ119)), 'Summary, PPI''s'!AD120))</f>
        <v>.</v>
      </c>
      <c r="DH120" s="5" t="str">
        <f>IF(DH119=".", ".", IF('Summary, PPI''s'!AE120=".",IF(OR('Summary, hourly ad costs'!AE120=-9999,'Summary, hourly ad costs'!AE120=0), ".", 'Predicted PPIs'!DH119*('Summary, hourly ad costs'!O120/'Summary, hourly ad costs'!AE120)/('Summary, hourly ad costs'!O119/'Summary, hourly ad costs'!AE119)/(1-CR119)), 'Summary, PPI''s'!AE120))</f>
        <v>.</v>
      </c>
      <c r="DI120" s="5" t="str">
        <f>IF(DI119=".", ".", IF('Summary, PPI''s'!AF120=".",IF(OR('Summary, hourly ad costs'!AF120=-9999,'Summary, hourly ad costs'!AF120=0), ".", 'Predicted PPIs'!DI119*('Summary, hourly ad costs'!P120/'Summary, hourly ad costs'!AF120)/('Summary, hourly ad costs'!P119/'Summary, hourly ad costs'!AF119)/(1-CS119)), 'Summary, PPI''s'!AF120))</f>
        <v>.</v>
      </c>
      <c r="DK120" s="4">
        <f t="shared" si="205"/>
        <v>0.89809894736842055</v>
      </c>
      <c r="DM120" s="5">
        <f t="shared" si="186"/>
        <v>5.9369460235985771E-2</v>
      </c>
      <c r="DN120" s="4">
        <f t="shared" si="187"/>
        <v>-2.1545696775703907E-2</v>
      </c>
      <c r="DO120" s="4">
        <f t="shared" si="233"/>
        <v>-2.2776707874243678E-2</v>
      </c>
      <c r="DP120" s="5">
        <f t="shared" si="188"/>
        <v>6.7334046644452306E-2</v>
      </c>
      <c r="DQ120" s="5">
        <f t="shared" si="189"/>
        <v>8.8440564605332561E-2</v>
      </c>
      <c r="DR120" s="4">
        <f t="shared" si="146"/>
        <v>-9.9307883870641302E-3</v>
      </c>
      <c r="DS120" s="5">
        <f t="shared" si="190"/>
        <v>-1.2070930829896187E-2</v>
      </c>
      <c r="DT120" s="4">
        <f t="shared" si="206"/>
        <v>3.5545093757408603E-3</v>
      </c>
      <c r="DU120" s="4">
        <f t="shared" si="171"/>
        <v>-2.7256482830491119E-2</v>
      </c>
      <c r="DV120" s="4">
        <f t="shared" si="235"/>
        <v>4.8606555863168495E-4</v>
      </c>
      <c r="DW120" s="4">
        <f t="shared" si="182"/>
        <v>-4.6472078553077653E-2</v>
      </c>
      <c r="DX120" s="4">
        <f t="shared" si="182"/>
        <v>-8.9662068755178528E-2</v>
      </c>
      <c r="DY120" s="4">
        <f t="shared" si="228"/>
        <v>-1.8915120423620445E-2</v>
      </c>
      <c r="DZ120" s="4">
        <f t="shared" si="236"/>
        <v>-1.2425410274506764E-2</v>
      </c>
      <c r="EA120" s="4">
        <f t="shared" si="229"/>
        <v>-1.1204577796985162E-2</v>
      </c>
      <c r="EC120" s="1">
        <f t="shared" si="213"/>
        <v>21.639300271142154</v>
      </c>
      <c r="ED120" s="1">
        <f t="shared" si="214"/>
        <v>0.76745286199687823</v>
      </c>
      <c r="EE120" s="1">
        <f t="shared" si="215"/>
        <v>0.41345394583829848</v>
      </c>
      <c r="EF120" s="1">
        <f t="shared" si="216"/>
        <v>0.82909112411080355</v>
      </c>
      <c r="EG120" s="1">
        <f t="shared" si="217"/>
        <v>0.75918678974391651</v>
      </c>
      <c r="EH120" s="1">
        <f t="shared" si="218"/>
        <v>0.67810325373100411</v>
      </c>
      <c r="EI120" s="1">
        <f t="shared" si="219"/>
        <v>0.98486255162982272</v>
      </c>
      <c r="EJ120" s="1">
        <f t="shared" si="220"/>
        <v>1.3440156202024254</v>
      </c>
      <c r="EK120" s="1">
        <f t="shared" si="221"/>
        <v>1.3023804103046501</v>
      </c>
      <c r="EL120" s="1">
        <f t="shared" si="222"/>
        <v>0.74831336387662284</v>
      </c>
      <c r="EM120" s="1">
        <f t="shared" si="223"/>
        <v>3.1682766901773261E-2</v>
      </c>
      <c r="EN120" s="1">
        <f t="shared" si="224"/>
        <v>0.23655855718252147</v>
      </c>
      <c r="EO120" s="1">
        <f t="shared" si="225"/>
        <v>0.3188528900147134</v>
      </c>
      <c r="EP120" s="1">
        <f t="shared" si="226"/>
        <v>0.61954128712245804</v>
      </c>
      <c r="EQ120" s="1">
        <f t="shared" si="227"/>
        <v>0.50339709662376442</v>
      </c>
      <c r="ES120" s="1">
        <f>IF(EF$26=".", 0, 'Summary, PPI''s'!E120)+IF(EG$26=".", 0, 'Summary, PPI''s'!F120)+IF(EH$26=".", 0, 'Summary, PPI''s'!G120)+IF(EI$26=".", 0, 'Summary, PPI''s'!H120)+IF(EJ$26=".", 0, 'Summary, PPI''s'!I120)+IF(EK$26=".", 0, 'Summary, PPI''s'!J120)+IF(EL$26=".", 0, 'Summary, PPI''s'!K120)+IF(EM$26=".", 0, 'Summary, PPI''s'!L120)+IF(EN$26=".", 0, 'Summary, PPI''s'!M120)+IF(EC$26=".", 0, 'Summary, PPI''s'!B120)+IF(ED$26=".", 0, 'Summary, PPI''s'!C120)+IF(EE$26=".", 0, 'Summary, PPI''s'!D120)+IF(EO$26=".", 0, 'Summary, PPI''s'!N120)+IF(EP$26=".", 0, 'Summary, PPI''s'!O120)+IF(EQ$26=".", 0, 'Summary, PPI''s'!P120)</f>
        <v>459683.8423524613</v>
      </c>
      <c r="ET120" s="1">
        <f>'Summary, hourly ad costs'!E120+'Summary, hourly ad costs'!F120+'Summary, hourly ad costs'!H120+'Summary, hourly ad costs'!I120+'Summary, hourly ad costs'!J120+'Summary, hourly ad costs'!K120+'Summary, hourly ad costs'!L120+'Summary, hourly ad costs'!M120+'Summary, hourly ad costs'!B120</f>
        <v>279678.35404180823</v>
      </c>
      <c r="EV120" s="13">
        <f>EV119*IF(EF$26=".", 1, (EF120/EF119)^(('Summary, PPI''s'!$E120+'Summary, PPI''s'!$E119)/('Predicted PPIs'!ES120+'Predicted PPIs'!ES119)))*IF(EG$26=".", 1, (EG120/EG119)^(('Summary, PPI''s'!$F120+'Summary, PPI''s'!$F119)/('Predicted PPIs'!ES120+'Predicted PPIs'!ES119)))*IF(EH$26=".", 1, (EH120/EH119)^(('Summary, PPI''s'!$G120+'Summary, PPI''s'!$G119)/('Predicted PPIs'!ES120+'Predicted PPIs'!ES119)))*IF(EI$26=".", 1, (EI120/EI119)^(('Summary, PPI''s'!$H120+'Summary, PPI''s'!$H119)/('Predicted PPIs'!ES120+'Predicted PPIs'!ES119)))*IF(EJ$26=".", 1, (EJ120/EJ119)^(('Summary, PPI''s'!$I120+'Summary, PPI''s'!$I119)/('Predicted PPIs'!ES120+'Predicted PPIs'!ES119)))*IF(EK$26=".", 1, (EK120/EK119)^(('Summary, PPI''s'!$J120+'Summary, PPI''s'!$J119)/('Predicted PPIs'!ES120+'Predicted PPIs'!ES119)))*IF(EL$26=".", 1, (EL120/EL119)^(('Summary, PPI''s'!$K120+'Summary, PPI''s'!$K119)/('Predicted PPIs'!ES120+'Predicted PPIs'!ES119)))*IF(EM$26=".", 1, (EM120/EM119)^(('Summary, PPI''s'!$L120+'Summary, PPI''s'!$L119)/('Predicted PPIs'!ES120+'Predicted PPIs'!ES119)))*IF(EN$26=".", 1, (EN120/EN119)^(('Summary, PPI''s'!$M120+'Summary, PPI''s'!$M119)/('Predicted PPIs'!ES120+'Predicted PPIs'!ES119)))*IF(EC$26=".", 1, (EC120/EC119)^(('Summary, PPI''s'!$B120+'Summary, PPI''s'!$B119)/('Predicted PPIs'!ES120+'Predicted PPIs'!ES119)))*IF(ED$26=".", 1, (ED120/ED119)^(('Summary, PPI''s'!$C120+'Summary, PPI''s'!$C119)/('Predicted PPIs'!ES120+'Predicted PPIs'!ES119)))*IF(EE$26=".", 1, (EE120/EE119)^(('Summary, PPI''s'!$D120+'Summary, PPI''s'!$D119)/('Predicted PPIs'!ES120+'Predicted PPIs'!ES119)))*IF(EO$26=".", 1, (EO120/EO119)^(('Summary, PPI''s'!$N120+'Summary, PPI''s'!$N119)/('Predicted PPIs'!ES120+'Predicted PPIs'!ES119)))*IF(EP$26=".", 1, (EP120/EP119)^(('Summary, PPI''s'!$O120+'Summary, PPI''s'!$O119)/('Predicted PPIs'!ES120+'Predicted PPIs'!ES119)))*IF(EQ$26=".", 1, (EQ120/EQ119)^(('Summary, PPI''s'!$P120+'Summary, PPI''s'!$P119)/('Predicted PPIs'!ES120+'Predicted PPIs'!ES119)))</f>
        <v>1.2900306519489553</v>
      </c>
      <c r="EW120" s="13">
        <f>EW119*IF(EF$26=".", 1, (EF120/EF119)^(('Summary, PPI''s'!$E120+'Summary, PPI''s'!$E119)/('Predicted PPIs'!ET120+'Predicted PPIs'!ET119)))*IF(EG$26=".", 1, (EG120/EG119)^(('Summary, PPI''s'!$F120+'Summary, PPI''s'!$F119)/('Predicted PPIs'!ET120+'Predicted PPIs'!ET119)))*IF(EH$26=".", 1, (EH120/EH119)^(('Summary, PPI''s'!$G120+'Summary, PPI''s'!$G119)/('Predicted PPIs'!ET120+'Predicted PPIs'!ET119)))*IF(EK$26=".", 1, (EK120/EK119)^(('Summary, PPI''s'!$J120+'Summary, PPI''s'!$J119)/('Predicted PPIs'!ET120+'Predicted PPIs'!ET119)))*IF(EL$26=".", 1, (EL120/EL119)^(('Summary, PPI''s'!$K120+'Summary, PPI''s'!$K119)/('Predicted PPIs'!ET120+'Predicted PPIs'!ET119)))*IF(EM$26=".", 1, (EM120/EM119)^(('Summary, PPI''s'!$L120+'Summary, PPI''s'!$L119)/('Predicted PPIs'!ET120+'Predicted PPIs'!ET119)))*IF(EN$26=".", 1, (EN120/EN119)^(('Summary, PPI''s'!$M120+'Summary, PPI''s'!$M119)/('Predicted PPIs'!ET120+'Predicted PPIs'!ET119)))*IF(EC$26=".", 1, (EC120/EC119)^(('Summary, PPI''s'!$B120+'Summary, PPI''s'!$B119)/('Predicted PPIs'!ET120+'Predicted PPIs'!ET119)))</f>
        <v>2.9965340751569207</v>
      </c>
      <c r="EY120" s="2"/>
    </row>
    <row r="121" spans="1:155" x14ac:dyDescent="0.3">
      <c r="A121" s="4">
        <v>1902</v>
      </c>
      <c r="B121" s="10">
        <f>IF(B120=".", ".", IF('Summary, PPI''s'!R121=".",IF(OR('Summary, hourly ad costs'!R121=-9999,'Summary, hourly ad costs'!R121=0), ".", 'Predicted PPIs'!B120*('Summary, hourly ad costs'!B121/'Summary, hourly ad costs'!R121)/('Summary, hourly ad costs'!B120/'Summary, hourly ad costs'!R120)), 'Summary, PPI''s'!R121))</f>
        <v>59.327619804478765</v>
      </c>
      <c r="C121" s="10" t="str">
        <f>IF(C120=".", ".", IF('Summary, PPI''s'!S121=".",IF(OR('Summary, hourly ad costs'!S121=-9999,'Summary, hourly ad costs'!S121=0), ".", 'Predicted PPIs'!C120*('Summary, hourly ad costs'!C121/'Summary, hourly ad costs'!S121)/('Summary, hourly ad costs'!C120/'Summary, hourly ad costs'!S120)), 'Summary, PPI''s'!S121))</f>
        <v>.</v>
      </c>
      <c r="D121" s="10" t="str">
        <f>IF(D120=".", ".", IF('Summary, PPI''s'!T121=".",IF(OR('Summary, hourly ad costs'!T121=-9999,'Summary, hourly ad costs'!T121=0), ".", 'Predicted PPIs'!D120*('Summary, hourly ad costs'!D121/'Summary, hourly ad costs'!T121)/('Summary, hourly ad costs'!D120/'Summary, hourly ad costs'!T120)), 'Summary, PPI''s'!T121))</f>
        <v>.</v>
      </c>
      <c r="E121" s="10">
        <f>IF(E120=".", ".", IF('Summary, PPI''s'!U121=".",IF(OR('Summary, hourly ad costs'!U121=-9999,'Summary, hourly ad costs'!U121=0), ".", 'Predicted PPIs'!E120*('Summary, hourly ad costs'!E121/'Summary, hourly ad costs'!U121)/('Summary, hourly ad costs'!E120/'Summary, hourly ad costs'!U120)), 'Summary, PPI''s'!U121))</f>
        <v>0.82768727240383599</v>
      </c>
      <c r="F121" s="10">
        <f>IF(F120=".", ".", IF('Summary, PPI''s'!V121=".",IF(OR('Summary, hourly ad costs'!V121=-9999,'Summary, hourly ad costs'!V121=0), ".", 'Predicted PPIs'!F120*('Summary, hourly ad costs'!F121/'Summary, hourly ad costs'!V121)/('Summary, hourly ad costs'!F120/'Summary, hourly ad costs'!V120)), 'Summary, PPI''s'!V121))</f>
        <v>0.65963241241191106</v>
      </c>
      <c r="G121" s="10" t="str">
        <f>IF(G120=".", ".", IF('Summary, PPI''s'!W121=".",IF(OR('Summary, hourly ad costs'!W121=-9999,'Summary, hourly ad costs'!W121=0), ".", 'Predicted PPIs'!G120*('Summary, hourly ad costs'!G121/'Summary, hourly ad costs'!W121)/('Summary, hourly ad costs'!G120/'Summary, hourly ad costs'!W120)), 'Summary, PPI''s'!W121))</f>
        <v>.</v>
      </c>
      <c r="H121" s="10">
        <f>IF(H120=".", ".", IF('Summary, PPI''s'!X121=".",IF(OR('Summary, hourly ad costs'!X121=-9999,'Summary, hourly ad costs'!X121=0), ".", 'Predicted PPIs'!H120*('Summary, hourly ad costs'!H121/'Summary, hourly ad costs'!X121)/('Summary, hourly ad costs'!H120/'Summary, hourly ad costs'!X120)), 'Summary, PPI''s'!X121))</f>
        <v>0.79442592035178927</v>
      </c>
      <c r="I121" s="10" t="str">
        <f>IF(I120=".", ".", IF('Summary, PPI''s'!Y121=".",IF(OR('Summary, hourly ad costs'!Y121=-9999,'Summary, hourly ad costs'!Y121=0), ".", 'Predicted PPIs'!I120*('Summary, hourly ad costs'!I121/'Summary, hourly ad costs'!Y121)/('Summary, hourly ad costs'!I120/'Summary, hourly ad costs'!Y120)), 'Summary, PPI''s'!Y121))</f>
        <v>.</v>
      </c>
      <c r="J121" s="10" t="str">
        <f>IF(J120=".", ".", IF('Summary, PPI''s'!Z121=".",IF(OR('Summary, hourly ad costs'!Z121=-9999,'Summary, hourly ad costs'!Z121=0), ".", 'Predicted PPIs'!J120*('Summary, hourly ad costs'!J121/'Summary, hourly ad costs'!Z121)/('Summary, hourly ad costs'!J120/'Summary, hourly ad costs'!Z120)), 'Summary, PPI''s'!Z121))</f>
        <v>.</v>
      </c>
      <c r="K121" s="10" t="str">
        <f>IF(K120=".", ".", IF('Summary, PPI''s'!AA121=".",IF(OR('Summary, hourly ad costs'!AA121=-9999,'Summary, hourly ad costs'!AA121=0), ".", 'Predicted PPIs'!K120*('Summary, hourly ad costs'!K121/'Summary, hourly ad costs'!AA121)/('Summary, hourly ad costs'!K120/'Summary, hourly ad costs'!AA120)), 'Summary, PPI''s'!AA121))</f>
        <v>.</v>
      </c>
      <c r="L121" s="10" t="str">
        <f>IF(L120=".", ".", IF('Summary, PPI''s'!AB121=".",IF(OR('Summary, hourly ad costs'!AB121=-9999,'Summary, hourly ad costs'!AB121=0), ".", 'Predicted PPIs'!L120*('Summary, hourly ad costs'!L121/'Summary, hourly ad costs'!AB121)/('Summary, hourly ad costs'!L120/'Summary, hourly ad costs'!AB120)), 'Summary, PPI''s'!AB121))</f>
        <v>.</v>
      </c>
      <c r="M121" s="10" t="str">
        <f>IF(M120=".", ".", IF('Summary, PPI''s'!AC121=".",IF(OR('Summary, hourly ad costs'!AC121=-9999,'Summary, hourly ad costs'!AC121=0), ".", 'Predicted PPIs'!M120*('Summary, hourly ad costs'!M121/'Summary, hourly ad costs'!AC121)/('Summary, hourly ad costs'!M120/'Summary, hourly ad costs'!AC120)), 'Summary, PPI''s'!AC121))</f>
        <v>.</v>
      </c>
      <c r="N121" s="10" t="str">
        <f>IF(N120=".", ".", IF('Summary, PPI''s'!AD121=".",IF(OR('Summary, hourly ad costs'!AD121=-9999,'Summary, hourly ad costs'!AD121=0), ".", 'Predicted PPIs'!N120*('Summary, hourly ad costs'!N121/'Summary, hourly ad costs'!AD121)/('Summary, hourly ad costs'!N120/'Summary, hourly ad costs'!AD120)), 'Summary, PPI''s'!AD121))</f>
        <v>.</v>
      </c>
      <c r="O121" s="10" t="str">
        <f>IF(O120=".", ".", IF('Summary, PPI''s'!AE121=".",IF(OR('Summary, hourly ad costs'!AE121=-9999,'Summary, hourly ad costs'!AE121=0), ".", 'Predicted PPIs'!O120*('Summary, hourly ad costs'!O121/'Summary, hourly ad costs'!AE121)/('Summary, hourly ad costs'!O120/'Summary, hourly ad costs'!AE120)), 'Summary, PPI''s'!AE121))</f>
        <v>.</v>
      </c>
      <c r="P121" s="10" t="str">
        <f>IF(P120=".", ".", IF('Summary, PPI''s'!AF121=".",IF(OR('Summary, hourly ad costs'!AF121=-9999,'Summary, hourly ad costs'!AF121=0), ".", 'Predicted PPIs'!P120*('Summary, hourly ad costs'!P121/'Summary, hourly ad costs'!AF121)/('Summary, hourly ad costs'!P120/'Summary, hourly ad costs'!AF120)), 'Summary, PPI''s'!AF121))</f>
        <v>.</v>
      </c>
      <c r="R121" s="1">
        <f>IF(E$26=".", 0, 'Summary, PPI''s'!E121)+IF(F$26=".", 0, 'Summary, PPI''s'!F121)+IF(G$26=".", 0, 'Summary, PPI''s'!G121)+IF(H$26=".", 0, 'Summary, PPI''s'!H121)+IF(I$26=".", 0, 'Summary, PPI''s'!I121)+IF(J$26=".", 0, 'Summary, PPI''s'!J121)+IF(K$26=".", 0, 'Summary, PPI''s'!K121)+IF(L$26=".", 0, 'Summary, PPI''s'!L121)+IF(M$26=".", 0, 'Summary, PPI''s'!M121)+IF(B$26=".", 0, 'Summary, PPI''s'!B121)+IF(C$26=".", 0, 'Summary, PPI''s'!C121)+IF(D$26=".", 0, 'Summary, PPI''s'!D121)+IF(N$26=".", 0, 'Summary, PPI''s'!N121)+IF(O$26=".", 0, 'Summary, PPI''s'!O121)+IF(P$26=".", 0, 'Summary, PPI''s'!P121)</f>
        <v>407164.26188101876</v>
      </c>
      <c r="S121" s="1">
        <f>IF(E$36=".", 0, 'Summary, PPI''s'!E121)+IF(F$36=".", 0, 'Summary, PPI''s'!F121)+IF(G$36=".", 0, 'Summary, PPI''s'!G121)+IF(H$36=".", 0, 'Summary, PPI''s'!H121)+IF(I$36=".", 0, 'Summary, PPI''s'!I121)+IF(J$36=".", 0, 'Summary, PPI''s'!J121)+IF(K$36=".", 0, 'Summary, PPI''s'!K121)+IF(L$36=".", 0, 'Summary, PPI''s'!L121)+IF(M$36=".", 0, 'Summary, PPI''s'!M121)+IF(B$36=".", 0, 'Summary, PPI''s'!B121)+IF(C$36=".", 0, 'Summary, PPI''s'!C121)+IF(D$36=".", 0, 'Summary, PPI''s'!D121)+IF(N$36=".", 0, 'Summary, PPI''s'!N121)+IF(O$36=".", 0, 'Summary, PPI''s'!O121)+IF(P$36=".", 0, 'Summary, PPI''s'!P121)</f>
        <v>407164.26188101876</v>
      </c>
      <c r="T121" s="1">
        <f>IF(E$46=".", 0, 'Summary, PPI''s'!E121)+IF(F$46=".", 0, 'Summary, PPI''s'!F121)+IF(G$46=".", 0, 'Summary, PPI''s'!G121)+IF(H$46=".", 0, 'Summary, PPI''s'!H121)+IF(I$46=".", 0, 'Summary, PPI''s'!I121)+IF(J$46=".", 0, 'Summary, PPI''s'!J121)+IF(K$46=".", 0, 'Summary, PPI''s'!K121)+IF(L$46=".", 0, 'Summary, PPI''s'!L121)+IF(M$46=".", 0, 'Summary, PPI''s'!M121)+IF(B$46=".", 0, 'Summary, PPI''s'!B121)+IF(C$46=".", 0, 'Summary, PPI''s'!C121)+IF(D$46=".", 0, 'Summary, PPI''s'!D121)+IF(N$46=".", 0, 'Summary, PPI''s'!N121)+IF(O$46=".", 0, 'Summary, PPI''s'!O121)+IF(P$46=".", 0, 'Summary, PPI''s'!P121)</f>
        <v>367844.16878185148</v>
      </c>
      <c r="U121" s="1">
        <f>IF(E$60=".", 0, 'Summary, PPI''s'!E121)+IF(F$60=".", 0, 'Summary, PPI''s'!F121)+IF(G$60=".", 0, 'Summary, PPI''s'!G121)+IF(H$60=".", 0, 'Summary, PPI''s'!H121)+IF(I$60=".", 0, 'Summary, PPI''s'!I121)+IF(J$60=".", 0, 'Summary, PPI''s'!J121)+IF(K$60=".", 0, 'Summary, PPI''s'!K121)+IF(L$60=".", 0, 'Summary, PPI''s'!L121)+IF(M$60=".", 0, 'Summary, PPI''s'!M121)+IF(B$60=".", 0, 'Summary, PPI''s'!B121)+IF(C$60=".", 0, 'Summary, PPI''s'!C121)+IF(D$60=".", 0, 'Summary, PPI''s'!D121)+IF(N$60=".", 0, 'Summary, PPI''s'!N121)+IF(O$60=".", 0, 'Summary, PPI''s'!O121)+IF(P$60=".", 0, 'Summary, PPI''s'!P121)</f>
        <v>353220.2665423</v>
      </c>
      <c r="V121" s="1">
        <f>IF(E$73=".", 0, 'Summary, PPI''s'!E121)+IF(F$73=".", 0, 'Summary, PPI''s'!F121)+IF(G$73=".", 0, 'Summary, PPI''s'!G121)+IF(H$73=".", 0, 'Summary, PPI''s'!H121)+IF(I$73=".", 0, 'Summary, PPI''s'!I121)+IF(J$73=".", 0, 'Summary, PPI''s'!J121)+IF(K$73=".", 0, 'Summary, PPI''s'!K121)+IF(L$73=".", 0, 'Summary, PPI''s'!L121)+IF(M$73=".", 0, 'Summary, PPI''s'!M121)+IF(B$73=".", 0, 'Summary, PPI''s'!B121)+IF(C$73=".", 0, 'Summary, PPI''s'!C121)+IF(D$73=".", 0, 'Summary, PPI''s'!D121)+IF(N$73=".", 0, 'Summary, PPI''s'!N121)+IF(O$73=".", 0, 'Summary, PPI''s'!O121)+IF(P$73=".", 0, 'Summary, PPI''s'!P121)</f>
        <v>247918.34947653377</v>
      </c>
      <c r="W121" s="1">
        <f>IF(E$94=".",0,'Summary, PPI''s'!E121)+IF(F$94=".",0,'Summary, PPI''s'!F121)+IF(G$94=".",0,'Summary, PPI''s'!G121)+IF(H$94=".",0,'Summary, PPI''s'!H121)+IF(I$94=".",0,'Summary, PPI''s'!I121)+IF(J$94=".",0,'Summary, PPI''s'!J121)+IF(K$94=".",0,'Summary, PPI''s'!K121)+IF(L$94=".",0,'Summary, PPI''s'!L121)+IF(M$94=".",0,'Summary, PPI''s'!M121)+IF(B$94=".",0,'Summary, PPI''s'!B121)+IF(C$94=".",0,'Summary, PPI''s'!C121)+IF(D$94=".",0,'Summary, PPI''s'!D121)+IF(N$94=".",0,'Summary, PPI''s'!N121)+IF(O$94=".",0,'Summary, PPI''s'!O121)+IF(P$94=".",0,'Summary, PPI''s'!P121)</f>
        <v>247918.34947653377</v>
      </c>
      <c r="X121" s="1">
        <f>IF(E$123=".", 0, 'Summary, PPI''s'!E121)+IF(F$123=".", 0, 'Summary, PPI''s'!F121)+IF(G$123=".", 0, 'Summary, PPI''s'!G121)+IF(H$123=".", 0, 'Summary, PPI''s'!H121)+IF(I$123=".", 0, 'Summary, PPI''s'!I121)+IF(J$123=".", 0, 'Summary, PPI''s'!J121)+IF(K$123=".", 0, 'Summary, PPI''s'!K121)+IF(L$123=".", 0, 'Summary, PPI''s'!L121)+IF(M$123=".", 0, 'Summary, PPI''s'!M121)+IF(B$123=".", 0, 'Summary, PPI''s'!B121)+IF(C$123=".", 0, 'Summary, PPI''s'!C121)+IF(D$123=".", 0, 'Summary, PPI''s'!D121)+IF(N$123=".", 0, 'Summary, PPI''s'!N121)+IF(O$123=".", 0, 'Summary, PPI''s'!O121)+IF(P$123=".", 0, 'Summary, PPI''s'!P121)</f>
        <v>247918.34947653377</v>
      </c>
      <c r="Z121" s="4" t="e">
        <f>Z120*IF(E$26=".", 1, (E121/E120)^(('Summary, PPI''s'!$E121+'Summary, PPI''s'!$E120)/('Predicted PPIs'!R121+'Predicted PPIs'!R120)))*IF(F$26=".", 1, (F121/F120)^(('Summary, PPI''s'!$F121+'Summary, PPI''s'!$F120)/('Predicted PPIs'!R121+'Predicted PPIs'!R120)))*IF(G$26=".", 1, (G121/G120)^(('Summary, PPI''s'!$G121+'Summary, PPI''s'!$G120)/('Predicted PPIs'!R121+'Predicted PPIs'!R120)))*IF(H$26=".", 1, (H121/H120)^(('Summary, PPI''s'!$H121+'Summary, PPI''s'!$H120)/('Predicted PPIs'!R121+'Predicted PPIs'!R120)))*IF(I$26=".", 1, (I121/I120)^(('Summary, PPI''s'!$I121+'Summary, PPI''s'!$I120)/('Predicted PPIs'!R121+'Predicted PPIs'!R120)))*IF(J$26=".", 1, (J121/J120)^(('Summary, PPI''s'!$J121+'Summary, PPI''s'!$J120)/('Predicted PPIs'!R121+'Predicted PPIs'!R120)))*IF(K$26=".", 1, (K121/K120)^(('Summary, PPI''s'!$K121+'Summary, PPI''s'!$K120)/('Predicted PPIs'!R121+'Predicted PPIs'!R120)))*IF(L$26=".", 1, (L121/L120)^(('Summary, PPI''s'!$L121+'Summary, PPI''s'!$L120)/('Predicted PPIs'!R121+'Predicted PPIs'!R120)))*IF(M$26=".", 1, (M121/M120)^(('Summary, PPI''s'!$M121+'Summary, PPI''s'!$M120)/('Predicted PPIs'!R121+'Predicted PPIs'!R120)))*IF(B$26=".", 1, (B121/B120)^(('Summary, PPI''s'!$B121+'Summary, PPI''s'!$B120)/('Predicted PPIs'!R121+'Predicted PPIs'!R120)))*IF(C$26=".", 1, (C121/C120)^(('Summary, PPI''s'!$C121+'Summary, PPI''s'!$C120)/('Predicted PPIs'!R121+'Predicted PPIs'!R120)))*IF(D$26=".", 1, (D121/D120)^(('Summary, PPI''s'!$D121+'Summary, PPI''s'!$D120)/('Predicted PPIs'!R121+'Predicted PPIs'!R120)))*IF(N$26=".", 1, (N121/N120)^(('Summary, PPI''s'!$N121+'Summary, PPI''s'!$N120)/('Predicted PPIs'!R121+'Predicted PPIs'!R120)))*IF(O$26=".", 1, (O121/O120)^(('Summary, PPI''s'!$O121+'Summary, PPI''s'!$O120)/('Predicted PPIs'!R121+'Predicted PPIs'!R120)))*IF(P$26=".", 1, (P121/P120)^(('Summary, PPI''s'!$P121+'Summary, PPI''s'!$P120)/('Predicted PPIs'!R121+'Predicted PPIs'!R120)))</f>
        <v>#VALUE!</v>
      </c>
      <c r="AA121" s="4" t="e">
        <f>AA120*IF(E$36=".", 1, (E121/E120)^(('Summary, PPI''s'!$E121+'Summary, PPI''s'!$E120)/('Predicted PPIs'!S121+'Predicted PPIs'!S120)))*IF(F$36=".", 1, (F121/F120)^(('Summary, PPI''s'!$F121+'Summary, PPI''s'!$F120)/('Predicted PPIs'!S121+'Predicted PPIs'!S120)))*IF(G$36=".", 1, (G121/G120)^(('Summary, PPI''s'!$G121+'Summary, PPI''s'!$G120)/('Predicted PPIs'!S121+'Predicted PPIs'!S120)))*IF(H$36=".", 1, (H121/H120)^(('Summary, PPI''s'!$H121+'Summary, PPI''s'!$H120)/('Predicted PPIs'!S121+'Predicted PPIs'!S120)))*IF(I$36=".", 1, (I121/I120)^(('Summary, PPI''s'!$I121+'Summary, PPI''s'!$I120)/('Predicted PPIs'!S121+'Predicted PPIs'!S120)))*IF(J$36=".", 1, (J121/J120)^(('Summary, PPI''s'!$J121+'Summary, PPI''s'!$J120)/('Predicted PPIs'!S121+'Predicted PPIs'!S120)))*IF(K$36=".", 1, (K121/K120)^(('Summary, PPI''s'!$K121+'Summary, PPI''s'!$K120)/('Predicted PPIs'!S121+'Predicted PPIs'!S120)))*IF(L$36=".", 1, (L121/L120)^(('Summary, PPI''s'!$L121+'Summary, PPI''s'!$L120)/('Predicted PPIs'!S121+'Predicted PPIs'!S120)))*IF(M$36=".", 1, (M121/M120)^(('Summary, PPI''s'!$M121+'Summary, PPI''s'!$M120)/('Predicted PPIs'!S121+'Predicted PPIs'!S120)))*IF(B$36=".", 1, (B121/B120)^(('Summary, PPI''s'!$B121+'Summary, PPI''s'!$B120)/('Predicted PPIs'!S121+'Predicted PPIs'!S120)))*IF(C$36=".", 1, (C121/C120)^(('Summary, PPI''s'!$C121+'Summary, PPI''s'!$C120)/('Predicted PPIs'!S121+'Predicted PPIs'!S120)))*IF(D$36=".", 1, (D121/D120)^(('Summary, PPI''s'!$D121+'Summary, PPI''s'!$D120)/('Predicted PPIs'!S121+'Predicted PPIs'!S120)))*IF(N$36=".", 1, (N121/N120)^(('Summary, PPI''s'!$N121+'Summary, PPI''s'!$N120)/('Predicted PPIs'!S121+'Predicted PPIs'!S120)))*IF(O$36=".", 1, (O121/O120)^(('Summary, PPI''s'!$O121+'Summary, PPI''s'!$O120)/('Predicted PPIs'!S121+'Predicted PPIs'!S120)))*IF(P$36=".", 1, (P121/P120)^(('Summary, PPI''s'!$P121+'Summary, PPI''s'!$P120)/('Predicted PPIs'!S121+'Predicted PPIs'!S120)))</f>
        <v>#VALUE!</v>
      </c>
      <c r="AB121" s="4" t="e">
        <f>AB120*IF(E$46=".", 1, (E121/E120)^(('Summary, PPI''s'!$E121+'Summary, PPI''s'!$E120)/('Predicted PPIs'!T121+'Predicted PPIs'!T120)))*IF(F$46=".", 1, (F121/F120)^(('Summary, PPI''s'!$F121+'Summary, PPI''s'!$F120)/('Predicted PPIs'!T121+'Predicted PPIs'!T120)))*IF(G$46=".", 1, (G121/G120)^(('Summary, PPI''s'!$G121+'Summary, PPI''s'!$G120)/('Predicted PPIs'!T121+'Predicted PPIs'!T120)))*IF(H$46=".", 1, (H121/H120)^(('Summary, PPI''s'!$H121+'Summary, PPI''s'!$H120)/('Predicted PPIs'!T121+'Predicted PPIs'!T120)))*IF(I$46=".", 1, (I121/I120)^(('Summary, PPI''s'!$I121+'Summary, PPI''s'!$I120)/('Predicted PPIs'!T121+'Predicted PPIs'!T120)))*IF(J$46=".", 1, (J121/J120)^(('Summary, PPI''s'!$J121+'Summary, PPI''s'!$J120)/('Predicted PPIs'!T121+'Predicted PPIs'!T120)))*IF(K$46=".", 1, (K121/K120)^(('Summary, PPI''s'!$K121+'Summary, PPI''s'!$K120)/('Predicted PPIs'!T121+'Predicted PPIs'!T120)))*IF(L$46=".", 1, (L121/L120)^(('Summary, PPI''s'!$L121+'Summary, PPI''s'!$L120)/('Predicted PPIs'!T121+'Predicted PPIs'!T120)))*IF(M$46=".", 1, (M121/M120)^(('Summary, PPI''s'!$M121+'Summary, PPI''s'!$M120)/('Predicted PPIs'!T121+'Predicted PPIs'!T120)))*IF(B$46=".", 1, (B121/B120)^(('Summary, PPI''s'!$B121+'Summary, PPI''s'!$B120)/('Predicted PPIs'!T121+'Predicted PPIs'!T120)))*IF(C$46=".", 1, (C121/C120)^(('Summary, PPI''s'!$C121+'Summary, PPI''s'!$C120)/('Predicted PPIs'!T121+'Predicted PPIs'!T120)))*IF(D$46=".", 1, (D121/D120)^(('Summary, PPI''s'!$D121+'Summary, PPI''s'!$D120)/('Predicted PPIs'!T121+'Predicted PPIs'!T120)))*IF(N$46=".", 1, (N121/N120)^(('Summary, PPI''s'!$N121+'Summary, PPI''s'!$N120)/('Predicted PPIs'!T121+'Predicted PPIs'!T120)))*IF(O$46=".", 1, (O121/O120)^(('Summary, PPI''s'!$O121+'Summary, PPI''s'!$O120)/('Predicted PPIs'!T121+'Predicted PPIs'!T120)))*IF(P$46=".", 1, (P121/P120)^(('Summary, PPI''s'!$P121+'Summary, PPI''s'!$P120)/('Predicted PPIs'!T121+'Predicted PPIs'!T120)))</f>
        <v>#VALUE!</v>
      </c>
      <c r="AC121" s="4" t="e">
        <f>AC120*IF(E$60=".",1,(E121/E120)^(('Summary, PPI''s'!$E121+'Summary, PPI''s'!$E120)/('Predicted PPIs'!U121+'Predicted PPIs'!U120)))*IF(F$60=".",1,(F121/F120)^(('Summary, PPI''s'!$F121+'Summary, PPI''s'!$F120)/('Predicted PPIs'!U121+'Predicted PPIs'!U120)))*IF(G$60=".",1,(G121/G120)^(('Summary, PPI''s'!$G121+'Summary, PPI''s'!$G120)/('Predicted PPIs'!U121+'Predicted PPIs'!U120)))*IF(H$60=".",1,(H121/H120)^(('Summary, PPI''s'!$H121+'Summary, PPI''s'!$H120)/('Predicted PPIs'!U121+'Predicted PPIs'!U120)))*IF(I$60=".",1,(I121/I120)^(('Summary, PPI''s'!$I121+'Summary, PPI''s'!$I120)/('Predicted PPIs'!U121+'Predicted PPIs'!U120)))*IF(J$60=".",1,(J121/J120)^(('Summary, PPI''s'!$J121+'Summary, PPI''s'!$J120)/('Predicted PPIs'!U121+'Predicted PPIs'!U120)))*IF(K$60=".",1,(K121/K120)^(('Summary, PPI''s'!$K121+'Summary, PPI''s'!$K120)/('Predicted PPIs'!U121+'Predicted PPIs'!U120)))*IF(L$60=".",1,(L121/L120)^(('Summary, PPI''s'!$L121+'Summary, PPI''s'!$L120)/('Predicted PPIs'!U121+'Predicted PPIs'!U120)))*IF(M$60=".",1,(M121/M120)^(('Summary, PPI''s'!$M121+'Summary, PPI''s'!$M120)/('Predicted PPIs'!U121+'Predicted PPIs'!U120)))*IF(B$60=".",1,(B121/B120)^(('Summary, PPI''s'!$B121+'Summary, PPI''s'!$B120)/('Predicted PPIs'!U121+'Predicted PPIs'!U120)))*IF(C$60=".",1,(C121/C120)^(('Summary, PPI''s'!$C121+'Summary, PPI''s'!$C120)/('Predicted PPIs'!U121+'Predicted PPIs'!U120)))*IF(D$60=".",1,(D121/D120)^(('Summary, PPI''s'!$D121+'Summary, PPI''s'!$D120)/('Predicted PPIs'!U121+'Predicted PPIs'!U120)))*IF(N$60=".",1,(N121/N120)^(('Summary, PPI''s'!$N121+'Summary, PPI''s'!$N120)/('Predicted PPIs'!U121+'Predicted PPIs'!U120)))*IF(O$60=".",1,(O121/O120)^(('Summary, PPI''s'!$O121+'Summary, PPI''s'!$O120)/('Predicted PPIs'!U121+'Predicted PPIs'!U120)))*IF(P$60=".",1,(P121/P120)^(('Summary, PPI''s'!$P121+'Summary, PPI''s'!$P120)/('Predicted PPIs'!U121+'Predicted PPIs'!U120)))</f>
        <v>#VALUE!</v>
      </c>
      <c r="AD121" s="4" t="e">
        <f>AD120*IF(E$73=".", 1, (E121/E120)^(('Summary, PPI''s'!$E121+'Summary, PPI''s'!$E120)/('Predicted PPIs'!V121+'Predicted PPIs'!V120)))*IF(F$73=".", 1, (F121/F120)^(('Summary, PPI''s'!$F121+'Summary, PPI''s'!$F120)/('Predicted PPIs'!V121+'Predicted PPIs'!V120)))*IF(G$73=".", 1, (G121/G120)^(('Summary, PPI''s'!$G121+'Summary, PPI''s'!$G120)/('Predicted PPIs'!V121+'Predicted PPIs'!V120)))*IF(H$73=".", 1, (H121/H120)^(('Summary, PPI''s'!$H121+'Summary, PPI''s'!$H120)/('Predicted PPIs'!V121+'Predicted PPIs'!V120)))*IF(I$73=".", 1, (I121/I120)^(('Summary, PPI''s'!$I121+'Summary, PPI''s'!$I120)/('Predicted PPIs'!V121+'Predicted PPIs'!V120)))*IF(J$73=".", 1, (J121/J120)^(('Summary, PPI''s'!$J121+'Summary, PPI''s'!$J120)/('Predicted PPIs'!V121+'Predicted PPIs'!V120)))*IF(K$73=".", 1, (K121/K120)^(('Summary, PPI''s'!$K121+'Summary, PPI''s'!$K120)/('Predicted PPIs'!V121+'Predicted PPIs'!V120)))*IF(L$73=".", 1, (L121/L120)^(('Summary, PPI''s'!$L121+'Summary, PPI''s'!$L120)/('Predicted PPIs'!V121+'Predicted PPIs'!V120)))*IF(M$73=".", 1, (M121/M120)^(('Summary, PPI''s'!$M121+'Summary, PPI''s'!$M120)/('Predicted PPIs'!V121+'Predicted PPIs'!V120)))*IF(B$73=".", 1, (B121/B120)^(('Summary, PPI''s'!$B121+'Summary, PPI''s'!$B120)/('Predicted PPIs'!V121+'Predicted PPIs'!V120)))*IF(C$73=".", 1, (C121/C120)^(('Summary, PPI''s'!$C121+'Summary, PPI''s'!$C120)/('Predicted PPIs'!V121+'Predicted PPIs'!V120)))*IF(D$73=".", 1, (D121/D120)^(('Summary, PPI''s'!$D121+'Summary, PPI''s'!$D120)/('Predicted PPIs'!V121+'Predicted PPIs'!V120)))*IF(N$73=".", 1, (N121/N120)^(('Summary, PPI''s'!$N121+'Summary, PPI''s'!$N120)/('Predicted PPIs'!V121+'Predicted PPIs'!V120)))*IF(O$73=".", 1, (O121/O120)^(('Summary, PPI''s'!$O121+'Summary, PPI''s'!$O120)/('Predicted PPIs'!V121+'Predicted PPIs'!V120)))*IF(P$73=".", 1, (P121/P120)^(('Summary, PPI''s'!$P121+'Summary, PPI''s'!$P120)/('Predicted PPIs'!V121+'Predicted PPIs'!V120)))</f>
        <v>#VALUE!</v>
      </c>
      <c r="AE121" s="4" t="e">
        <f>AE120*IF(E$94=".", 1, (E121/E120)^(('Summary, PPI''s'!$E121+'Summary, PPI''s'!$E120)/('Predicted PPIs'!W121+'Predicted PPIs'!W120)))*IF(F$94=".", 1, (F121/F120)^(('Summary, PPI''s'!$F121+'Summary, PPI''s'!$F120)/('Predicted PPIs'!W121+'Predicted PPIs'!W120)))*IF(G$94=".", 1, (G121/G120)^(('Summary, PPI''s'!$G121+'Summary, PPI''s'!$G120)/('Predicted PPIs'!W121+'Predicted PPIs'!W120)))*IF(H$94=".", 1, (H121/H120)^(('Summary, PPI''s'!$H121+'Summary, PPI''s'!$H120)/('Predicted PPIs'!W121+'Predicted PPIs'!W120)))*IF(I$94=".", 1, (I121/I120)^(('Summary, PPI''s'!$I121+'Summary, PPI''s'!$I120)/('Predicted PPIs'!W121+'Predicted PPIs'!W120)))*IF(J$94=".", 1, (J121/J120)^(('Summary, PPI''s'!$J121+'Summary, PPI''s'!$J120)/('Predicted PPIs'!W121+'Predicted PPIs'!W120)))*IF(K$94=".", 1, (K121/K120)^(('Summary, PPI''s'!$K121+'Summary, PPI''s'!$K120)/('Predicted PPIs'!W121+'Predicted PPIs'!W120)))*IF(L$94=".", 1, (L121/L120)^(('Summary, PPI''s'!$L121+'Summary, PPI''s'!$L120)/('Predicted PPIs'!W121+'Predicted PPIs'!W120)))*IF(M$94=".", 1, (M121/M120)^(('Summary, PPI''s'!$M121+'Summary, PPI''s'!$M120)/('Predicted PPIs'!W121+'Predicted PPIs'!W120)))*IF(B$94=".", 1, (B121/B120)^(('Summary, PPI''s'!$B121+'Summary, PPI''s'!$B120)/('Predicted PPIs'!W121+'Predicted PPIs'!W120)))*IF(C$94=".", 1, (C121/C120)^(('Summary, PPI''s'!$C121+'Summary, PPI''s'!$C120)/('Predicted PPIs'!W121+'Predicted PPIs'!W120)))*IF(D$94=".", 1, (D121/D120)^(('Summary, PPI''s'!$D121+'Summary, PPI''s'!$D120)/('Predicted PPIs'!W121+'Predicted PPIs'!W120)))*IF(N$94=".", 1, (N121/N120)^(('Summary, PPI''s'!$N121+'Summary, PPI''s'!$N120)/('Predicted PPIs'!W121+'Predicted PPIs'!W120)))*IF(O$94=".", 1, (O121/O120)^(('Summary, PPI''s'!$O121+'Summary, PPI''s'!$O120)/('Predicted PPIs'!W121+'Predicted PPIs'!W120)))*IF(P$94=".", 1, (P121/P120)^(('Summary, PPI''s'!$P121+'Summary, PPI''s'!$P120)/('Predicted PPIs'!W121+'Predicted PPIs'!W120)))</f>
        <v>#VALUE!</v>
      </c>
      <c r="AF121" s="4">
        <f>AF120*IF(E$123=".", 1, (E121/E120)^(('Summary, PPI''s'!$E121+'Summary, PPI''s'!$E120)/('Predicted PPIs'!X121+'Predicted PPIs'!X120)))*IF(F$123=".", 1, (F121/F120)^(('Summary, PPI''s'!$F121+'Summary, PPI''s'!$F120)/('Predicted PPIs'!X121+'Predicted PPIs'!X120)))*IF(G$123=".", 1, (G121/G120)^(('Summary, PPI''s'!$G121+'Summary, PPI''s'!$G120)/('Predicted PPIs'!X121+'Predicted PPIs'!X120)))*IF(H$123=".", 1, (H121/H120)^(('Summary, PPI''s'!$H121+'Summary, PPI''s'!$H120)/('Predicted PPIs'!X121+'Predicted PPIs'!X120)))*IF(I$123=".", 1, (I121/I120)^(('Summary, PPI''s'!$I121+'Summary, PPI''s'!$I120)/('Predicted PPIs'!X121+'Predicted PPIs'!X120)))*IF(J$123=".", 1, (J121/J120)^(('Summary, PPI''s'!$J121+'Summary, PPI''s'!$J120)/('Predicted PPIs'!X121+'Predicted PPIs'!X120)))*IF(K$123=".", 1, (K121/K120)^(('Summary, PPI''s'!$K121+'Summary, PPI''s'!$K120)/('Predicted PPIs'!X121+'Predicted PPIs'!X120)))*IF(L$123=".", 1, (L121/L120)^(('Summary, PPI''s'!$L121+'Summary, PPI''s'!$L120)/('Predicted PPIs'!X121+'Predicted PPIs'!X120)))*IF(M$123=".", 1, (M121/M120)^(('Summary, PPI''s'!$M121+'Summary, PPI''s'!$M120)/('Predicted PPIs'!X121+'Predicted PPIs'!X120)))*IF(B$123=".", 1, (B121/B120)^(('Summary, PPI''s'!$B121+'Summary, PPI''s'!$B120)/('Predicted PPIs'!X121+'Predicted PPIs'!X120)))*IF(C$123=".", 1, (C121/C120)^(('Summary, PPI''s'!$C121+'Summary, PPI''s'!$C120)/('Predicted PPIs'!X121+'Predicted PPIs'!X120)))*IF(D$123=".", 1, (D121/D120)^(('Summary, PPI''s'!$D121+'Summary, PPI''s'!$D120)/('Predicted PPIs'!X121+'Predicted PPIs'!X120)))*IF(N$123=".", 1, (N121/N120)^(('Summary, PPI''s'!$N121+'Summary, PPI''s'!$N120)/('Predicted PPIs'!X121+'Predicted PPIs'!X120)))*IF(O$123=".", 1, (O121/O120)^(('Summary, PPI''s'!$O121+'Summary, PPI''s'!$O120)/('Predicted PPIs'!X121+'Predicted PPIs'!X120)))*IF(P$123=".", 1, (P121/P120)^(('Summary, PPI''s'!$P121+'Summary, PPI''s'!$P120)/('Predicted PPIs'!X121+'Predicted PPIs'!X120)))</f>
        <v>2.0966744853269086</v>
      </c>
      <c r="AH121" s="13">
        <f t="shared" si="212"/>
        <v>2.9941705086042578</v>
      </c>
      <c r="AJ121" s="4">
        <f t="shared" si="207"/>
        <v>15.734340872108687</v>
      </c>
      <c r="AK121" s="4">
        <f t="shared" si="191"/>
        <v>-0.3482290169757386</v>
      </c>
      <c r="AL121" s="4">
        <f t="shared" si="192"/>
        <v>-1.1928825870482398</v>
      </c>
      <c r="AM121" s="4">
        <f t="shared" si="193"/>
        <v>-0.18560017075239318</v>
      </c>
      <c r="AN121" s="4">
        <f t="shared" si="176"/>
        <v>20.982360681212267</v>
      </c>
      <c r="AO121" s="4">
        <v>3.4</v>
      </c>
      <c r="AP121" s="4">
        <f t="shared" si="177"/>
        <v>-0.31454545454545463</v>
      </c>
      <c r="AQ121" s="4">
        <f t="shared" si="178"/>
        <v>-0.59463636363636352</v>
      </c>
      <c r="AR121" s="4">
        <f t="shared" si="210"/>
        <v>-1.1985551911816529E-5</v>
      </c>
      <c r="AS121" s="4">
        <f t="shared" si="208"/>
        <v>-2.4637476654907647E-2</v>
      </c>
      <c r="AT121" s="4">
        <f t="shared" si="194"/>
        <v>3.7633082125603856</v>
      </c>
      <c r="AU121" s="4">
        <f t="shared" si="195"/>
        <v>6.1967468599033797</v>
      </c>
      <c r="AV121" s="4">
        <f t="shared" si="196"/>
        <v>4.8195120772946849</v>
      </c>
      <c r="AW121" s="4">
        <f t="shared" si="197"/>
        <v>2.6949594202898561</v>
      </c>
      <c r="AX121" s="4">
        <f t="shared" si="198"/>
        <v>3.5846625377246268</v>
      </c>
      <c r="AY121" s="4">
        <f t="shared" si="199"/>
        <v>4.2150995169082126</v>
      </c>
      <c r="AZ121" s="4">
        <f t="shared" si="200"/>
        <v>1.4407932367149761</v>
      </c>
      <c r="BA121" s="4">
        <f t="shared" si="201"/>
        <v>3.9029748792270516</v>
      </c>
      <c r="BB121" s="4">
        <f t="shared" si="202"/>
        <v>22.324054221750952</v>
      </c>
      <c r="BC121" s="4">
        <f t="shared" si="203"/>
        <v>3.6584570048309195</v>
      </c>
      <c r="BD121" s="5">
        <f>'[2]Ordinary Experience'!$AD$305</f>
        <v>83.8</v>
      </c>
      <c r="BE121" s="5">
        <f>'[2]Ordinary Experience'!$AC$305</f>
        <v>0.69498308666188724</v>
      </c>
      <c r="BG121" s="4">
        <f t="shared" si="172"/>
        <v>4.2912334687804323</v>
      </c>
      <c r="BI121" s="4">
        <f>BI$13*'[2]Ordinary Experience'!$D$305/'[2]Ordinary Experience'!$D$413</f>
        <v>79244001.109476298</v>
      </c>
      <c r="BJ121" s="4">
        <f>'[2]Ordinary Experience'!$E$305</f>
        <v>34.006057321301583</v>
      </c>
      <c r="BL121" s="4">
        <f t="shared" si="211"/>
        <v>20.703673070219129</v>
      </c>
      <c r="BM121" s="4">
        <f t="shared" si="153"/>
        <v>7.9261719582004675E-2</v>
      </c>
      <c r="BO121" s="4" t="str">
        <f>IF(OR('Summary, hourly ad costs'!R121=-9999,'Summary, PPI''s'!R121="."),".",(('Summary, hourly ad costs'!B121/'Summary, hourly ad costs'!R121)*100/('Summary, hourly ad costs'!B$11/'Summary, hourly ad costs'!R$11))/('Summary, PPI''s'!R121))</f>
        <v>.</v>
      </c>
      <c r="BP121" s="4" t="str">
        <f>IF(OR('Summary, hourly ad costs'!S121=-9999,'Summary, PPI''s'!S121="."),".",(('Summary, hourly ad costs'!C121/'Summary, hourly ad costs'!S121)*100/('Summary, hourly ad costs'!C$11/'Summary, hourly ad costs'!S$11))/('Summary, PPI''s'!S121))</f>
        <v>.</v>
      </c>
      <c r="BQ121" s="4" t="str">
        <f>IF(OR('Summary, hourly ad costs'!T121=-9999,'Summary, PPI''s'!T121="."),".",(('Summary, hourly ad costs'!D121/'Summary, hourly ad costs'!T121)*100/('Summary, hourly ad costs'!D$11/'Summary, hourly ad costs'!T$11))/('Summary, PPI''s'!T121))</f>
        <v>.</v>
      </c>
      <c r="BR121" s="4" t="str">
        <f>IF(OR('Summary, hourly ad costs'!U121=-9999,'Summary, PPI''s'!U121="."),".",(('Summary, hourly ad costs'!E121/'Summary, hourly ad costs'!U121)*100/('Summary, hourly ad costs'!E$11/'Summary, hourly ad costs'!U$11))/('Summary, PPI''s'!U121))</f>
        <v>.</v>
      </c>
      <c r="BS121" s="4" t="str">
        <f>IF(OR('Summary, hourly ad costs'!V121=-9999,'Summary, PPI''s'!V121="."),".",(('Summary, hourly ad costs'!F121/'Summary, hourly ad costs'!V121)*100/('Summary, hourly ad costs'!F$11/'Summary, hourly ad costs'!V$11))/('Summary, PPI''s'!V121))</f>
        <v>.</v>
      </c>
      <c r="BT121" s="4" t="str">
        <f>IF(OR('Summary, hourly ad costs'!W121=-9999,'Summary, PPI''s'!W121="."),".",(('Summary, hourly ad costs'!G121/'Summary, hourly ad costs'!W121)*100/('Summary, hourly ad costs'!G$11/'Summary, hourly ad costs'!W$11))/('Summary, PPI''s'!W121))</f>
        <v>.</v>
      </c>
      <c r="BU121" s="4" t="str">
        <f>IF(OR('Summary, hourly ad costs'!X121=-9999,'Summary, PPI''s'!X121="."),".",(('Summary, hourly ad costs'!H121/'Summary, hourly ad costs'!X121)*100/('Summary, hourly ad costs'!H$11/'Summary, hourly ad costs'!X$11))/('Summary, PPI''s'!X121))</f>
        <v>.</v>
      </c>
      <c r="BV121" s="4" t="str">
        <f>IF(OR('Summary, hourly ad costs'!Y121=-9999,'Summary, PPI''s'!Y121="."),".",(('Summary, hourly ad costs'!I121/'Summary, hourly ad costs'!Y121)*100/('Summary, hourly ad costs'!I$11/'Summary, hourly ad costs'!Y$11))/('Summary, PPI''s'!Y121))</f>
        <v>.</v>
      </c>
      <c r="BW121" s="4" t="str">
        <f>IF(OR('Summary, hourly ad costs'!Z121=-9999,'Summary, PPI''s'!Z121="."),".",(('Summary, hourly ad costs'!J121/'Summary, hourly ad costs'!Z121)*100/('Summary, hourly ad costs'!J$11/'Summary, hourly ad costs'!Z$11))/('Summary, PPI''s'!Z121))</f>
        <v>.</v>
      </c>
      <c r="BX121" s="4" t="str">
        <f>IF(OR('Summary, hourly ad costs'!AA121=-9999,'Summary, PPI''s'!AA121="."),".",(('Summary, hourly ad costs'!K121/'Summary, hourly ad costs'!AA121)*100/('Summary, hourly ad costs'!K$11/'Summary, hourly ad costs'!AA$11))/('Summary, PPI''s'!AA121))</f>
        <v>.</v>
      </c>
      <c r="BY121" s="4" t="str">
        <f>IF(OR('Summary, hourly ad costs'!AB121=-9999,'Summary, PPI''s'!AB121="."),".",(('Summary, hourly ad costs'!L121/'Summary, hourly ad costs'!AB121)*100/('Summary, hourly ad costs'!L$11/'Summary, hourly ad costs'!AB$11))/('Summary, PPI''s'!AB121))</f>
        <v>.</v>
      </c>
      <c r="BZ121" s="4" t="str">
        <f>IF(OR('Summary, hourly ad costs'!AC121=-9999,'Summary, PPI''s'!AC121="."),".",(('Summary, hourly ad costs'!M121/'Summary, hourly ad costs'!AC121)*100/('Summary, hourly ad costs'!M$11/'Summary, hourly ad costs'!AC$11))/('Summary, PPI''s'!AC121))</f>
        <v>.</v>
      </c>
      <c r="CA121" s="4" t="str">
        <f>IF(OR('Summary, hourly ad costs'!AD121=-9999,'Summary, PPI''s'!AD121="."),".",(('Summary, hourly ad costs'!N121/'Summary, hourly ad costs'!AD121)*100/('Summary, hourly ad costs'!N$11/'Summary, hourly ad costs'!AD$11))/('Summary, PPI''s'!AD121))</f>
        <v>.</v>
      </c>
      <c r="CB121" s="4" t="str">
        <f>IF(OR('Summary, hourly ad costs'!AE121=-9999,'Summary, PPI''s'!AE121="."),".",(('Summary, hourly ad costs'!O121/'Summary, hourly ad costs'!AE121)*100/('Summary, hourly ad costs'!O$11/'Summary, hourly ad costs'!AE$11))/('Summary, PPI''s'!AE121))</f>
        <v>.</v>
      </c>
      <c r="CC121" s="4" t="str">
        <f>IF(OR('Summary, hourly ad costs'!AF121=-9999,'Summary, PPI''s'!AF121="."),".",(('Summary, hourly ad costs'!P121/'Summary, hourly ad costs'!AF121)*100/('Summary, hourly ad costs'!P$11/'Summary, hourly ad costs'!AF$11))/('Summary, PPI''s'!AF121))</f>
        <v>.</v>
      </c>
      <c r="CE121" s="4">
        <f t="shared" si="183"/>
        <v>4.3047841422451875E-2</v>
      </c>
      <c r="CF121" s="4" t="str">
        <f t="shared" si="184"/>
        <v>.</v>
      </c>
      <c r="CG121" s="4" t="str">
        <f t="shared" si="185"/>
        <v>.</v>
      </c>
      <c r="CH121" s="4">
        <f t="shared" si="145"/>
        <v>8.1203511587004396E-2</v>
      </c>
      <c r="CI121" s="4">
        <f t="shared" si="145"/>
        <v>9.3929044494250408E-2</v>
      </c>
      <c r="CJ121" s="4" t="str">
        <f t="shared" si="209"/>
        <v>.</v>
      </c>
      <c r="CK121" s="4">
        <f t="shared" si="149"/>
        <v>5.0623443082662214E-5</v>
      </c>
      <c r="CL121" s="4">
        <f t="shared" si="234"/>
        <v>6.5379751073402353E-2</v>
      </c>
      <c r="CM121" s="4">
        <f t="shared" si="234"/>
        <v>4.2609799242877888E-2</v>
      </c>
      <c r="CN121" s="4">
        <f t="shared" si="204"/>
        <v>5.1556884426515473E-2</v>
      </c>
      <c r="CO121" s="4">
        <f t="shared" si="180"/>
        <v>0.51491038535932754</v>
      </c>
      <c r="CP121" s="4">
        <f t="shared" si="180"/>
        <v>-1.8993242444835995E-2</v>
      </c>
      <c r="CQ121" s="4" t="str">
        <f t="shared" si="230"/>
        <v>.</v>
      </c>
      <c r="CR121" s="4" t="str">
        <f t="shared" si="231"/>
        <v>.</v>
      </c>
      <c r="CS121" s="4" t="str">
        <f t="shared" si="232"/>
        <v>.</v>
      </c>
      <c r="CU121" s="5">
        <f>IF(CU120=".", ".", IF('Summary, PPI''s'!R121=".",IF(OR('Summary, hourly ad costs'!R121=-9999,'Summary, hourly ad costs'!R121=0), ".", 'Predicted PPIs'!CU120*('Summary, hourly ad costs'!B121/'Summary, hourly ad costs'!R121)/('Summary, hourly ad costs'!B120/'Summary, hourly ad costs'!R120)/(1-CE120)), 'Summary, PPI''s'!R121))</f>
        <v>20.212469802088666</v>
      </c>
      <c r="CV121" s="5" t="str">
        <f>IF(CV120=".", ".", IF('Summary, PPI''s'!S121=".",IF(OR('Summary, hourly ad costs'!S121=-9999,'Summary, hourly ad costs'!S121=0), ".", 'Predicted PPIs'!CV120*('Summary, hourly ad costs'!C121/'Summary, hourly ad costs'!S121)/('Summary, hourly ad costs'!C120/'Summary, hourly ad costs'!S120)/(1-CF120)), 'Summary, PPI''s'!S121))</f>
        <v>.</v>
      </c>
      <c r="CW121" s="5" t="str">
        <f>IF(CW120=".", ".", IF('Summary, PPI''s'!T121=".",IF(OR('Summary, hourly ad costs'!T121=-9999,'Summary, hourly ad costs'!T121=0), ".", 'Predicted PPIs'!CW120*('Summary, hourly ad costs'!D121/'Summary, hourly ad costs'!T121)/('Summary, hourly ad costs'!D120/'Summary, hourly ad costs'!T120)/(1-CG120)), 'Summary, PPI''s'!T121))</f>
        <v>.</v>
      </c>
      <c r="CX121" s="5">
        <f>IF(CX120=".", ".", IF('Summary, PPI''s'!U121=".",IF(OR('Summary, hourly ad costs'!U121=-9999,'Summary, hourly ad costs'!U121=0), ".", 'Predicted PPIs'!CX120*('Summary, hourly ad costs'!E121/'Summary, hourly ad costs'!U121)/('Summary, hourly ad costs'!E120/'Summary, hourly ad costs'!U120)/(1-CH120)), 'Summary, PPI''s'!U121))</f>
        <v>0.76864449705071791</v>
      </c>
      <c r="CY121" s="5">
        <f>IF(CY120=".", ".", IF('Summary, PPI''s'!V121=".",IF(OR('Summary, hourly ad costs'!V121=-9999,'Summary, hourly ad costs'!V121=0), ".", 'Predicted PPIs'!CY120*('Summary, hourly ad costs'!F121/'Summary, hourly ad costs'!V121)/('Summary, hourly ad costs'!F120/'Summary, hourly ad costs'!V120)/(1-CI120)), 'Summary, PPI''s'!V121))</f>
        <v>0.69018822098914634</v>
      </c>
      <c r="CZ121" s="5" t="str">
        <f>IF(CZ120=".", ".", IF('Summary, PPI''s'!W121=".",IF(OR('Summary, hourly ad costs'!W121=-9999,'Summary, hourly ad costs'!W121=0), ".", 'Predicted PPIs'!CZ120*('Summary, hourly ad costs'!G121/'Summary, hourly ad costs'!W121)/('Summary, hourly ad costs'!G120/'Summary, hourly ad costs'!W120)/(1-CJ120)), 'Summary, PPI''s'!W121))</f>
        <v>.</v>
      </c>
      <c r="DA121" s="5">
        <f>IF(DA120=".", ".", IF('Summary, PPI''s'!X121=".",IF(OR('Summary, hourly ad costs'!X121=-9999,'Summary, hourly ad costs'!X121=0), ".", 'Predicted PPIs'!DA120*('Summary, hourly ad costs'!H121/'Summary, hourly ad costs'!X121)/('Summary, hourly ad costs'!H120/'Summary, hourly ad costs'!X120)/(1-CK120)), 'Summary, PPI''s'!X121))</f>
        <v>0.98644637070753416</v>
      </c>
      <c r="DB121" s="5" t="str">
        <f>IF(DB120=".", ".", IF('Summary, PPI''s'!Y121=".",IF(OR('Summary, hourly ad costs'!Y121=-9999,'Summary, hourly ad costs'!Y121=0), ".", 'Predicted PPIs'!DB120*('Summary, hourly ad costs'!I121/'Summary, hourly ad costs'!Y121)/('Summary, hourly ad costs'!I120/'Summary, hourly ad costs'!Y120)/(1-CL120)), 'Summary, PPI''s'!Y121))</f>
        <v>.</v>
      </c>
      <c r="DC121" s="5" t="str">
        <f>IF(DC120=".", ".", IF('Summary, PPI''s'!Z121=".",IF(OR('Summary, hourly ad costs'!Z121=-9999,'Summary, hourly ad costs'!Z121=0), ".", 'Predicted PPIs'!DC120*('Summary, hourly ad costs'!J121/'Summary, hourly ad costs'!Z121)/('Summary, hourly ad costs'!J120/'Summary, hourly ad costs'!Z120)/(1-CM120)), 'Summary, PPI''s'!Z121))</f>
        <v>.</v>
      </c>
      <c r="DD121" s="5" t="str">
        <f>IF(DD120=".", ".", IF('Summary, PPI''s'!AA121=".",IF(OR('Summary, hourly ad costs'!AA121=-9999,'Summary, hourly ad costs'!AA121=0), ".", 'Predicted PPIs'!DD120*('Summary, hourly ad costs'!K121/'Summary, hourly ad costs'!AA121)/('Summary, hourly ad costs'!K120/'Summary, hourly ad costs'!AA120)/(1-CN120)), 'Summary, PPI''s'!AA121))</f>
        <v>.</v>
      </c>
      <c r="DE121" s="5" t="str">
        <f>IF(DE120=".", ".", IF('Summary, PPI''s'!AB121=".",IF(OR('Summary, hourly ad costs'!AB121=-9999,'Summary, hourly ad costs'!AB121=0), ".", 'Predicted PPIs'!DE120*('Summary, hourly ad costs'!L121/'Summary, hourly ad costs'!AB121)/('Summary, hourly ad costs'!L120/'Summary, hourly ad costs'!AB120)/(1-CO120)), 'Summary, PPI''s'!AB121))</f>
        <v>.</v>
      </c>
      <c r="DF121" s="5" t="str">
        <f>IF(DF120=".", ".", IF('Summary, PPI''s'!AC121=".",IF(OR('Summary, hourly ad costs'!AC121=-9999,'Summary, hourly ad costs'!AC121=0), ".", 'Predicted PPIs'!DF120*('Summary, hourly ad costs'!M121/'Summary, hourly ad costs'!AC121)/('Summary, hourly ad costs'!M120/'Summary, hourly ad costs'!AC120)/(1-CP120)), 'Summary, PPI''s'!AC121))</f>
        <v>.</v>
      </c>
      <c r="DG121" s="5" t="str">
        <f>IF(DG120=".", ".", IF('Summary, PPI''s'!AD121=".",IF(OR('Summary, hourly ad costs'!AD121=-9999,'Summary, hourly ad costs'!AD121=0), ".", 'Predicted PPIs'!DG120*('Summary, hourly ad costs'!N121/'Summary, hourly ad costs'!AD121)/('Summary, hourly ad costs'!N120/'Summary, hourly ad costs'!AD120)/(1-CQ120)), 'Summary, PPI''s'!AD121))</f>
        <v>.</v>
      </c>
      <c r="DH121" s="5" t="str">
        <f>IF(DH120=".", ".", IF('Summary, PPI''s'!AE121=".",IF(OR('Summary, hourly ad costs'!AE121=-9999,'Summary, hourly ad costs'!AE121=0), ".", 'Predicted PPIs'!DH120*('Summary, hourly ad costs'!O121/'Summary, hourly ad costs'!AE121)/('Summary, hourly ad costs'!O120/'Summary, hourly ad costs'!AE120)/(1-CR120)), 'Summary, PPI''s'!AE121))</f>
        <v>.</v>
      </c>
      <c r="DI121" s="5" t="str">
        <f>IF(DI120=".", ".", IF('Summary, PPI''s'!AF121=".",IF(OR('Summary, hourly ad costs'!AF121=-9999,'Summary, hourly ad costs'!AF121=0), ".", 'Predicted PPIs'!DI120*('Summary, hourly ad costs'!P121/'Summary, hourly ad costs'!AF121)/('Summary, hourly ad costs'!P120/'Summary, hourly ad costs'!AF120)/(1-CS120)), 'Summary, PPI''s'!AF121))</f>
        <v>.</v>
      </c>
      <c r="DK121" s="4">
        <f t="shared" si="205"/>
        <v>0.88868491228070112</v>
      </c>
      <c r="DM121" s="5">
        <f t="shared" si="186"/>
        <v>-0.10281218871272346</v>
      </c>
      <c r="DN121" s="4">
        <f t="shared" si="187"/>
        <v>-3.5003141477386965E-2</v>
      </c>
      <c r="DO121" s="4">
        <f t="shared" si="233"/>
        <v>-2.2297793350534601E-2</v>
      </c>
      <c r="DP121" s="5">
        <f t="shared" si="188"/>
        <v>-7.2347687316494214E-2</v>
      </c>
      <c r="DQ121" s="5">
        <f t="shared" si="189"/>
        <v>-6.6601875059737803E-2</v>
      </c>
      <c r="DR121" s="4">
        <f t="shared" si="146"/>
        <v>-3.1778852221044096E-4</v>
      </c>
      <c r="DS121" s="5">
        <f t="shared" si="190"/>
        <v>-6.9860972931643173E-2</v>
      </c>
      <c r="DT121" s="4">
        <f t="shared" si="206"/>
        <v>-4.6620595430505576E-2</v>
      </c>
      <c r="DU121" s="4">
        <f t="shared" si="171"/>
        <v>6.8677424904620837E-4</v>
      </c>
      <c r="DV121" s="4">
        <f t="shared" si="235"/>
        <v>-2.1052124117626417E-3</v>
      </c>
      <c r="DW121" s="4">
        <f t="shared" si="182"/>
        <v>-0.24795879741077928</v>
      </c>
      <c r="DX121" s="4">
        <f t="shared" si="182"/>
        <v>0.28415172858174925</v>
      </c>
      <c r="DY121" s="4">
        <f t="shared" si="228"/>
        <v>-9.9834874026699574E-3</v>
      </c>
      <c r="DZ121" s="4">
        <f t="shared" si="236"/>
        <v>-2.6856191132111473E-3</v>
      </c>
      <c r="EA121" s="4">
        <f t="shared" si="229"/>
        <v>-5.6242487537763782E-3</v>
      </c>
      <c r="EC121" s="1">
        <f t="shared" si="213"/>
        <v>20.212469802088666</v>
      </c>
      <c r="ED121" s="1">
        <f t="shared" si="214"/>
        <v>0.74339139710301494</v>
      </c>
      <c r="EE121" s="1">
        <f t="shared" si="215"/>
        <v>0.40000915535638665</v>
      </c>
      <c r="EF121" s="1">
        <f t="shared" si="216"/>
        <v>0.76864449705071791</v>
      </c>
      <c r="EG121" s="1">
        <f t="shared" si="217"/>
        <v>0.69018822098914634</v>
      </c>
      <c r="EH121" s="1">
        <f t="shared" si="218"/>
        <v>0.66439726452880621</v>
      </c>
      <c r="EI121" s="1">
        <f t="shared" si="219"/>
        <v>0.98644637070753416</v>
      </c>
      <c r="EJ121" s="1">
        <f t="shared" si="220"/>
        <v>1.3346715085448386</v>
      </c>
      <c r="EK121" s="1">
        <f t="shared" si="221"/>
        <v>1.254534427937767</v>
      </c>
      <c r="EL121" s="1">
        <f t="shared" si="222"/>
        <v>0.74082949998519287</v>
      </c>
      <c r="EM121" s="1">
        <f t="shared" si="223"/>
        <v>2.9958431829599723E-2</v>
      </c>
      <c r="EN121" s="1">
        <f t="shared" si="224"/>
        <v>0.21481789120509048</v>
      </c>
      <c r="EO121" s="1">
        <f t="shared" si="225"/>
        <v>0.30965348360253964</v>
      </c>
      <c r="EP121" s="1">
        <f t="shared" si="226"/>
        <v>0.60552326860835348</v>
      </c>
      <c r="EQ121" s="1">
        <f t="shared" si="227"/>
        <v>0.49260101114547605</v>
      </c>
      <c r="ES121" s="1">
        <f>IF(EF$26=".", 0, 'Summary, PPI''s'!E121)+IF(EG$26=".", 0, 'Summary, PPI''s'!F121)+IF(EH$26=".", 0, 'Summary, PPI''s'!G121)+IF(EI$26=".", 0, 'Summary, PPI''s'!H121)+IF(EJ$26=".", 0, 'Summary, PPI''s'!I121)+IF(EK$26=".", 0, 'Summary, PPI''s'!J121)+IF(EL$26=".", 0, 'Summary, PPI''s'!K121)+IF(EM$26=".", 0, 'Summary, PPI''s'!L121)+IF(EN$26=".", 0, 'Summary, PPI''s'!M121)+IF(EC$26=".", 0, 'Summary, PPI''s'!B121)+IF(ED$26=".", 0, 'Summary, PPI''s'!C121)+IF(EE$26=".", 0, 'Summary, PPI''s'!D121)+IF(EO$26=".", 0, 'Summary, PPI''s'!N121)+IF(EP$26=".", 0, 'Summary, PPI''s'!O121)+IF(EQ$26=".", 0, 'Summary, PPI''s'!P121)</f>
        <v>407164.26188101876</v>
      </c>
      <c r="ET121" s="1">
        <f>'Summary, hourly ad costs'!E121+'Summary, hourly ad costs'!F121+'Summary, hourly ad costs'!H121+'Summary, hourly ad costs'!I121+'Summary, hourly ad costs'!J121+'Summary, hourly ad costs'!K121+'Summary, hourly ad costs'!L121+'Summary, hourly ad costs'!M121+'Summary, hourly ad costs'!B121</f>
        <v>247918.34947653377</v>
      </c>
      <c r="EV121" s="13">
        <f>EV120*IF(EF$26=".", 1, (EF121/EF120)^(('Summary, PPI''s'!$E121+'Summary, PPI''s'!$E120)/('Predicted PPIs'!ES121+'Predicted PPIs'!ES120)))*IF(EG$26=".", 1, (EG121/EG120)^(('Summary, PPI''s'!$F121+'Summary, PPI''s'!$F120)/('Predicted PPIs'!ES121+'Predicted PPIs'!ES120)))*IF(EH$26=".", 1, (EH121/EH120)^(('Summary, PPI''s'!$G121+'Summary, PPI''s'!$G120)/('Predicted PPIs'!ES121+'Predicted PPIs'!ES120)))*IF(EI$26=".", 1, (EI121/EI120)^(('Summary, PPI''s'!$H121+'Summary, PPI''s'!$H120)/('Predicted PPIs'!ES121+'Predicted PPIs'!ES120)))*IF(EJ$26=".", 1, (EJ121/EJ120)^(('Summary, PPI''s'!$I121+'Summary, PPI''s'!$I120)/('Predicted PPIs'!ES121+'Predicted PPIs'!ES120)))*IF(EK$26=".", 1, (EK121/EK120)^(('Summary, PPI''s'!$J121+'Summary, PPI''s'!$J120)/('Predicted PPIs'!ES121+'Predicted PPIs'!ES120)))*IF(EL$26=".", 1, (EL121/EL120)^(('Summary, PPI''s'!$K121+'Summary, PPI''s'!$K120)/('Predicted PPIs'!ES121+'Predicted PPIs'!ES120)))*IF(EM$26=".", 1, (EM121/EM120)^(('Summary, PPI''s'!$L121+'Summary, PPI''s'!$L120)/('Predicted PPIs'!ES121+'Predicted PPIs'!ES120)))*IF(EN$26=".", 1, (EN121/EN120)^(('Summary, PPI''s'!$M121+'Summary, PPI''s'!$M120)/('Predicted PPIs'!ES121+'Predicted PPIs'!ES120)))*IF(EC$26=".", 1, (EC121/EC120)^(('Summary, PPI''s'!$B121+'Summary, PPI''s'!$B120)/('Predicted PPIs'!ES121+'Predicted PPIs'!ES120)))*IF(ED$26=".", 1, (ED121/ED120)^(('Summary, PPI''s'!$C121+'Summary, PPI''s'!$C120)/('Predicted PPIs'!ES121+'Predicted PPIs'!ES120)))*IF(EE$26=".", 1, (EE121/EE120)^(('Summary, PPI''s'!$D121+'Summary, PPI''s'!$D120)/('Predicted PPIs'!ES121+'Predicted PPIs'!ES120)))*IF(EO$26=".", 1, (EO121/EO120)^(('Summary, PPI''s'!$N121+'Summary, PPI''s'!$N120)/('Predicted PPIs'!ES121+'Predicted PPIs'!ES120)))*IF(EP$26=".", 1, (EP121/EP120)^(('Summary, PPI''s'!$O121+'Summary, PPI''s'!$O120)/('Predicted PPIs'!ES121+'Predicted PPIs'!ES120)))*IF(EQ$26=".", 1, (EQ121/EQ120)^(('Summary, PPI''s'!$P121+'Summary, PPI''s'!$P120)/('Predicted PPIs'!ES121+'Predicted PPIs'!ES120)))</f>
        <v>1.2184648066009627</v>
      </c>
      <c r="EW121" s="13">
        <f>EW120*IF(EF$26=".", 1, (EF121/EF120)^(('Summary, PPI''s'!$E121+'Summary, PPI''s'!$E120)/('Predicted PPIs'!ET121+'Predicted PPIs'!ET120)))*IF(EG$26=".", 1, (EG121/EG120)^(('Summary, PPI''s'!$F121+'Summary, PPI''s'!$F120)/('Predicted PPIs'!ET121+'Predicted PPIs'!ET120)))*IF(EH$26=".", 1, (EH121/EH120)^(('Summary, PPI''s'!$G121+'Summary, PPI''s'!$G120)/('Predicted PPIs'!ET121+'Predicted PPIs'!ET120)))*IF(EK$26=".", 1, (EK121/EK120)^(('Summary, PPI''s'!$J121+'Summary, PPI''s'!$J120)/('Predicted PPIs'!ET121+'Predicted PPIs'!ET120)))*IF(EL$26=".", 1, (EL121/EL120)^(('Summary, PPI''s'!$K121+'Summary, PPI''s'!$K120)/('Predicted PPIs'!ET121+'Predicted PPIs'!ET120)))*IF(EM$26=".", 1, (EM121/EM120)^(('Summary, PPI''s'!$L121+'Summary, PPI''s'!$L120)/('Predicted PPIs'!ET121+'Predicted PPIs'!ET120)))*IF(EN$26=".", 1, (EN121/EN120)^(('Summary, PPI''s'!$M121+'Summary, PPI''s'!$M120)/('Predicted PPIs'!ET121+'Predicted PPIs'!ET120)))*IF(EC$26=".", 1, (EC121/EC120)^(('Summary, PPI''s'!$B121+'Summary, PPI''s'!$B120)/('Predicted PPIs'!ET121+'Predicted PPIs'!ET120)))</f>
        <v>2.7829136876662539</v>
      </c>
      <c r="EY121" s="2"/>
    </row>
    <row r="122" spans="1:155" x14ac:dyDescent="0.3">
      <c r="A122" s="4">
        <v>1901</v>
      </c>
      <c r="B122" s="10">
        <f>IF(B121=".", ".", IF('Summary, PPI''s'!R122=".",IF(OR('Summary, hourly ad costs'!R122=-9999,'Summary, hourly ad costs'!R122=0), ".", 'Predicted PPIs'!B121*('Summary, hourly ad costs'!B122/'Summary, hourly ad costs'!R122)/('Summary, hourly ad costs'!B121/'Summary, hourly ad costs'!R121)), 'Summary, PPI''s'!R122))</f>
        <v>58.721332015698273</v>
      </c>
      <c r="C122" s="10" t="str">
        <f>IF(C121=".", ".", IF('Summary, PPI''s'!S122=".",IF(OR('Summary, hourly ad costs'!S122=-9999,'Summary, hourly ad costs'!S122=0), ".", 'Predicted PPIs'!C121*('Summary, hourly ad costs'!C122/'Summary, hourly ad costs'!S122)/('Summary, hourly ad costs'!C121/'Summary, hourly ad costs'!S121)), 'Summary, PPI''s'!S122))</f>
        <v>.</v>
      </c>
      <c r="D122" s="10" t="str">
        <f>IF(D121=".", ".", IF('Summary, PPI''s'!T122=".",IF(OR('Summary, hourly ad costs'!T122=-9999,'Summary, hourly ad costs'!T122=0), ".", 'Predicted PPIs'!D121*('Summary, hourly ad costs'!D122/'Summary, hourly ad costs'!T122)/('Summary, hourly ad costs'!D121/'Summary, hourly ad costs'!T121)), 'Summary, PPI''s'!T122))</f>
        <v>.</v>
      </c>
      <c r="E122" s="10">
        <f>IF(E121=".", ".", IF('Summary, PPI''s'!U122=".",IF(OR('Summary, hourly ad costs'!U122=-9999,'Summary, hourly ad costs'!U122=0), ".", 'Predicted PPIs'!E121*('Summary, hourly ad costs'!E122/'Summary, hourly ad costs'!U122)/('Summary, hourly ad costs'!E121/'Summary, hourly ad costs'!U121)), 'Summary, PPI''s'!U122))</f>
        <v>0.76073339915306193</v>
      </c>
      <c r="F122" s="10">
        <f>IF(F121=".", ".", IF('Summary, PPI''s'!V122=".",IF(OR('Summary, hourly ad costs'!V122=-9999,'Summary, hourly ad costs'!V122=0), ".", 'Predicted PPIs'!F121*('Summary, hourly ad costs'!F122/'Summary, hourly ad costs'!V122)/('Summary, hourly ad costs'!F121/'Summary, hourly ad costs'!V121)), 'Summary, PPI''s'!V122))</f>
        <v>0.59419553542617043</v>
      </c>
      <c r="G122" s="10" t="str">
        <f>IF(G121=".", ".", IF('Summary, PPI''s'!W122=".",IF(OR('Summary, hourly ad costs'!W122=-9999,'Summary, hourly ad costs'!W122=0), ".", 'Predicted PPIs'!G121*('Summary, hourly ad costs'!G122/'Summary, hourly ad costs'!W122)/('Summary, hourly ad costs'!G121/'Summary, hourly ad costs'!W121)), 'Summary, PPI''s'!W122))</f>
        <v>.</v>
      </c>
      <c r="H122" s="10">
        <f>IF(H121=".", ".", IF('Summary, PPI''s'!X122=".",IF(OR('Summary, hourly ad costs'!X122=-9999,'Summary, hourly ad costs'!X122=0), ".", 'Predicted PPIs'!H121*('Summary, hourly ad costs'!H122/'Summary, hourly ad costs'!X122)/('Summary, hourly ad costs'!H121/'Summary, hourly ad costs'!X121)), 'Summary, PPI''s'!X122))</f>
        <v>0.79252991576861087</v>
      </c>
      <c r="I122" s="10" t="str">
        <f>IF(I121=".", ".", IF('Summary, PPI''s'!Y122=".",IF(OR('Summary, hourly ad costs'!Y122=-9999,'Summary, hourly ad costs'!Y122=0), ".", 'Predicted PPIs'!I121*('Summary, hourly ad costs'!I122/'Summary, hourly ad costs'!Y122)/('Summary, hourly ad costs'!I121/'Summary, hourly ad costs'!Y121)), 'Summary, PPI''s'!Y122))</f>
        <v>.</v>
      </c>
      <c r="J122" s="10" t="str">
        <f>IF(J121=".", ".", IF('Summary, PPI''s'!Z122=".",IF(OR('Summary, hourly ad costs'!Z122=-9999,'Summary, hourly ad costs'!Z122=0), ".", 'Predicted PPIs'!J121*('Summary, hourly ad costs'!J122/'Summary, hourly ad costs'!Z122)/('Summary, hourly ad costs'!J121/'Summary, hourly ad costs'!Z121)), 'Summary, PPI''s'!Z122))</f>
        <v>.</v>
      </c>
      <c r="K122" s="10" t="str">
        <f>IF(K121=".", ".", IF('Summary, PPI''s'!AA122=".",IF(OR('Summary, hourly ad costs'!AA122=-9999,'Summary, hourly ad costs'!AA122=0), ".", 'Predicted PPIs'!K121*('Summary, hourly ad costs'!K122/'Summary, hourly ad costs'!AA122)/('Summary, hourly ad costs'!K121/'Summary, hourly ad costs'!AA121)), 'Summary, PPI''s'!AA122))</f>
        <v>.</v>
      </c>
      <c r="L122" s="10" t="str">
        <f>IF(L121=".", ".", IF('Summary, PPI''s'!AB122=".",IF(OR('Summary, hourly ad costs'!AB122=-9999,'Summary, hourly ad costs'!AB122=0), ".", 'Predicted PPIs'!L121*('Summary, hourly ad costs'!L122/'Summary, hourly ad costs'!AB122)/('Summary, hourly ad costs'!L121/'Summary, hourly ad costs'!AB121)), 'Summary, PPI''s'!AB122))</f>
        <v>.</v>
      </c>
      <c r="M122" s="10" t="str">
        <f>IF(M121=".", ".", IF('Summary, PPI''s'!AC122=".",IF(OR('Summary, hourly ad costs'!AC122=-9999,'Summary, hourly ad costs'!AC122=0), ".", 'Predicted PPIs'!M121*('Summary, hourly ad costs'!M122/'Summary, hourly ad costs'!AC122)/('Summary, hourly ad costs'!M121/'Summary, hourly ad costs'!AC121)), 'Summary, PPI''s'!AC122))</f>
        <v>.</v>
      </c>
      <c r="N122" s="10" t="str">
        <f>IF(N121=".", ".", IF('Summary, PPI''s'!AD122=".",IF(OR('Summary, hourly ad costs'!AD122=-9999,'Summary, hourly ad costs'!AD122=0), ".", 'Predicted PPIs'!N121*('Summary, hourly ad costs'!N122/'Summary, hourly ad costs'!AD122)/('Summary, hourly ad costs'!N121/'Summary, hourly ad costs'!AD121)), 'Summary, PPI''s'!AD122))</f>
        <v>.</v>
      </c>
      <c r="O122" s="10" t="str">
        <f>IF(O121=".", ".", IF('Summary, PPI''s'!AE122=".",IF(OR('Summary, hourly ad costs'!AE122=-9999,'Summary, hourly ad costs'!AE122=0), ".", 'Predicted PPIs'!O121*('Summary, hourly ad costs'!O122/'Summary, hourly ad costs'!AE122)/('Summary, hourly ad costs'!O121/'Summary, hourly ad costs'!AE121)), 'Summary, PPI''s'!AE122))</f>
        <v>.</v>
      </c>
      <c r="P122" s="10" t="str">
        <f>IF(P121=".", ".", IF('Summary, PPI''s'!AF122=".",IF(OR('Summary, hourly ad costs'!AF122=-9999,'Summary, hourly ad costs'!AF122=0), ".", 'Predicted PPIs'!P121*('Summary, hourly ad costs'!P122/'Summary, hourly ad costs'!AF122)/('Summary, hourly ad costs'!P121/'Summary, hourly ad costs'!AF121)), 'Summary, PPI''s'!AF122))</f>
        <v>.</v>
      </c>
      <c r="R122" s="1">
        <f>IF(E$26=".", 0, 'Summary, PPI''s'!E122)+IF(F$26=".", 0, 'Summary, PPI''s'!F122)+IF(G$26=".", 0, 'Summary, PPI''s'!G122)+IF(H$26=".", 0, 'Summary, PPI''s'!H122)+IF(I$26=".", 0, 'Summary, PPI''s'!I122)+IF(J$26=".", 0, 'Summary, PPI''s'!J122)+IF(K$26=".", 0, 'Summary, PPI''s'!K122)+IF(L$26=".", 0, 'Summary, PPI''s'!L122)+IF(M$26=".", 0, 'Summary, PPI''s'!M122)+IF(B$26=".", 0, 'Summary, PPI''s'!B122)+IF(C$26=".", 0, 'Summary, PPI''s'!C122)+IF(D$26=".", 0, 'Summary, PPI''s'!D122)+IF(N$26=".", 0, 'Summary, PPI''s'!N122)+IF(O$26=".", 0, 'Summary, PPI''s'!O122)+IF(P$26=".", 0, 'Summary, PPI''s'!P122)</f>
        <v>354518.61283582117</v>
      </c>
      <c r="S122" s="1">
        <f>IF(E$36=".", 0, 'Summary, PPI''s'!E122)+IF(F$36=".", 0, 'Summary, PPI''s'!F122)+IF(G$36=".", 0, 'Summary, PPI''s'!G122)+IF(H$36=".", 0, 'Summary, PPI''s'!H122)+IF(I$36=".", 0, 'Summary, PPI''s'!I122)+IF(J$36=".", 0, 'Summary, PPI''s'!J122)+IF(K$36=".", 0, 'Summary, PPI''s'!K122)+IF(L$36=".", 0, 'Summary, PPI''s'!L122)+IF(M$36=".", 0, 'Summary, PPI''s'!M122)+IF(B$36=".", 0, 'Summary, PPI''s'!B122)+IF(C$36=".", 0, 'Summary, PPI''s'!C122)+IF(D$36=".", 0, 'Summary, PPI''s'!D122)+IF(N$36=".", 0, 'Summary, PPI''s'!N122)+IF(O$36=".", 0, 'Summary, PPI''s'!O122)+IF(P$36=".", 0, 'Summary, PPI''s'!P122)</f>
        <v>354518.61283582117</v>
      </c>
      <c r="T122" s="1">
        <f>IF(E$46=".", 0, 'Summary, PPI''s'!E122)+IF(F$46=".", 0, 'Summary, PPI''s'!F122)+IF(G$46=".", 0, 'Summary, PPI''s'!G122)+IF(H$46=".", 0, 'Summary, PPI''s'!H122)+IF(I$46=".", 0, 'Summary, PPI''s'!I122)+IF(J$46=".", 0, 'Summary, PPI''s'!J122)+IF(K$46=".", 0, 'Summary, PPI''s'!K122)+IF(L$46=".", 0, 'Summary, PPI''s'!L122)+IF(M$46=".", 0, 'Summary, PPI''s'!M122)+IF(B$46=".", 0, 'Summary, PPI''s'!B122)+IF(C$46=".", 0, 'Summary, PPI''s'!C122)+IF(D$46=".", 0, 'Summary, PPI''s'!D122)+IF(N$46=".", 0, 'Summary, PPI''s'!N122)+IF(O$46=".", 0, 'Summary, PPI''s'!O122)+IF(P$46=".", 0, 'Summary, PPI''s'!P122)</f>
        <v>320149.50040682452</v>
      </c>
      <c r="U122" s="1">
        <f>IF(E$60=".", 0, 'Summary, PPI''s'!E122)+IF(F$60=".", 0, 'Summary, PPI''s'!F122)+IF(G$60=".", 0, 'Summary, PPI''s'!G122)+IF(H$60=".", 0, 'Summary, PPI''s'!H122)+IF(I$60=".", 0, 'Summary, PPI''s'!I122)+IF(J$60=".", 0, 'Summary, PPI''s'!J122)+IF(K$60=".", 0, 'Summary, PPI''s'!K122)+IF(L$60=".", 0, 'Summary, PPI''s'!L122)+IF(M$60=".", 0, 'Summary, PPI''s'!M122)+IF(B$60=".", 0, 'Summary, PPI''s'!B122)+IF(C$60=".", 0, 'Summary, PPI''s'!C122)+IF(D$60=".", 0, 'Summary, PPI''s'!D122)+IF(N$60=".", 0, 'Summary, PPI''s'!N122)+IF(O$60=".", 0, 'Summary, PPI''s'!O122)+IF(P$60=".", 0, 'Summary, PPI''s'!P122)</f>
        <v>307362.48920773971</v>
      </c>
      <c r="V122" s="1">
        <f>IF(E$73=".", 0, 'Summary, PPI''s'!E122)+IF(F$73=".", 0, 'Summary, PPI''s'!F122)+IF(G$73=".", 0, 'Summary, PPI''s'!G122)+IF(H$73=".", 0, 'Summary, PPI''s'!H122)+IF(I$73=".", 0, 'Summary, PPI''s'!I122)+IF(J$73=".", 0, 'Summary, PPI''s'!J122)+IF(K$73=".", 0, 'Summary, PPI''s'!K122)+IF(L$73=".", 0, 'Summary, PPI''s'!L122)+IF(M$73=".", 0, 'Summary, PPI''s'!M122)+IF(B$73=".", 0, 'Summary, PPI''s'!B122)+IF(C$73=".", 0, 'Summary, PPI''s'!C122)+IF(D$73=".", 0, 'Summary, PPI''s'!D122)+IF(N$73=".", 0, 'Summary, PPI''s'!N122)+IF(O$73=".", 0, 'Summary, PPI''s'!O122)+IF(P$73=".", 0, 'Summary, PPI''s'!P122)</f>
        <v>216028.18977597696</v>
      </c>
      <c r="W122" s="1">
        <f>IF(E$94=".",0,'Summary, PPI''s'!E122)+IF(F$94=".",0,'Summary, PPI''s'!F122)+IF(G$94=".",0,'Summary, PPI''s'!G122)+IF(H$94=".",0,'Summary, PPI''s'!H122)+IF(I$94=".",0,'Summary, PPI''s'!I122)+IF(J$94=".",0,'Summary, PPI''s'!J122)+IF(K$94=".",0,'Summary, PPI''s'!K122)+IF(L$94=".",0,'Summary, PPI''s'!L122)+IF(M$94=".",0,'Summary, PPI''s'!M122)+IF(B$94=".",0,'Summary, PPI''s'!B122)+IF(C$94=".",0,'Summary, PPI''s'!C122)+IF(D$94=".",0,'Summary, PPI''s'!D122)+IF(N$94=".",0,'Summary, PPI''s'!N122)+IF(O$94=".",0,'Summary, PPI''s'!O122)+IF(P$94=".",0,'Summary, PPI''s'!P122)</f>
        <v>216028.18977597696</v>
      </c>
      <c r="X122" s="1">
        <f>IF(E$123=".", 0, 'Summary, PPI''s'!E122)+IF(F$123=".", 0, 'Summary, PPI''s'!F122)+IF(G$123=".", 0, 'Summary, PPI''s'!G122)+IF(H$123=".", 0, 'Summary, PPI''s'!H122)+IF(I$123=".", 0, 'Summary, PPI''s'!I122)+IF(J$123=".", 0, 'Summary, PPI''s'!J122)+IF(K$123=".", 0, 'Summary, PPI''s'!K122)+IF(L$123=".", 0, 'Summary, PPI''s'!L122)+IF(M$123=".", 0, 'Summary, PPI''s'!M122)+IF(B$123=".", 0, 'Summary, PPI''s'!B122)+IF(C$123=".", 0, 'Summary, PPI''s'!C122)+IF(D$123=".", 0, 'Summary, PPI''s'!D122)+IF(N$123=".", 0, 'Summary, PPI''s'!N122)+IF(O$123=".", 0, 'Summary, PPI''s'!O122)+IF(P$123=".", 0, 'Summary, PPI''s'!P122)</f>
        <v>216028.18977597696</v>
      </c>
      <c r="Z122" s="4" t="e">
        <f>Z121*IF(E$26=".", 1, (E122/E121)^(('Summary, PPI''s'!$E122+'Summary, PPI''s'!$E121)/('Predicted PPIs'!R122+'Predicted PPIs'!R121)))*IF(F$26=".", 1, (F122/F121)^(('Summary, PPI''s'!$F122+'Summary, PPI''s'!$F121)/('Predicted PPIs'!R122+'Predicted PPIs'!R121)))*IF(G$26=".", 1, (G122/G121)^(('Summary, PPI''s'!$G122+'Summary, PPI''s'!$G121)/('Predicted PPIs'!R122+'Predicted PPIs'!R121)))*IF(H$26=".", 1, (H122/H121)^(('Summary, PPI''s'!$H122+'Summary, PPI''s'!$H121)/('Predicted PPIs'!R122+'Predicted PPIs'!R121)))*IF(I$26=".", 1, (I122/I121)^(('Summary, PPI''s'!$I122+'Summary, PPI''s'!$I121)/('Predicted PPIs'!R122+'Predicted PPIs'!R121)))*IF(J$26=".", 1, (J122/J121)^(('Summary, PPI''s'!$J122+'Summary, PPI''s'!$J121)/('Predicted PPIs'!R122+'Predicted PPIs'!R121)))*IF(K$26=".", 1, (K122/K121)^(('Summary, PPI''s'!$K122+'Summary, PPI''s'!$K121)/('Predicted PPIs'!R122+'Predicted PPIs'!R121)))*IF(L$26=".", 1, (L122/L121)^(('Summary, PPI''s'!$L122+'Summary, PPI''s'!$L121)/('Predicted PPIs'!R122+'Predicted PPIs'!R121)))*IF(M$26=".", 1, (M122/M121)^(('Summary, PPI''s'!$M122+'Summary, PPI''s'!$M121)/('Predicted PPIs'!R122+'Predicted PPIs'!R121)))*IF(B$26=".", 1, (B122/B121)^(('Summary, PPI''s'!$B122+'Summary, PPI''s'!$B121)/('Predicted PPIs'!R122+'Predicted PPIs'!R121)))*IF(C$26=".", 1, (C122/C121)^(('Summary, PPI''s'!$C122+'Summary, PPI''s'!$C121)/('Predicted PPIs'!R122+'Predicted PPIs'!R121)))*IF(D$26=".", 1, (D122/D121)^(('Summary, PPI''s'!$D122+'Summary, PPI''s'!$D121)/('Predicted PPIs'!R122+'Predicted PPIs'!R121)))*IF(N$26=".", 1, (N122/N121)^(('Summary, PPI''s'!$N122+'Summary, PPI''s'!$N121)/('Predicted PPIs'!R122+'Predicted PPIs'!R121)))*IF(O$26=".", 1, (O122/O121)^(('Summary, PPI''s'!$O122+'Summary, PPI''s'!$O121)/('Predicted PPIs'!R122+'Predicted PPIs'!R121)))*IF(P$26=".", 1, (P122/P121)^(('Summary, PPI''s'!$P122+'Summary, PPI''s'!$P121)/('Predicted PPIs'!R122+'Predicted PPIs'!R121)))</f>
        <v>#VALUE!</v>
      </c>
      <c r="AA122" s="4" t="e">
        <f>AA121*IF(E$36=".", 1, (E122/E121)^(('Summary, PPI''s'!$E122+'Summary, PPI''s'!$E121)/('Predicted PPIs'!S122+'Predicted PPIs'!S121)))*IF(F$36=".", 1, (F122/F121)^(('Summary, PPI''s'!$F122+'Summary, PPI''s'!$F121)/('Predicted PPIs'!S122+'Predicted PPIs'!S121)))*IF(G$36=".", 1, (G122/G121)^(('Summary, PPI''s'!$G122+'Summary, PPI''s'!$G121)/('Predicted PPIs'!S122+'Predicted PPIs'!S121)))*IF(H$36=".", 1, (H122/H121)^(('Summary, PPI''s'!$H122+'Summary, PPI''s'!$H121)/('Predicted PPIs'!S122+'Predicted PPIs'!S121)))*IF(I$36=".", 1, (I122/I121)^(('Summary, PPI''s'!$I122+'Summary, PPI''s'!$I121)/('Predicted PPIs'!S122+'Predicted PPIs'!S121)))*IF(J$36=".", 1, (J122/J121)^(('Summary, PPI''s'!$J122+'Summary, PPI''s'!$J121)/('Predicted PPIs'!S122+'Predicted PPIs'!S121)))*IF(K$36=".", 1, (K122/K121)^(('Summary, PPI''s'!$K122+'Summary, PPI''s'!$K121)/('Predicted PPIs'!S122+'Predicted PPIs'!S121)))*IF(L$36=".", 1, (L122/L121)^(('Summary, PPI''s'!$L122+'Summary, PPI''s'!$L121)/('Predicted PPIs'!S122+'Predicted PPIs'!S121)))*IF(M$36=".", 1, (M122/M121)^(('Summary, PPI''s'!$M122+'Summary, PPI''s'!$M121)/('Predicted PPIs'!S122+'Predicted PPIs'!S121)))*IF(B$36=".", 1, (B122/B121)^(('Summary, PPI''s'!$B122+'Summary, PPI''s'!$B121)/('Predicted PPIs'!S122+'Predicted PPIs'!S121)))*IF(C$36=".", 1, (C122/C121)^(('Summary, PPI''s'!$C122+'Summary, PPI''s'!$C121)/('Predicted PPIs'!S122+'Predicted PPIs'!S121)))*IF(D$36=".", 1, (D122/D121)^(('Summary, PPI''s'!$D122+'Summary, PPI''s'!$D121)/('Predicted PPIs'!S122+'Predicted PPIs'!S121)))*IF(N$36=".", 1, (N122/N121)^(('Summary, PPI''s'!$N122+'Summary, PPI''s'!$N121)/('Predicted PPIs'!S122+'Predicted PPIs'!S121)))*IF(O$36=".", 1, (O122/O121)^(('Summary, PPI''s'!$O122+'Summary, PPI''s'!$O121)/('Predicted PPIs'!S122+'Predicted PPIs'!S121)))*IF(P$36=".", 1, (P122/P121)^(('Summary, PPI''s'!$P122+'Summary, PPI''s'!$P121)/('Predicted PPIs'!S122+'Predicted PPIs'!S121)))</f>
        <v>#VALUE!</v>
      </c>
      <c r="AB122" s="4" t="e">
        <f>AB121*IF(E$46=".", 1, (E122/E121)^(('Summary, PPI''s'!$E122+'Summary, PPI''s'!$E121)/('Predicted PPIs'!T122+'Predicted PPIs'!T121)))*IF(F$46=".", 1, (F122/F121)^(('Summary, PPI''s'!$F122+'Summary, PPI''s'!$F121)/('Predicted PPIs'!T122+'Predicted PPIs'!T121)))*IF(G$46=".", 1, (G122/G121)^(('Summary, PPI''s'!$G122+'Summary, PPI''s'!$G121)/('Predicted PPIs'!T122+'Predicted PPIs'!T121)))*IF(H$46=".", 1, (H122/H121)^(('Summary, PPI''s'!$H122+'Summary, PPI''s'!$H121)/('Predicted PPIs'!T122+'Predicted PPIs'!T121)))*IF(I$46=".", 1, (I122/I121)^(('Summary, PPI''s'!$I122+'Summary, PPI''s'!$I121)/('Predicted PPIs'!T122+'Predicted PPIs'!T121)))*IF(J$46=".", 1, (J122/J121)^(('Summary, PPI''s'!$J122+'Summary, PPI''s'!$J121)/('Predicted PPIs'!T122+'Predicted PPIs'!T121)))*IF(K$46=".", 1, (K122/K121)^(('Summary, PPI''s'!$K122+'Summary, PPI''s'!$K121)/('Predicted PPIs'!T122+'Predicted PPIs'!T121)))*IF(L$46=".", 1, (L122/L121)^(('Summary, PPI''s'!$L122+'Summary, PPI''s'!$L121)/('Predicted PPIs'!T122+'Predicted PPIs'!T121)))*IF(M$46=".", 1, (M122/M121)^(('Summary, PPI''s'!$M122+'Summary, PPI''s'!$M121)/('Predicted PPIs'!T122+'Predicted PPIs'!T121)))*IF(B$46=".", 1, (B122/B121)^(('Summary, PPI''s'!$B122+'Summary, PPI''s'!$B121)/('Predicted PPIs'!T122+'Predicted PPIs'!T121)))*IF(C$46=".", 1, (C122/C121)^(('Summary, PPI''s'!$C122+'Summary, PPI''s'!$C121)/('Predicted PPIs'!T122+'Predicted PPIs'!T121)))*IF(D$46=".", 1, (D122/D121)^(('Summary, PPI''s'!$D122+'Summary, PPI''s'!$D121)/('Predicted PPIs'!T122+'Predicted PPIs'!T121)))*IF(N$46=".", 1, (N122/N121)^(('Summary, PPI''s'!$N122+'Summary, PPI''s'!$N121)/('Predicted PPIs'!T122+'Predicted PPIs'!T121)))*IF(O$46=".", 1, (O122/O121)^(('Summary, PPI''s'!$O122+'Summary, PPI''s'!$O121)/('Predicted PPIs'!T122+'Predicted PPIs'!T121)))*IF(P$46=".", 1, (P122/P121)^(('Summary, PPI''s'!$P122+'Summary, PPI''s'!$P121)/('Predicted PPIs'!T122+'Predicted PPIs'!T121)))</f>
        <v>#VALUE!</v>
      </c>
      <c r="AC122" s="4" t="e">
        <f>AC121*IF(E$60=".",1,(E122/E121)^(('Summary, PPI''s'!$E122+'Summary, PPI''s'!$E121)/('Predicted PPIs'!U122+'Predicted PPIs'!U121)))*IF(F$60=".",1,(F122/F121)^(('Summary, PPI''s'!$F122+'Summary, PPI''s'!$F121)/('Predicted PPIs'!U122+'Predicted PPIs'!U121)))*IF(G$60=".",1,(G122/G121)^(('Summary, PPI''s'!$G122+'Summary, PPI''s'!$G121)/('Predicted PPIs'!U122+'Predicted PPIs'!U121)))*IF(H$60=".",1,(H122/H121)^(('Summary, PPI''s'!$H122+'Summary, PPI''s'!$H121)/('Predicted PPIs'!U122+'Predicted PPIs'!U121)))*IF(I$60=".",1,(I122/I121)^(('Summary, PPI''s'!$I122+'Summary, PPI''s'!$I121)/('Predicted PPIs'!U122+'Predicted PPIs'!U121)))*IF(J$60=".",1,(J122/J121)^(('Summary, PPI''s'!$J122+'Summary, PPI''s'!$J121)/('Predicted PPIs'!U122+'Predicted PPIs'!U121)))*IF(K$60=".",1,(K122/K121)^(('Summary, PPI''s'!$K122+'Summary, PPI''s'!$K121)/('Predicted PPIs'!U122+'Predicted PPIs'!U121)))*IF(L$60=".",1,(L122/L121)^(('Summary, PPI''s'!$L122+'Summary, PPI''s'!$L121)/('Predicted PPIs'!U122+'Predicted PPIs'!U121)))*IF(M$60=".",1,(M122/M121)^(('Summary, PPI''s'!$M122+'Summary, PPI''s'!$M121)/('Predicted PPIs'!U122+'Predicted PPIs'!U121)))*IF(B$60=".",1,(B122/B121)^(('Summary, PPI''s'!$B122+'Summary, PPI''s'!$B121)/('Predicted PPIs'!U122+'Predicted PPIs'!U121)))*IF(C$60=".",1,(C122/C121)^(('Summary, PPI''s'!$C122+'Summary, PPI''s'!$C121)/('Predicted PPIs'!U122+'Predicted PPIs'!U121)))*IF(D$60=".",1,(D122/D121)^(('Summary, PPI''s'!$D122+'Summary, PPI''s'!$D121)/('Predicted PPIs'!U122+'Predicted PPIs'!U121)))*IF(N$60=".",1,(N122/N121)^(('Summary, PPI''s'!$N122+'Summary, PPI''s'!$N121)/('Predicted PPIs'!U122+'Predicted PPIs'!U121)))*IF(O$60=".",1,(O122/O121)^(('Summary, PPI''s'!$O122+'Summary, PPI''s'!$O121)/('Predicted PPIs'!U122+'Predicted PPIs'!U121)))*IF(P$60=".",1,(P122/P121)^(('Summary, PPI''s'!$P122+'Summary, PPI''s'!$P121)/('Predicted PPIs'!U122+'Predicted PPIs'!U121)))</f>
        <v>#VALUE!</v>
      </c>
      <c r="AD122" s="4" t="e">
        <f>AD121*IF(E$73=".", 1, (E122/E121)^(('Summary, PPI''s'!$E122+'Summary, PPI''s'!$E121)/('Predicted PPIs'!V122+'Predicted PPIs'!V121)))*IF(F$73=".", 1, (F122/F121)^(('Summary, PPI''s'!$F122+'Summary, PPI''s'!$F121)/('Predicted PPIs'!V122+'Predicted PPIs'!V121)))*IF(G$73=".", 1, (G122/G121)^(('Summary, PPI''s'!$G122+'Summary, PPI''s'!$G121)/('Predicted PPIs'!V122+'Predicted PPIs'!V121)))*IF(H$73=".", 1, (H122/H121)^(('Summary, PPI''s'!$H122+'Summary, PPI''s'!$H121)/('Predicted PPIs'!V122+'Predicted PPIs'!V121)))*IF(I$73=".", 1, (I122/I121)^(('Summary, PPI''s'!$I122+'Summary, PPI''s'!$I121)/('Predicted PPIs'!V122+'Predicted PPIs'!V121)))*IF(J$73=".", 1, (J122/J121)^(('Summary, PPI''s'!$J122+'Summary, PPI''s'!$J121)/('Predicted PPIs'!V122+'Predicted PPIs'!V121)))*IF(K$73=".", 1, (K122/K121)^(('Summary, PPI''s'!$K122+'Summary, PPI''s'!$K121)/('Predicted PPIs'!V122+'Predicted PPIs'!V121)))*IF(L$73=".", 1, (L122/L121)^(('Summary, PPI''s'!$L122+'Summary, PPI''s'!$L121)/('Predicted PPIs'!V122+'Predicted PPIs'!V121)))*IF(M$73=".", 1, (M122/M121)^(('Summary, PPI''s'!$M122+'Summary, PPI''s'!$M121)/('Predicted PPIs'!V122+'Predicted PPIs'!V121)))*IF(B$73=".", 1, (B122/B121)^(('Summary, PPI''s'!$B122+'Summary, PPI''s'!$B121)/('Predicted PPIs'!V122+'Predicted PPIs'!V121)))*IF(C$73=".", 1, (C122/C121)^(('Summary, PPI''s'!$C122+'Summary, PPI''s'!$C121)/('Predicted PPIs'!V122+'Predicted PPIs'!V121)))*IF(D$73=".", 1, (D122/D121)^(('Summary, PPI''s'!$D122+'Summary, PPI''s'!$D121)/('Predicted PPIs'!V122+'Predicted PPIs'!V121)))*IF(N$73=".", 1, (N122/N121)^(('Summary, PPI''s'!$N122+'Summary, PPI''s'!$N121)/('Predicted PPIs'!V122+'Predicted PPIs'!V121)))*IF(O$73=".", 1, (O122/O121)^(('Summary, PPI''s'!$O122+'Summary, PPI''s'!$O121)/('Predicted PPIs'!V122+'Predicted PPIs'!V121)))*IF(P$73=".", 1, (P122/P121)^(('Summary, PPI''s'!$P122+'Summary, PPI''s'!$P121)/('Predicted PPIs'!V122+'Predicted PPIs'!V121)))</f>
        <v>#VALUE!</v>
      </c>
      <c r="AE122" s="4" t="e">
        <f>AE121*IF(E$94=".", 1, (E122/E121)^(('Summary, PPI''s'!$E122+'Summary, PPI''s'!$E121)/('Predicted PPIs'!W122+'Predicted PPIs'!W121)))*IF(F$94=".", 1, (F122/F121)^(('Summary, PPI''s'!$F122+'Summary, PPI''s'!$F121)/('Predicted PPIs'!W122+'Predicted PPIs'!W121)))*IF(G$94=".", 1, (G122/G121)^(('Summary, PPI''s'!$G122+'Summary, PPI''s'!$G121)/('Predicted PPIs'!W122+'Predicted PPIs'!W121)))*IF(H$94=".", 1, (H122/H121)^(('Summary, PPI''s'!$H122+'Summary, PPI''s'!$H121)/('Predicted PPIs'!W122+'Predicted PPIs'!W121)))*IF(I$94=".", 1, (I122/I121)^(('Summary, PPI''s'!$I122+'Summary, PPI''s'!$I121)/('Predicted PPIs'!W122+'Predicted PPIs'!W121)))*IF(J$94=".", 1, (J122/J121)^(('Summary, PPI''s'!$J122+'Summary, PPI''s'!$J121)/('Predicted PPIs'!W122+'Predicted PPIs'!W121)))*IF(K$94=".", 1, (K122/K121)^(('Summary, PPI''s'!$K122+'Summary, PPI''s'!$K121)/('Predicted PPIs'!W122+'Predicted PPIs'!W121)))*IF(L$94=".", 1, (L122/L121)^(('Summary, PPI''s'!$L122+'Summary, PPI''s'!$L121)/('Predicted PPIs'!W122+'Predicted PPIs'!W121)))*IF(M$94=".", 1, (M122/M121)^(('Summary, PPI''s'!$M122+'Summary, PPI''s'!$M121)/('Predicted PPIs'!W122+'Predicted PPIs'!W121)))*IF(B$94=".", 1, (B122/B121)^(('Summary, PPI''s'!$B122+'Summary, PPI''s'!$B121)/('Predicted PPIs'!W122+'Predicted PPIs'!W121)))*IF(C$94=".", 1, (C122/C121)^(('Summary, PPI''s'!$C122+'Summary, PPI''s'!$C121)/('Predicted PPIs'!W122+'Predicted PPIs'!W121)))*IF(D$94=".", 1, (D122/D121)^(('Summary, PPI''s'!$D122+'Summary, PPI''s'!$D121)/('Predicted PPIs'!W122+'Predicted PPIs'!W121)))*IF(N$94=".", 1, (N122/N121)^(('Summary, PPI''s'!$N122+'Summary, PPI''s'!$N121)/('Predicted PPIs'!W122+'Predicted PPIs'!W121)))*IF(O$94=".", 1, (O122/O121)^(('Summary, PPI''s'!$O122+'Summary, PPI''s'!$O121)/('Predicted PPIs'!W122+'Predicted PPIs'!W121)))*IF(P$94=".", 1, (P122/P121)^(('Summary, PPI''s'!$P122+'Summary, PPI''s'!$P121)/('Predicted PPIs'!W122+'Predicted PPIs'!W121)))</f>
        <v>#VALUE!</v>
      </c>
      <c r="AF122" s="4">
        <f>AF121*IF(E$123=".", 1, (E122/E121)^(('Summary, PPI''s'!$E122+'Summary, PPI''s'!$E121)/('Predicted PPIs'!X122+'Predicted PPIs'!X121)))*IF(F$123=".", 1, (F122/F121)^(('Summary, PPI''s'!$F122+'Summary, PPI''s'!$F121)/('Predicted PPIs'!X122+'Predicted PPIs'!X121)))*IF(G$123=".", 1, (G122/G121)^(('Summary, PPI''s'!$G122+'Summary, PPI''s'!$G121)/('Predicted PPIs'!X122+'Predicted PPIs'!X121)))*IF(H$123=".", 1, (H122/H121)^(('Summary, PPI''s'!$H122+'Summary, PPI''s'!$H121)/('Predicted PPIs'!X122+'Predicted PPIs'!X121)))*IF(I$123=".", 1, (I122/I121)^(('Summary, PPI''s'!$I122+'Summary, PPI''s'!$I121)/('Predicted PPIs'!X122+'Predicted PPIs'!X121)))*IF(J$123=".", 1, (J122/J121)^(('Summary, PPI''s'!$J122+'Summary, PPI''s'!$J121)/('Predicted PPIs'!X122+'Predicted PPIs'!X121)))*IF(K$123=".", 1, (K122/K121)^(('Summary, PPI''s'!$K122+'Summary, PPI''s'!$K121)/('Predicted PPIs'!X122+'Predicted PPIs'!X121)))*IF(L$123=".", 1, (L122/L121)^(('Summary, PPI''s'!$L122+'Summary, PPI''s'!$L121)/('Predicted PPIs'!X122+'Predicted PPIs'!X121)))*IF(M$123=".", 1, (M122/M121)^(('Summary, PPI''s'!$M122+'Summary, PPI''s'!$M121)/('Predicted PPIs'!X122+'Predicted PPIs'!X121)))*IF(B$123=".", 1, (B122/B121)^(('Summary, PPI''s'!$B122+'Summary, PPI''s'!$B121)/('Predicted PPIs'!X122+'Predicted PPIs'!X121)))*IF(C$123=".", 1, (C122/C121)^(('Summary, PPI''s'!$C122+'Summary, PPI''s'!$C121)/('Predicted PPIs'!X122+'Predicted PPIs'!X121)))*IF(D$123=".", 1, (D122/D121)^(('Summary, PPI''s'!$D122+'Summary, PPI''s'!$D121)/('Predicted PPIs'!X122+'Predicted PPIs'!X121)))*IF(N$123=".", 1, (N122/N121)^(('Summary, PPI''s'!$N122+'Summary, PPI''s'!$N121)/('Predicted PPIs'!X122+'Predicted PPIs'!X121)))*IF(O$123=".", 1, (O122/O121)^(('Summary, PPI''s'!$O122+'Summary, PPI''s'!$O121)/('Predicted PPIs'!X122+'Predicted PPIs'!X121)))*IF(P$123=".", 1, (P122/P121)^(('Summary, PPI''s'!$P122+'Summary, PPI''s'!$P121)/('Predicted PPIs'!X122+'Predicted PPIs'!X121)))</f>
        <v>1.9873419229554301</v>
      </c>
      <c r="AH122" s="13">
        <f t="shared" si="212"/>
        <v>2.8380373862842352</v>
      </c>
      <c r="AJ122" s="4">
        <f t="shared" si="207"/>
        <v>14.271648578544044</v>
      </c>
      <c r="AK122" s="4">
        <f t="shared" si="191"/>
        <v>-0.31585702861816456</v>
      </c>
      <c r="AL122" s="4">
        <f t="shared" si="192"/>
        <v>-1.0819901015361297</v>
      </c>
      <c r="AM122" s="4">
        <f t="shared" si="193"/>
        <v>-0.16834644899497045</v>
      </c>
      <c r="AN122" s="4">
        <f t="shared" si="176"/>
        <v>19.031803138404321</v>
      </c>
      <c r="AO122" s="4">
        <v>2.9</v>
      </c>
      <c r="AP122" s="4">
        <f t="shared" si="177"/>
        <v>-0.26828877005347601</v>
      </c>
      <c r="AQ122" s="4">
        <f t="shared" si="178"/>
        <v>-0.50718983957219244</v>
      </c>
      <c r="AR122" s="4">
        <f t="shared" si="210"/>
        <v>-9.655027928963314E-6</v>
      </c>
      <c r="AS122" s="4">
        <f t="shared" si="208"/>
        <v>-1.9846856194231162E-2</v>
      </c>
      <c r="AT122" s="4">
        <f t="shared" si="194"/>
        <v>3.7543265700483084</v>
      </c>
      <c r="AU122" s="4">
        <f t="shared" si="195"/>
        <v>6.1819574879227037</v>
      </c>
      <c r="AV122" s="4">
        <f t="shared" si="196"/>
        <v>4.8080096618357473</v>
      </c>
      <c r="AW122" s="4">
        <f t="shared" si="197"/>
        <v>2.6885275362318852</v>
      </c>
      <c r="AX122" s="4">
        <f t="shared" si="198"/>
        <v>3.5761072572049977</v>
      </c>
      <c r="AY122" s="4">
        <f t="shared" si="199"/>
        <v>4.2050396135265702</v>
      </c>
      <c r="AZ122" s="4">
        <f t="shared" si="200"/>
        <v>1.4373545893719808</v>
      </c>
      <c r="BA122" s="4">
        <f t="shared" si="201"/>
        <v>3.8936599033816406</v>
      </c>
      <c r="BB122" s="4">
        <f t="shared" si="202"/>
        <v>22.270774856066581</v>
      </c>
      <c r="BC122" s="4">
        <f t="shared" si="203"/>
        <v>3.6497256038647357</v>
      </c>
      <c r="BD122" s="5">
        <f>'[2]Ordinary Experience'!$AD$304</f>
        <v>83.6</v>
      </c>
      <c r="BE122" s="5">
        <f>'[2]Ordinary Experience'!$AC$304</f>
        <v>0.64492074567353097</v>
      </c>
      <c r="BG122" s="4">
        <f t="shared" si="172"/>
        <v>3.8864120752834843</v>
      </c>
      <c r="BI122" s="4">
        <f>BI$13*'[2]Ordinary Experience'!$D$304/'[2]Ordinary Experience'!$D$413</f>
        <v>77746762.677619338</v>
      </c>
      <c r="BJ122" s="4">
        <f>'[2]Ordinary Experience'!$E$304</f>
        <v>34.25213829215491</v>
      </c>
      <c r="BL122" s="4">
        <f t="shared" si="211"/>
        <v>19.183181145568295</v>
      </c>
      <c r="BM122" s="4">
        <f t="shared" si="153"/>
        <v>1.3840648083043305E-3</v>
      </c>
      <c r="BO122" s="4" t="str">
        <f>IF(OR('Summary, hourly ad costs'!R122=-9999,'Summary, PPI''s'!R122="."),".",(('Summary, hourly ad costs'!B122/'Summary, hourly ad costs'!R122)*100/('Summary, hourly ad costs'!B$11/'Summary, hourly ad costs'!R$11))/('Summary, PPI''s'!R122))</f>
        <v>.</v>
      </c>
      <c r="BP122" s="4" t="str">
        <f>IF(OR('Summary, hourly ad costs'!S122=-9999,'Summary, PPI''s'!S122="."),".",(('Summary, hourly ad costs'!C122/'Summary, hourly ad costs'!S122)*100/('Summary, hourly ad costs'!C$11/'Summary, hourly ad costs'!S$11))/('Summary, PPI''s'!S122))</f>
        <v>.</v>
      </c>
      <c r="BQ122" s="4" t="str">
        <f>IF(OR('Summary, hourly ad costs'!T122=-9999,'Summary, PPI''s'!T122="."),".",(('Summary, hourly ad costs'!D122/'Summary, hourly ad costs'!T122)*100/('Summary, hourly ad costs'!D$11/'Summary, hourly ad costs'!T$11))/('Summary, PPI''s'!T122))</f>
        <v>.</v>
      </c>
      <c r="BR122" s="4" t="str">
        <f>IF(OR('Summary, hourly ad costs'!U122=-9999,'Summary, PPI''s'!U122="."),".",(('Summary, hourly ad costs'!E122/'Summary, hourly ad costs'!U122)*100/('Summary, hourly ad costs'!E$11/'Summary, hourly ad costs'!U$11))/('Summary, PPI''s'!U122))</f>
        <v>.</v>
      </c>
      <c r="BS122" s="4" t="str">
        <f>IF(OR('Summary, hourly ad costs'!V122=-9999,'Summary, PPI''s'!V122="."),".",(('Summary, hourly ad costs'!F122/'Summary, hourly ad costs'!V122)*100/('Summary, hourly ad costs'!F$11/'Summary, hourly ad costs'!V$11))/('Summary, PPI''s'!V122))</f>
        <v>.</v>
      </c>
      <c r="BT122" s="4" t="str">
        <f>IF(OR('Summary, hourly ad costs'!W122=-9999,'Summary, PPI''s'!W122="."),".",(('Summary, hourly ad costs'!G122/'Summary, hourly ad costs'!W122)*100/('Summary, hourly ad costs'!G$11/'Summary, hourly ad costs'!W$11))/('Summary, PPI''s'!W122))</f>
        <v>.</v>
      </c>
      <c r="BU122" s="4" t="str">
        <f>IF(OR('Summary, hourly ad costs'!X122=-9999,'Summary, PPI''s'!X122="."),".",(('Summary, hourly ad costs'!H122/'Summary, hourly ad costs'!X122)*100/('Summary, hourly ad costs'!H$11/'Summary, hourly ad costs'!X$11))/('Summary, PPI''s'!X122))</f>
        <v>.</v>
      </c>
      <c r="BV122" s="4" t="str">
        <f>IF(OR('Summary, hourly ad costs'!Y122=-9999,'Summary, PPI''s'!Y122="."),".",(('Summary, hourly ad costs'!I122/'Summary, hourly ad costs'!Y122)*100/('Summary, hourly ad costs'!I$11/'Summary, hourly ad costs'!Y$11))/('Summary, PPI''s'!Y122))</f>
        <v>.</v>
      </c>
      <c r="BW122" s="4" t="str">
        <f>IF(OR('Summary, hourly ad costs'!Z122=-9999,'Summary, PPI''s'!Z122="."),".",(('Summary, hourly ad costs'!J122/'Summary, hourly ad costs'!Z122)*100/('Summary, hourly ad costs'!J$11/'Summary, hourly ad costs'!Z$11))/('Summary, PPI''s'!Z122))</f>
        <v>.</v>
      </c>
      <c r="BX122" s="4" t="str">
        <f>IF(OR('Summary, hourly ad costs'!AA122=-9999,'Summary, PPI''s'!AA122="."),".",(('Summary, hourly ad costs'!K122/'Summary, hourly ad costs'!AA122)*100/('Summary, hourly ad costs'!K$11/'Summary, hourly ad costs'!AA$11))/('Summary, PPI''s'!AA122))</f>
        <v>.</v>
      </c>
      <c r="BY122" s="4" t="str">
        <f>IF(OR('Summary, hourly ad costs'!AB122=-9999,'Summary, PPI''s'!AB122="."),".",(('Summary, hourly ad costs'!L122/'Summary, hourly ad costs'!AB122)*100/('Summary, hourly ad costs'!L$11/'Summary, hourly ad costs'!AB$11))/('Summary, PPI''s'!AB122))</f>
        <v>.</v>
      </c>
      <c r="BZ122" s="4" t="str">
        <f>IF(OR('Summary, hourly ad costs'!AC122=-9999,'Summary, PPI''s'!AC122="."),".",(('Summary, hourly ad costs'!M122/'Summary, hourly ad costs'!AC122)*100/('Summary, hourly ad costs'!M$11/'Summary, hourly ad costs'!AC$11))/('Summary, PPI''s'!AC122))</f>
        <v>.</v>
      </c>
      <c r="CA122" s="4" t="str">
        <f>IF(OR('Summary, hourly ad costs'!AD122=-9999,'Summary, PPI''s'!AD122="."),".",(('Summary, hourly ad costs'!N122/'Summary, hourly ad costs'!AD122)*100/('Summary, hourly ad costs'!N$11/'Summary, hourly ad costs'!AD$11))/('Summary, PPI''s'!AD122))</f>
        <v>.</v>
      </c>
      <c r="CB122" s="4" t="str">
        <f>IF(OR('Summary, hourly ad costs'!AE122=-9999,'Summary, PPI''s'!AE122="."),".",(('Summary, hourly ad costs'!O122/'Summary, hourly ad costs'!AE122)*100/('Summary, hourly ad costs'!O$11/'Summary, hourly ad costs'!AE$11))/('Summary, PPI''s'!AE122))</f>
        <v>.</v>
      </c>
      <c r="CC122" s="4" t="str">
        <f>IF(OR('Summary, hourly ad costs'!AF122=-9999,'Summary, PPI''s'!AF122="."),".",(('Summary, hourly ad costs'!P122/'Summary, hourly ad costs'!AF122)*100/('Summary, hourly ad costs'!P$11/'Summary, hourly ad costs'!AF$11))/('Summary, PPI''s'!AF122))</f>
        <v>.</v>
      </c>
      <c r="CE122" s="4">
        <f t="shared" si="183"/>
        <v>-3.0599267795341473E-2</v>
      </c>
      <c r="CF122" s="4" t="str">
        <f t="shared" si="184"/>
        <v>.</v>
      </c>
      <c r="CG122" s="4" t="str">
        <f t="shared" si="185"/>
        <v>.</v>
      </c>
      <c r="CH122" s="4">
        <f t="shared" si="145"/>
        <v>-1.9431270917561163E-2</v>
      </c>
      <c r="CI122" s="4">
        <f t="shared" si="145"/>
        <v>-2.0364505896456976E-2</v>
      </c>
      <c r="CJ122" s="4" t="str">
        <f t="shared" si="209"/>
        <v>.</v>
      </c>
      <c r="CK122" s="4">
        <f t="shared" si="149"/>
        <v>4.4596626154786686E-3</v>
      </c>
      <c r="CL122" s="4">
        <f t="shared" si="234"/>
        <v>-1.4515109478108525E-2</v>
      </c>
      <c r="CM122" s="4">
        <f t="shared" si="234"/>
        <v>1.0530344167110838E-2</v>
      </c>
      <c r="CN122" s="4">
        <f t="shared" si="204"/>
        <v>-2.9036590056580668E-2</v>
      </c>
      <c r="CO122" s="4">
        <f t="shared" si="180"/>
        <v>3.2417414326000489E-3</v>
      </c>
      <c r="CP122" s="4">
        <f t="shared" si="180"/>
        <v>0.18722553591425792</v>
      </c>
      <c r="CQ122" s="4" t="str">
        <f t="shared" si="230"/>
        <v>.</v>
      </c>
      <c r="CR122" s="4" t="str">
        <f t="shared" si="231"/>
        <v>.</v>
      </c>
      <c r="CS122" s="4" t="str">
        <f t="shared" si="232"/>
        <v>.</v>
      </c>
      <c r="CU122" s="5">
        <f>IF(CU121=".", ".", IF('Summary, PPI''s'!R122=".",IF(OR('Summary, hourly ad costs'!R122=-9999,'Summary, hourly ad costs'!R122=0), ".", 'Predicted PPIs'!CU121*('Summary, hourly ad costs'!B122/'Summary, hourly ad costs'!R122)/('Summary, hourly ad costs'!B121/'Summary, hourly ad costs'!R121)/(1-CE121)), 'Summary, PPI''s'!R122))</f>
        <v>20.905864493364867</v>
      </c>
      <c r="CV122" s="5" t="str">
        <f>IF(CV121=".", ".", IF('Summary, PPI''s'!S122=".",IF(OR('Summary, hourly ad costs'!S122=-9999,'Summary, hourly ad costs'!S122=0), ".", 'Predicted PPIs'!CV121*('Summary, hourly ad costs'!C122/'Summary, hourly ad costs'!S122)/('Summary, hourly ad costs'!C121/'Summary, hourly ad costs'!S121)/(1-CF121)), 'Summary, PPI''s'!S122))</f>
        <v>.</v>
      </c>
      <c r="CW122" s="5" t="str">
        <f>IF(CW121=".", ".", IF('Summary, PPI''s'!T122=".",IF(OR('Summary, hourly ad costs'!T122=-9999,'Summary, hourly ad costs'!T122=0), ".", 'Predicted PPIs'!CW121*('Summary, hourly ad costs'!D122/'Summary, hourly ad costs'!T122)/('Summary, hourly ad costs'!D121/'Summary, hourly ad costs'!T121)/(1-CG121)), 'Summary, PPI''s'!T122))</f>
        <v>.</v>
      </c>
      <c r="CX122" s="5">
        <f>IF(CX121=".", ".", IF('Summary, PPI''s'!U122=".",IF(OR('Summary, hourly ad costs'!U122=-9999,'Summary, hourly ad costs'!U122=0), ".", 'Predicted PPIs'!CX121*('Summary, hourly ad costs'!E122/'Summary, hourly ad costs'!U122)/('Summary, hourly ad costs'!E121/'Summary, hourly ad costs'!U121)/(1-CH121)), 'Summary, PPI''s'!U122))</f>
        <v>0.76890449984870279</v>
      </c>
      <c r="CY122" s="5">
        <f>IF(CY121=".", ".", IF('Summary, PPI''s'!V122=".",IF(OR('Summary, hourly ad costs'!V122=-9999,'Summary, hourly ad costs'!V122=0), ".", 'Predicted PPIs'!CY121*('Summary, hourly ad costs'!F122/'Summary, hourly ad costs'!V122)/('Summary, hourly ad costs'!F121/'Summary, hourly ad costs'!V121)/(1-CI121)), 'Summary, PPI''s'!V122))</f>
        <v>0.68617158718637561</v>
      </c>
      <c r="CZ122" s="5" t="str">
        <f>IF(CZ121=".", ".", IF('Summary, PPI''s'!W122=".",IF(OR('Summary, hourly ad costs'!W122=-9999,'Summary, hourly ad costs'!W122=0), ".", 'Predicted PPIs'!CZ121*('Summary, hourly ad costs'!G122/'Summary, hourly ad costs'!W122)/('Summary, hourly ad costs'!G121/'Summary, hourly ad costs'!W121)/(1-CJ121)), 'Summary, PPI''s'!W122))</f>
        <v>.</v>
      </c>
      <c r="DA122" s="5">
        <f>IF(DA121=".", ".", IF('Summary, PPI''s'!X122=".",IF(OR('Summary, hourly ad costs'!X122=-9999,'Summary, hourly ad costs'!X122=0), ".", 'Predicted PPIs'!DA121*('Summary, hourly ad costs'!H122/'Summary, hourly ad costs'!X122)/('Summary, hourly ad costs'!H121/'Summary, hourly ad costs'!X121)/(1-CK121)), 'Summary, PPI''s'!X122))</f>
        <v>0.98414190407827573</v>
      </c>
      <c r="DB122" s="5" t="str">
        <f>IF(DB121=".", ".", IF('Summary, PPI''s'!Y122=".",IF(OR('Summary, hourly ad costs'!Y122=-9999,'Summary, hourly ad costs'!Y122=0), ".", 'Predicted PPIs'!DB121*('Summary, hourly ad costs'!I122/'Summary, hourly ad costs'!Y122)/('Summary, hourly ad costs'!I121/'Summary, hourly ad costs'!Y121)/(1-CL121)), 'Summary, PPI''s'!Y122))</f>
        <v>.</v>
      </c>
      <c r="DC122" s="5" t="str">
        <f>IF(DC121=".", ".", IF('Summary, PPI''s'!Z122=".",IF(OR('Summary, hourly ad costs'!Z122=-9999,'Summary, hourly ad costs'!Z122=0), ".", 'Predicted PPIs'!DC121*('Summary, hourly ad costs'!J122/'Summary, hourly ad costs'!Z122)/('Summary, hourly ad costs'!J121/'Summary, hourly ad costs'!Z121)/(1-CM121)), 'Summary, PPI''s'!Z122))</f>
        <v>.</v>
      </c>
      <c r="DD122" s="5" t="str">
        <f>IF(DD121=".", ".", IF('Summary, PPI''s'!AA122=".",IF(OR('Summary, hourly ad costs'!AA122=-9999,'Summary, hourly ad costs'!AA122=0), ".", 'Predicted PPIs'!DD121*('Summary, hourly ad costs'!K122/'Summary, hourly ad costs'!AA122)/('Summary, hourly ad costs'!K121/'Summary, hourly ad costs'!AA121)/(1-CN121)), 'Summary, PPI''s'!AA122))</f>
        <v>.</v>
      </c>
      <c r="DE122" s="5" t="str">
        <f>IF(DE121=".", ".", IF('Summary, PPI''s'!AB122=".",IF(OR('Summary, hourly ad costs'!AB122=-9999,'Summary, hourly ad costs'!AB122=0), ".", 'Predicted PPIs'!DE121*('Summary, hourly ad costs'!L122/'Summary, hourly ad costs'!AB122)/('Summary, hourly ad costs'!L121/'Summary, hourly ad costs'!AB121)/(1-CO121)), 'Summary, PPI''s'!AB122))</f>
        <v>.</v>
      </c>
      <c r="DF122" s="5" t="str">
        <f>IF(DF121=".", ".", IF('Summary, PPI''s'!AC122=".",IF(OR('Summary, hourly ad costs'!AC122=-9999,'Summary, hourly ad costs'!AC122=0), ".", 'Predicted PPIs'!DF121*('Summary, hourly ad costs'!M122/'Summary, hourly ad costs'!AC122)/('Summary, hourly ad costs'!M121/'Summary, hourly ad costs'!AC121)/(1-CP121)), 'Summary, PPI''s'!AC122))</f>
        <v>.</v>
      </c>
      <c r="DG122" s="5" t="str">
        <f>IF(DG121=".", ".", IF('Summary, PPI''s'!AD122=".",IF(OR('Summary, hourly ad costs'!AD122=-9999,'Summary, hourly ad costs'!AD122=0), ".", 'Predicted PPIs'!DG121*('Summary, hourly ad costs'!N122/'Summary, hourly ad costs'!AD122)/('Summary, hourly ad costs'!N121/'Summary, hourly ad costs'!AD121)/(1-CQ121)), 'Summary, PPI''s'!AD122))</f>
        <v>.</v>
      </c>
      <c r="DH122" s="5" t="str">
        <f>IF(DH121=".", ".", IF('Summary, PPI''s'!AE122=".",IF(OR('Summary, hourly ad costs'!AE122=-9999,'Summary, hourly ad costs'!AE122=0), ".", 'Predicted PPIs'!DH121*('Summary, hourly ad costs'!O122/'Summary, hourly ad costs'!AE122)/('Summary, hourly ad costs'!O121/'Summary, hourly ad costs'!AE121)/(1-CR121)), 'Summary, PPI''s'!AE122))</f>
        <v>.</v>
      </c>
      <c r="DI122" s="5" t="str">
        <f>IF(DI121=".", ".", IF('Summary, PPI''s'!AF122=".",IF(OR('Summary, hourly ad costs'!AF122=-9999,'Summary, hourly ad costs'!AF122=0), ".", 'Predicted PPIs'!DI121*('Summary, hourly ad costs'!P122/'Summary, hourly ad costs'!AF122)/('Summary, hourly ad costs'!P121/'Summary, hourly ad costs'!AF121)/(1-CS121)), 'Summary, PPI''s'!AF122))</f>
        <v>.</v>
      </c>
      <c r="DK122" s="4">
        <f t="shared" si="205"/>
        <v>0.82466947368420984</v>
      </c>
      <c r="DM122" s="5">
        <f t="shared" si="186"/>
        <v>2.5219678674234469E-2</v>
      </c>
      <c r="DN122" s="4">
        <f t="shared" si="187"/>
        <v>-1.9913341541186971E-2</v>
      </c>
      <c r="DO122" s="4">
        <f t="shared" si="233"/>
        <v>-2.2834799038427687E-2</v>
      </c>
      <c r="DP122" s="5">
        <f t="shared" si="188"/>
        <v>2.2712504339151396E-2</v>
      </c>
      <c r="DQ122" s="5">
        <f t="shared" si="189"/>
        <v>4.4455082409824875E-2</v>
      </c>
      <c r="DR122" s="4">
        <f t="shared" si="146"/>
        <v>-1.1096821835215102E-2</v>
      </c>
      <c r="DS122" s="5">
        <f t="shared" si="190"/>
        <v>-5.9218434620155191E-3</v>
      </c>
      <c r="DT122" s="4">
        <f t="shared" si="206"/>
        <v>9.6406272672503058E-3</v>
      </c>
      <c r="DU122" s="4">
        <f t="shared" si="171"/>
        <v>-3.0645931791595197E-2</v>
      </c>
      <c r="DV122" s="4">
        <f t="shared" si="235"/>
        <v>8.0038125918459823E-4</v>
      </c>
      <c r="DW122" s="4">
        <f t="shared" si="182"/>
        <v>-2.2032230758505047E-2</v>
      </c>
      <c r="DX122" s="4">
        <f t="shared" si="182"/>
        <v>-0.13500477105446962</v>
      </c>
      <c r="DY122" s="4">
        <f t="shared" si="228"/>
        <v>-1.9998505734704759E-2</v>
      </c>
      <c r="DZ122" s="4">
        <f t="shared" si="236"/>
        <v>-1.360682319781265E-2</v>
      </c>
      <c r="EA122" s="4">
        <f t="shared" si="229"/>
        <v>-1.1881458105686672E-2</v>
      </c>
      <c r="EC122" s="1">
        <f t="shared" si="213"/>
        <v>20.905864493364867</v>
      </c>
      <c r="ED122" s="1">
        <f t="shared" si="214"/>
        <v>0.66651200287037315</v>
      </c>
      <c r="EE122" s="1">
        <f t="shared" si="215"/>
        <v>0.36309863813925219</v>
      </c>
      <c r="EF122" s="1">
        <f t="shared" si="216"/>
        <v>0.76890449984870279</v>
      </c>
      <c r="EG122" s="1">
        <f t="shared" si="217"/>
        <v>0.68617158718637561</v>
      </c>
      <c r="EH122" s="1">
        <f t="shared" si="218"/>
        <v>0.61634227304143585</v>
      </c>
      <c r="EI122" s="1">
        <f t="shared" si="219"/>
        <v>0.98414190407827573</v>
      </c>
      <c r="EJ122" s="1">
        <f t="shared" si="220"/>
        <v>1.1833609258550679</v>
      </c>
      <c r="EK122" s="1">
        <f t="shared" si="221"/>
        <v>1.1649654908356033</v>
      </c>
      <c r="EL122" s="1">
        <f t="shared" si="222"/>
        <v>0.68602044436764686</v>
      </c>
      <c r="EM122" s="1">
        <f t="shared" si="223"/>
        <v>2.227670437155924E-2</v>
      </c>
      <c r="EN122" s="1">
        <f t="shared" si="224"/>
        <v>0.27847202966763757</v>
      </c>
      <c r="EO122" s="1">
        <f t="shared" si="225"/>
        <v>0.28450755842935516</v>
      </c>
      <c r="EP122" s="1">
        <f t="shared" si="226"/>
        <v>0.56040004598152438</v>
      </c>
      <c r="EQ122" s="1">
        <f t="shared" si="227"/>
        <v>0.45456047879724942</v>
      </c>
      <c r="ES122" s="1">
        <f>IF(EF$26=".", 0, 'Summary, PPI''s'!E122)+IF(EG$26=".", 0, 'Summary, PPI''s'!F122)+IF(EH$26=".", 0, 'Summary, PPI''s'!G122)+IF(EI$26=".", 0, 'Summary, PPI''s'!H122)+IF(EJ$26=".", 0, 'Summary, PPI''s'!I122)+IF(EK$26=".", 0, 'Summary, PPI''s'!J122)+IF(EL$26=".", 0, 'Summary, PPI''s'!K122)+IF(EM$26=".", 0, 'Summary, PPI''s'!L122)+IF(EN$26=".", 0, 'Summary, PPI''s'!M122)+IF(EC$26=".", 0, 'Summary, PPI''s'!B122)+IF(ED$26=".", 0, 'Summary, PPI''s'!C122)+IF(EE$26=".", 0, 'Summary, PPI''s'!D122)+IF(EO$26=".", 0, 'Summary, PPI''s'!N122)+IF(EP$26=".", 0, 'Summary, PPI''s'!O122)+IF(EQ$26=".", 0, 'Summary, PPI''s'!P122)</f>
        <v>354518.61283582117</v>
      </c>
      <c r="ET122" s="1">
        <f>'Summary, hourly ad costs'!E122+'Summary, hourly ad costs'!F122+'Summary, hourly ad costs'!H122+'Summary, hourly ad costs'!I122+'Summary, hourly ad costs'!J122+'Summary, hourly ad costs'!K122+'Summary, hourly ad costs'!L122+'Summary, hourly ad costs'!M122+'Summary, hourly ad costs'!B122</f>
        <v>216028.18977597696</v>
      </c>
      <c r="EV122" s="13">
        <f>EV121*IF(EF$26=".", 1, (EF122/EF121)^(('Summary, PPI''s'!$E122+'Summary, PPI''s'!$E121)/('Predicted PPIs'!ES122+'Predicted PPIs'!ES121)))*IF(EG$26=".", 1, (EG122/EG121)^(('Summary, PPI''s'!$F122+'Summary, PPI''s'!$F121)/('Predicted PPIs'!ES122+'Predicted PPIs'!ES121)))*IF(EH$26=".", 1, (EH122/EH121)^(('Summary, PPI''s'!$G122+'Summary, PPI''s'!$G121)/('Predicted PPIs'!ES122+'Predicted PPIs'!ES121)))*IF(EI$26=".", 1, (EI122/EI121)^(('Summary, PPI''s'!$H122+'Summary, PPI''s'!$H121)/('Predicted PPIs'!ES122+'Predicted PPIs'!ES121)))*IF(EJ$26=".", 1, (EJ122/EJ121)^(('Summary, PPI''s'!$I122+'Summary, PPI''s'!$I121)/('Predicted PPIs'!ES122+'Predicted PPIs'!ES121)))*IF(EK$26=".", 1, (EK122/EK121)^(('Summary, PPI''s'!$J122+'Summary, PPI''s'!$J121)/('Predicted PPIs'!ES122+'Predicted PPIs'!ES121)))*IF(EL$26=".", 1, (EL122/EL121)^(('Summary, PPI''s'!$K122+'Summary, PPI''s'!$K121)/('Predicted PPIs'!ES122+'Predicted PPIs'!ES121)))*IF(EM$26=".", 1, (EM122/EM121)^(('Summary, PPI''s'!$L122+'Summary, PPI''s'!$L121)/('Predicted PPIs'!ES122+'Predicted PPIs'!ES121)))*IF(EN$26=".", 1, (EN122/EN121)^(('Summary, PPI''s'!$M122+'Summary, PPI''s'!$M121)/('Predicted PPIs'!ES122+'Predicted PPIs'!ES121)))*IF(EC$26=".", 1, (EC122/EC121)^(('Summary, PPI''s'!$B122+'Summary, PPI''s'!$B121)/('Predicted PPIs'!ES122+'Predicted PPIs'!ES121)))*IF(ED$26=".", 1, (ED122/ED121)^(('Summary, PPI''s'!$C122+'Summary, PPI''s'!$C121)/('Predicted PPIs'!ES122+'Predicted PPIs'!ES121)))*IF(EE$26=".", 1, (EE122/EE121)^(('Summary, PPI''s'!$D122+'Summary, PPI''s'!$D121)/('Predicted PPIs'!ES122+'Predicted PPIs'!ES121)))*IF(EO$26=".", 1, (EO122/EO121)^(('Summary, PPI''s'!$N122+'Summary, PPI''s'!$N121)/('Predicted PPIs'!ES122+'Predicted PPIs'!ES121)))*IF(EP$26=".", 1, (EP122/EP121)^(('Summary, PPI''s'!$O122+'Summary, PPI''s'!$O121)/('Predicted PPIs'!ES122+'Predicted PPIs'!ES121)))*IF(EQ$26=".", 1, (EQ122/EQ121)^(('Summary, PPI''s'!$P122+'Summary, PPI''s'!$P121)/('Predicted PPIs'!ES122+'Predicted PPIs'!ES121)))</f>
        <v>1.1816006898016584</v>
      </c>
      <c r="EW122" s="13">
        <f>EW121*IF(EF$26=".", 1, (EF122/EF121)^(('Summary, PPI''s'!$E122+'Summary, PPI''s'!$E121)/('Predicted PPIs'!ET122+'Predicted PPIs'!ET121)))*IF(EG$26=".", 1, (EG122/EG121)^(('Summary, PPI''s'!$F122+'Summary, PPI''s'!$F121)/('Predicted PPIs'!ET122+'Predicted PPIs'!ET121)))*IF(EH$26=".", 1, (EH122/EH121)^(('Summary, PPI''s'!$G122+'Summary, PPI''s'!$G121)/('Predicted PPIs'!ET122+'Predicted PPIs'!ET121)))*IF(EK$26=".", 1, (EK122/EK121)^(('Summary, PPI''s'!$J122+'Summary, PPI''s'!$J121)/('Predicted PPIs'!ET122+'Predicted PPIs'!ET121)))*IF(EL$26=".", 1, (EL122/EL121)^(('Summary, PPI''s'!$K122+'Summary, PPI''s'!$K121)/('Predicted PPIs'!ET122+'Predicted PPIs'!ET121)))*IF(EM$26=".", 1, (EM122/EM121)^(('Summary, PPI''s'!$L122+'Summary, PPI''s'!$L121)/('Predicted PPIs'!ET122+'Predicted PPIs'!ET121)))*IF(EN$26=".", 1, (EN122/EN121)^(('Summary, PPI''s'!$M122+'Summary, PPI''s'!$M121)/('Predicted PPIs'!ET122+'Predicted PPIs'!ET121)))*IF(EC$26=".", 1, (EC122/EC121)^(('Summary, PPI''s'!$B122+'Summary, PPI''s'!$B121)/('Predicted PPIs'!ET122+'Predicted PPIs'!ET121)))</f>
        <v>2.8231697875997872</v>
      </c>
      <c r="EY122" s="2"/>
    </row>
    <row r="123" spans="1:155" x14ac:dyDescent="0.3">
      <c r="A123" s="4">
        <v>1900</v>
      </c>
      <c r="B123" s="10">
        <f>IF(B122=".", ".", IF('Summary, PPI''s'!R123=".",IF(OR('Summary, hourly ad costs'!R123=-9999,'Summary, hourly ad costs'!R123=0), ".", 'Predicted PPIs'!B122*('Summary, hourly ad costs'!B123/'Summary, hourly ad costs'!R123)/('Summary, hourly ad costs'!B122/'Summary, hourly ad costs'!R122)), 'Summary, PPI''s'!R123))</f>
        <v>56.334048787878302</v>
      </c>
      <c r="C123" s="10" t="str">
        <f>IF(C122=".", ".", IF('Summary, PPI''s'!S123=".",IF(OR('Summary, hourly ad costs'!S123=-9999,'Summary, hourly ad costs'!S123=0), ".", 'Predicted PPIs'!C122*('Summary, hourly ad costs'!C123/'Summary, hourly ad costs'!S123)/('Summary, hourly ad costs'!C122/'Summary, hourly ad costs'!S122)), 'Summary, PPI''s'!S123))</f>
        <v>.</v>
      </c>
      <c r="D123" s="10" t="str">
        <f>IF(D122=".", ".", IF('Summary, PPI''s'!T123=".",IF(OR('Summary, hourly ad costs'!T123=-9999,'Summary, hourly ad costs'!T123=0), ".", 'Predicted PPIs'!D122*('Summary, hourly ad costs'!D123/'Summary, hourly ad costs'!T123)/('Summary, hourly ad costs'!D122/'Summary, hourly ad costs'!T122)), 'Summary, PPI''s'!T123))</f>
        <v>.</v>
      </c>
      <c r="E123" s="10">
        <f>IF(E122=".", ".", IF('Summary, PPI''s'!U123=".",IF(OR('Summary, hourly ad costs'!U123=-9999,'Summary, hourly ad costs'!U123=0), ".", 'Predicted PPIs'!E122*('Summary, hourly ad costs'!E123/'Summary, hourly ad costs'!U123)/('Summary, hourly ad costs'!E122/'Summary, hourly ad costs'!U122)), 'Summary, PPI''s'!U123))</f>
        <v>0.72366745293538015</v>
      </c>
      <c r="F123" s="10">
        <f>IF(F122=".", ".", IF('Summary, PPI''s'!V123=".",IF(OR('Summary, hourly ad costs'!V123=-9999,'Summary, hourly ad costs'!V123=0), ".", 'Predicted PPIs'!F122*('Summary, hourly ad costs'!F123/'Summary, hourly ad costs'!V123)/('Summary, hourly ad costs'!F122/'Summary, hourly ad costs'!V122)), 'Summary, PPI''s'!V123))</f>
        <v>0.55398388427495182</v>
      </c>
      <c r="G123" s="10" t="str">
        <f>IF(G122=".", ".", IF('Summary, PPI''s'!W123=".",IF(OR('Summary, hourly ad costs'!W123=-9999,'Summary, hourly ad costs'!W123=0), ".", 'Predicted PPIs'!G122*('Summary, hourly ad costs'!G123/'Summary, hourly ad costs'!W123)/('Summary, hourly ad costs'!G122/'Summary, hourly ad costs'!W122)), 'Summary, PPI''s'!W123))</f>
        <v>.</v>
      </c>
      <c r="H123" s="10">
        <f>IF(H122=".", ".", IF('Summary, PPI''s'!X123=".",IF(OR('Summary, hourly ad costs'!X123=-9999,'Summary, hourly ad costs'!X123=0), ".", 'Predicted PPIs'!H122*('Summary, hourly ad costs'!H123/'Summary, hourly ad costs'!X123)/('Summary, hourly ad costs'!H122/'Summary, hourly ad costs'!X122)), 'Summary, PPI''s'!X123))</f>
        <v>0.75745383097980878</v>
      </c>
      <c r="I123" s="10" t="str">
        <f>IF(I122=".", ".", IF('Summary, PPI''s'!Y123=".",IF(OR('Summary, hourly ad costs'!Y123=-9999,'Summary, hourly ad costs'!Y123=0), ".", 'Predicted PPIs'!I122*('Summary, hourly ad costs'!I123/'Summary, hourly ad costs'!Y123)/('Summary, hourly ad costs'!I122/'Summary, hourly ad costs'!Y122)), 'Summary, PPI''s'!Y123))</f>
        <v>.</v>
      </c>
      <c r="J123" s="10" t="str">
        <f>IF(J122=".", ".", IF('Summary, PPI''s'!Z123=".",IF(OR('Summary, hourly ad costs'!Z123=-9999,'Summary, hourly ad costs'!Z123=0), ".", 'Predicted PPIs'!J122*('Summary, hourly ad costs'!J123/'Summary, hourly ad costs'!Z123)/('Summary, hourly ad costs'!J122/'Summary, hourly ad costs'!Z122)), 'Summary, PPI''s'!Z123))</f>
        <v>.</v>
      </c>
      <c r="K123" s="10" t="str">
        <f>IF(K122=".", ".", IF('Summary, PPI''s'!AA123=".",IF(OR('Summary, hourly ad costs'!AA123=-9999,'Summary, hourly ad costs'!AA123=0), ".", 'Predicted PPIs'!K122*('Summary, hourly ad costs'!K123/'Summary, hourly ad costs'!AA123)/('Summary, hourly ad costs'!K122/'Summary, hourly ad costs'!AA122)), 'Summary, PPI''s'!AA123))</f>
        <v>.</v>
      </c>
      <c r="L123" s="10" t="str">
        <f>IF(L122=".", ".", IF('Summary, PPI''s'!AB123=".",IF(OR('Summary, hourly ad costs'!AB123=-9999,'Summary, hourly ad costs'!AB123=0), ".", 'Predicted PPIs'!L122*('Summary, hourly ad costs'!L123/'Summary, hourly ad costs'!AB123)/('Summary, hourly ad costs'!L122/'Summary, hourly ad costs'!AB122)), 'Summary, PPI''s'!AB123))</f>
        <v>.</v>
      </c>
      <c r="M123" s="10" t="str">
        <f>IF(M122=".", ".", IF('Summary, PPI''s'!AC123=".",IF(OR('Summary, hourly ad costs'!AC123=-9999,'Summary, hourly ad costs'!AC123=0), ".", 'Predicted PPIs'!M122*('Summary, hourly ad costs'!M123/'Summary, hourly ad costs'!AC123)/('Summary, hourly ad costs'!M122/'Summary, hourly ad costs'!AC122)), 'Summary, PPI''s'!AC123))</f>
        <v>.</v>
      </c>
      <c r="N123" s="10" t="str">
        <f>IF(N122=".", ".", IF('Summary, PPI''s'!AD123=".",IF(OR('Summary, hourly ad costs'!AD123=-9999,'Summary, hourly ad costs'!AD123=0), ".", 'Predicted PPIs'!N122*('Summary, hourly ad costs'!N123/'Summary, hourly ad costs'!AD123)/('Summary, hourly ad costs'!N122/'Summary, hourly ad costs'!AD122)), 'Summary, PPI''s'!AD123))</f>
        <v>.</v>
      </c>
      <c r="O123" s="10" t="str">
        <f>IF(O122=".", ".", IF('Summary, PPI''s'!AE123=".",IF(OR('Summary, hourly ad costs'!AE123=-9999,'Summary, hourly ad costs'!AE123=0), ".", 'Predicted PPIs'!O122*('Summary, hourly ad costs'!O123/'Summary, hourly ad costs'!AE123)/('Summary, hourly ad costs'!O122/'Summary, hourly ad costs'!AE122)), 'Summary, PPI''s'!AE123))</f>
        <v>.</v>
      </c>
      <c r="P123" s="10" t="str">
        <f>IF(P122=".", ".", IF('Summary, PPI''s'!AF123=".",IF(OR('Summary, hourly ad costs'!AF123=-9999,'Summary, hourly ad costs'!AF123=0), ".", 'Predicted PPIs'!P122*('Summary, hourly ad costs'!P123/'Summary, hourly ad costs'!AF123)/('Summary, hourly ad costs'!P122/'Summary, hourly ad costs'!AF122)), 'Summary, PPI''s'!AF123))</f>
        <v>.</v>
      </c>
      <c r="R123" s="1">
        <f>IF(E$26=".", 0, 'Summary, PPI''s'!E123)+IF(F$26=".", 0, 'Summary, PPI''s'!F123)+IF(G$26=".", 0, 'Summary, PPI''s'!G123)+IF(H$26=".", 0, 'Summary, PPI''s'!H123)+IF(I$26=".", 0, 'Summary, PPI''s'!I123)+IF(J$26=".", 0, 'Summary, PPI''s'!J123)+IF(K$26=".", 0, 'Summary, PPI''s'!K123)+IF(L$26=".", 0, 'Summary, PPI''s'!L123)+IF(M$26=".", 0, 'Summary, PPI''s'!M123)+IF(B$26=".", 0, 'Summary, PPI''s'!B123)+IF(C$26=".", 0, 'Summary, PPI''s'!C123)+IF(D$26=".", 0, 'Summary, PPI''s'!D123)+IF(N$26=".", 0, 'Summary, PPI''s'!N123)+IF(O$26=".", 0, 'Summary, PPI''s'!O123)+IF(P$26=".", 0, 'Summary, PPI''s'!P123)</f>
        <v>319476.32110216294</v>
      </c>
      <c r="S123" s="1">
        <f>IF(E$36=".", 0, 'Summary, PPI''s'!E123)+IF(F$36=".", 0, 'Summary, PPI''s'!F123)+IF(G$36=".", 0, 'Summary, PPI''s'!G123)+IF(H$36=".", 0, 'Summary, PPI''s'!H123)+IF(I$36=".", 0, 'Summary, PPI''s'!I123)+IF(J$36=".", 0, 'Summary, PPI''s'!J123)+IF(K$36=".", 0, 'Summary, PPI''s'!K123)+IF(L$36=".", 0, 'Summary, PPI''s'!L123)+IF(M$36=".", 0, 'Summary, PPI''s'!M123)+IF(B$36=".", 0, 'Summary, PPI''s'!B123)+IF(C$36=".", 0, 'Summary, PPI''s'!C123)+IF(D$36=".", 0, 'Summary, PPI''s'!D123)+IF(N$36=".", 0, 'Summary, PPI''s'!N123)+IF(O$36=".", 0, 'Summary, PPI''s'!O123)+IF(P$36=".", 0, 'Summary, PPI''s'!P123)</f>
        <v>319476.32110216294</v>
      </c>
      <c r="T123" s="1">
        <f>IF(E$46=".", 0, 'Summary, PPI''s'!E123)+IF(F$46=".", 0, 'Summary, PPI''s'!F123)+IF(G$46=".", 0, 'Summary, PPI''s'!G123)+IF(H$46=".", 0, 'Summary, PPI''s'!H123)+IF(I$46=".", 0, 'Summary, PPI''s'!I123)+IF(J$46=".", 0, 'Summary, PPI''s'!J123)+IF(K$46=".", 0, 'Summary, PPI''s'!K123)+IF(L$46=".", 0, 'Summary, PPI''s'!L123)+IF(M$46=".", 0, 'Summary, PPI''s'!M123)+IF(B$46=".", 0, 'Summary, PPI''s'!B123)+IF(C$46=".", 0, 'Summary, PPI''s'!C123)+IF(D$46=".", 0, 'Summary, PPI''s'!D123)+IF(N$46=".", 0, 'Summary, PPI''s'!N123)+IF(O$46=".", 0, 'Summary, PPI''s'!O123)+IF(P$46=".", 0, 'Summary, PPI''s'!P123)</f>
        <v>288384.98460206419</v>
      </c>
      <c r="U123" s="1">
        <f>IF(E$60=".", 0, 'Summary, PPI''s'!E123)+IF(F$60=".", 0, 'Summary, PPI''s'!F123)+IF(G$60=".", 0, 'Summary, PPI''s'!G123)+IF(H$60=".", 0, 'Summary, PPI''s'!H123)+IF(I$60=".", 0, 'Summary, PPI''s'!I123)+IF(J$60=".", 0, 'Summary, PPI''s'!J123)+IF(K$60=".", 0, 'Summary, PPI''s'!K123)+IF(L$60=".", 0, 'Summary, PPI''s'!L123)+IF(M$60=".", 0, 'Summary, PPI''s'!M123)+IF(B$60=".", 0, 'Summary, PPI''s'!B123)+IF(C$60=".", 0, 'Summary, PPI''s'!C123)+IF(D$60=".", 0, 'Summary, PPI''s'!D123)+IF(N$60=".", 0, 'Summary, PPI''s'!N123)+IF(O$60=".", 0, 'Summary, PPI''s'!O123)+IF(P$60=".", 0, 'Summary, PPI''s'!P123)</f>
        <v>276813.51226264879</v>
      </c>
      <c r="V123" s="1">
        <f>IF(E$73=".", 0, 'Summary, PPI''s'!E123)+IF(F$73=".", 0, 'Summary, PPI''s'!F123)+IF(G$73=".", 0, 'Summary, PPI''s'!G123)+IF(H$73=".", 0, 'Summary, PPI''s'!H123)+IF(I$73=".", 0, 'Summary, PPI''s'!I123)+IF(J$73=".", 0, 'Summary, PPI''s'!J123)+IF(K$73=".", 0, 'Summary, PPI''s'!K123)+IF(L$73=".", 0, 'Summary, PPI''s'!L123)+IF(M$73=".", 0, 'Summary, PPI''s'!M123)+IF(B$73=".", 0, 'Summary, PPI''s'!B123)+IF(C$73=".", 0, 'Summary, PPI''s'!C123)+IF(D$73=".", 0, 'Summary, PPI''s'!D123)+IF(N$73=".", 0, 'Summary, PPI''s'!N123)+IF(O$73=".", 0, 'Summary, PPI''s'!O123)+IF(P$73=".", 0, 'Summary, PPI''s'!P123)</f>
        <v>194829.88890487404</v>
      </c>
      <c r="W123" s="1">
        <f>IF(E$94=".",0,'Summary, PPI''s'!E123)+IF(F$94=".",0,'Summary, PPI''s'!F123)+IF(G$94=".",0,'Summary, PPI''s'!G123)+IF(H$94=".",0,'Summary, PPI''s'!H123)+IF(I$94=".",0,'Summary, PPI''s'!I123)+IF(J$94=".",0,'Summary, PPI''s'!J123)+IF(K$94=".",0,'Summary, PPI''s'!K123)+IF(L$94=".",0,'Summary, PPI''s'!L123)+IF(M$94=".",0,'Summary, PPI''s'!M123)+IF(B$94=".",0,'Summary, PPI''s'!B123)+IF(C$94=".",0,'Summary, PPI''s'!C123)+IF(D$94=".",0,'Summary, PPI''s'!D123)+IF(N$94=".",0,'Summary, PPI''s'!N123)+IF(O$94=".",0,'Summary, PPI''s'!O123)+IF(P$94=".",0,'Summary, PPI''s'!P123)</f>
        <v>194829.88890487404</v>
      </c>
      <c r="X123" s="1">
        <f>IF(E$123=".", 0, 'Summary, PPI''s'!E123)+IF(F$123=".", 0, 'Summary, PPI''s'!F123)+IF(G$123=".", 0, 'Summary, PPI''s'!G123)+IF(H$123=".", 0, 'Summary, PPI''s'!H123)+IF(I$123=".", 0, 'Summary, PPI''s'!I123)+IF(J$123=".", 0, 'Summary, PPI''s'!J123)+IF(K$123=".", 0, 'Summary, PPI''s'!K123)+IF(L$123=".", 0, 'Summary, PPI''s'!L123)+IF(M$123=".", 0, 'Summary, PPI''s'!M123)+IF(B$123=".", 0, 'Summary, PPI''s'!B123)+IF(C$123=".", 0, 'Summary, PPI''s'!C123)+IF(D$123=".", 0, 'Summary, PPI''s'!D123)+IF(N$123=".", 0, 'Summary, PPI''s'!N123)+IF(O$123=".", 0, 'Summary, PPI''s'!O123)+IF(P$123=".", 0, 'Summary, PPI''s'!P123)</f>
        <v>194829.88890487404</v>
      </c>
      <c r="Z123" s="4" t="e">
        <f>Z122*IF(E$26=".", 1, (E123/E122)^(('Summary, PPI''s'!$E123+'Summary, PPI''s'!$E122)/('Predicted PPIs'!R123+'Predicted PPIs'!R122)))*IF(F$26=".", 1, (F123/F122)^(('Summary, PPI''s'!$F123+'Summary, PPI''s'!$F122)/('Predicted PPIs'!R123+'Predicted PPIs'!R122)))*IF(G$26=".", 1, (G123/G122)^(('Summary, PPI''s'!$G123+'Summary, PPI''s'!$G122)/('Predicted PPIs'!R123+'Predicted PPIs'!R122)))*IF(H$26=".", 1, (H123/H122)^(('Summary, PPI''s'!$H123+'Summary, PPI''s'!$H122)/('Predicted PPIs'!R123+'Predicted PPIs'!R122)))*IF(I$26=".", 1, (I123/I122)^(('Summary, PPI''s'!$I123+'Summary, PPI''s'!$I122)/('Predicted PPIs'!R123+'Predicted PPIs'!R122)))*IF(J$26=".", 1, (J123/J122)^(('Summary, PPI''s'!$J123+'Summary, PPI''s'!$J122)/('Predicted PPIs'!R123+'Predicted PPIs'!R122)))*IF(K$26=".", 1, (K123/K122)^(('Summary, PPI''s'!$K123+'Summary, PPI''s'!$K122)/('Predicted PPIs'!R123+'Predicted PPIs'!R122)))*IF(L$26=".", 1, (L123/L122)^(('Summary, PPI''s'!$L123+'Summary, PPI''s'!$L122)/('Predicted PPIs'!R123+'Predicted PPIs'!R122)))*IF(M$26=".", 1, (M123/M122)^(('Summary, PPI''s'!$M123+'Summary, PPI''s'!$M122)/('Predicted PPIs'!R123+'Predicted PPIs'!R122)))*IF(B$26=".", 1, (B123/B122)^(('Summary, PPI''s'!$B123+'Summary, PPI''s'!$B122)/('Predicted PPIs'!R123+'Predicted PPIs'!R122)))*IF(C$26=".", 1, (C123/C122)^(('Summary, PPI''s'!$C123+'Summary, PPI''s'!$C122)/('Predicted PPIs'!R123+'Predicted PPIs'!R122)))*IF(D$26=".", 1, (D123/D122)^(('Summary, PPI''s'!$D123+'Summary, PPI''s'!$D122)/('Predicted PPIs'!R123+'Predicted PPIs'!R122)))*IF(N$26=".", 1, (N123/N122)^(('Summary, PPI''s'!$N123+'Summary, PPI''s'!$N122)/('Predicted PPIs'!R123+'Predicted PPIs'!R122)))*IF(O$26=".", 1, (O123/O122)^(('Summary, PPI''s'!$O123+'Summary, PPI''s'!$O122)/('Predicted PPIs'!R123+'Predicted PPIs'!R122)))*IF(P$26=".", 1, (P123/P122)^(('Summary, PPI''s'!$P123+'Summary, PPI''s'!$P122)/('Predicted PPIs'!R123+'Predicted PPIs'!R122)))</f>
        <v>#VALUE!</v>
      </c>
      <c r="AA123" s="4" t="e">
        <f>AA122*IF(E$36=".", 1, (E123/E122)^(('Summary, PPI''s'!$E123+'Summary, PPI''s'!$E122)/('Predicted PPIs'!S123+'Predicted PPIs'!S122)))*IF(F$36=".", 1, (F123/F122)^(('Summary, PPI''s'!$F123+'Summary, PPI''s'!$F122)/('Predicted PPIs'!S123+'Predicted PPIs'!S122)))*IF(G$36=".", 1, (G123/G122)^(('Summary, PPI''s'!$G123+'Summary, PPI''s'!$G122)/('Predicted PPIs'!S123+'Predicted PPIs'!S122)))*IF(H$36=".", 1, (H123/H122)^(('Summary, PPI''s'!$H123+'Summary, PPI''s'!$H122)/('Predicted PPIs'!S123+'Predicted PPIs'!S122)))*IF(I$36=".", 1, (I123/I122)^(('Summary, PPI''s'!$I123+'Summary, PPI''s'!$I122)/('Predicted PPIs'!S123+'Predicted PPIs'!S122)))*IF(J$36=".", 1, (J123/J122)^(('Summary, PPI''s'!$J123+'Summary, PPI''s'!$J122)/('Predicted PPIs'!S123+'Predicted PPIs'!S122)))*IF(K$36=".", 1, (K123/K122)^(('Summary, PPI''s'!$K123+'Summary, PPI''s'!$K122)/('Predicted PPIs'!S123+'Predicted PPIs'!S122)))*IF(L$36=".", 1, (L123/L122)^(('Summary, PPI''s'!$L123+'Summary, PPI''s'!$L122)/('Predicted PPIs'!S123+'Predicted PPIs'!S122)))*IF(M$36=".", 1, (M123/M122)^(('Summary, PPI''s'!$M123+'Summary, PPI''s'!$M122)/('Predicted PPIs'!S123+'Predicted PPIs'!S122)))*IF(B$36=".", 1, (B123/B122)^(('Summary, PPI''s'!$B123+'Summary, PPI''s'!$B122)/('Predicted PPIs'!S123+'Predicted PPIs'!S122)))*IF(C$36=".", 1, (C123/C122)^(('Summary, PPI''s'!$C123+'Summary, PPI''s'!$C122)/('Predicted PPIs'!S123+'Predicted PPIs'!S122)))*IF(D$36=".", 1, (D123/D122)^(('Summary, PPI''s'!$D123+'Summary, PPI''s'!$D122)/('Predicted PPIs'!S123+'Predicted PPIs'!S122)))*IF(N$36=".", 1, (N123/N122)^(('Summary, PPI''s'!$N123+'Summary, PPI''s'!$N122)/('Predicted PPIs'!S123+'Predicted PPIs'!S122)))*IF(O$36=".", 1, (O123/O122)^(('Summary, PPI''s'!$O123+'Summary, PPI''s'!$O122)/('Predicted PPIs'!S123+'Predicted PPIs'!S122)))*IF(P$36=".", 1, (P123/P122)^(('Summary, PPI''s'!$P123+'Summary, PPI''s'!$P122)/('Predicted PPIs'!S123+'Predicted PPIs'!S122)))</f>
        <v>#VALUE!</v>
      </c>
      <c r="AB123" s="4" t="e">
        <f>AB122*IF(E$46=".", 1, (E123/E122)^(('Summary, PPI''s'!$E123+'Summary, PPI''s'!$E122)/('Predicted PPIs'!T123+'Predicted PPIs'!T122)))*IF(F$46=".", 1, (F123/F122)^(('Summary, PPI''s'!$F123+'Summary, PPI''s'!$F122)/('Predicted PPIs'!T123+'Predicted PPIs'!T122)))*IF(G$46=".", 1, (G123/G122)^(('Summary, PPI''s'!$G123+'Summary, PPI''s'!$G122)/('Predicted PPIs'!T123+'Predicted PPIs'!T122)))*IF(H$46=".", 1, (H123/H122)^(('Summary, PPI''s'!$H123+'Summary, PPI''s'!$H122)/('Predicted PPIs'!T123+'Predicted PPIs'!T122)))*IF(I$46=".", 1, (I123/I122)^(('Summary, PPI''s'!$I123+'Summary, PPI''s'!$I122)/('Predicted PPIs'!T123+'Predicted PPIs'!T122)))*IF(J$46=".", 1, (J123/J122)^(('Summary, PPI''s'!$J123+'Summary, PPI''s'!$J122)/('Predicted PPIs'!T123+'Predicted PPIs'!T122)))*IF(K$46=".", 1, (K123/K122)^(('Summary, PPI''s'!$K123+'Summary, PPI''s'!$K122)/('Predicted PPIs'!T123+'Predicted PPIs'!T122)))*IF(L$46=".", 1, (L123/L122)^(('Summary, PPI''s'!$L123+'Summary, PPI''s'!$L122)/('Predicted PPIs'!T123+'Predicted PPIs'!T122)))*IF(M$46=".", 1, (M123/M122)^(('Summary, PPI''s'!$M123+'Summary, PPI''s'!$M122)/('Predicted PPIs'!T123+'Predicted PPIs'!T122)))*IF(B$46=".", 1, (B123/B122)^(('Summary, PPI''s'!$B123+'Summary, PPI''s'!$B122)/('Predicted PPIs'!T123+'Predicted PPIs'!T122)))*IF(C$46=".", 1, (C123/C122)^(('Summary, PPI''s'!$C123+'Summary, PPI''s'!$C122)/('Predicted PPIs'!T123+'Predicted PPIs'!T122)))*IF(D$46=".", 1, (D123/D122)^(('Summary, PPI''s'!$D123+'Summary, PPI''s'!$D122)/('Predicted PPIs'!T123+'Predicted PPIs'!T122)))*IF(N$46=".", 1, (N123/N122)^(('Summary, PPI''s'!$N123+'Summary, PPI''s'!$N122)/('Predicted PPIs'!T123+'Predicted PPIs'!T122)))*IF(O$46=".", 1, (O123/O122)^(('Summary, PPI''s'!$O123+'Summary, PPI''s'!$O122)/('Predicted PPIs'!T123+'Predicted PPIs'!T122)))*IF(P$46=".", 1, (P123/P122)^(('Summary, PPI''s'!$P123+'Summary, PPI''s'!$P122)/('Predicted PPIs'!T123+'Predicted PPIs'!T122)))</f>
        <v>#VALUE!</v>
      </c>
      <c r="AC123" s="4" t="e">
        <f>AC122*IF(E$60=".",1,(E123/E122)^(('Summary, PPI''s'!$E123+'Summary, PPI''s'!$E122)/('Predicted PPIs'!U123+'Predicted PPIs'!U122)))*IF(F$60=".",1,(F123/F122)^(('Summary, PPI''s'!$F123+'Summary, PPI''s'!$F122)/('Predicted PPIs'!U123+'Predicted PPIs'!U122)))*IF(G$60=".",1,(G123/G122)^(('Summary, PPI''s'!$G123+'Summary, PPI''s'!$G122)/('Predicted PPIs'!U123+'Predicted PPIs'!U122)))*IF(H$60=".",1,(H123/H122)^(('Summary, PPI''s'!$H123+'Summary, PPI''s'!$H122)/('Predicted PPIs'!U123+'Predicted PPIs'!U122)))*IF(I$60=".",1,(I123/I122)^(('Summary, PPI''s'!$I123+'Summary, PPI''s'!$I122)/('Predicted PPIs'!U123+'Predicted PPIs'!U122)))*IF(J$60=".",1,(J123/J122)^(('Summary, PPI''s'!$J123+'Summary, PPI''s'!$J122)/('Predicted PPIs'!U123+'Predicted PPIs'!U122)))*IF(K$60=".",1,(K123/K122)^(('Summary, PPI''s'!$K123+'Summary, PPI''s'!$K122)/('Predicted PPIs'!U123+'Predicted PPIs'!U122)))*IF(L$60=".",1,(L123/L122)^(('Summary, PPI''s'!$L123+'Summary, PPI''s'!$L122)/('Predicted PPIs'!U123+'Predicted PPIs'!U122)))*IF(M$60=".",1,(M123/M122)^(('Summary, PPI''s'!$M123+'Summary, PPI''s'!$M122)/('Predicted PPIs'!U123+'Predicted PPIs'!U122)))*IF(B$60=".",1,(B123/B122)^(('Summary, PPI''s'!$B123+'Summary, PPI''s'!$B122)/('Predicted PPIs'!U123+'Predicted PPIs'!U122)))*IF(C$60=".",1,(C123/C122)^(('Summary, PPI''s'!$C123+'Summary, PPI''s'!$C122)/('Predicted PPIs'!U123+'Predicted PPIs'!U122)))*IF(D$60=".",1,(D123/D122)^(('Summary, PPI''s'!$D123+'Summary, PPI''s'!$D122)/('Predicted PPIs'!U123+'Predicted PPIs'!U122)))*IF(N$60=".",1,(N123/N122)^(('Summary, PPI''s'!$N123+'Summary, PPI''s'!$N122)/('Predicted PPIs'!U123+'Predicted PPIs'!U122)))*IF(O$60=".",1,(O123/O122)^(('Summary, PPI''s'!$O123+'Summary, PPI''s'!$O122)/('Predicted PPIs'!U123+'Predicted PPIs'!U122)))*IF(P$60=".",1,(P123/P122)^(('Summary, PPI''s'!$P123+'Summary, PPI''s'!$P122)/('Predicted PPIs'!U123+'Predicted PPIs'!U122)))</f>
        <v>#VALUE!</v>
      </c>
      <c r="AD123" s="4" t="e">
        <f>AD122*IF(E$73=".", 1, (E123/E122)^(('Summary, PPI''s'!$E123+'Summary, PPI''s'!$E122)/('Predicted PPIs'!V123+'Predicted PPIs'!V122)))*IF(F$73=".", 1, (F123/F122)^(('Summary, PPI''s'!$F123+'Summary, PPI''s'!$F122)/('Predicted PPIs'!V123+'Predicted PPIs'!V122)))*IF(G$73=".", 1, (G123/G122)^(('Summary, PPI''s'!$G123+'Summary, PPI''s'!$G122)/('Predicted PPIs'!V123+'Predicted PPIs'!V122)))*IF(H$73=".", 1, (H123/H122)^(('Summary, PPI''s'!$H123+'Summary, PPI''s'!$H122)/('Predicted PPIs'!V123+'Predicted PPIs'!V122)))*IF(I$73=".", 1, (I123/I122)^(('Summary, PPI''s'!$I123+'Summary, PPI''s'!$I122)/('Predicted PPIs'!V123+'Predicted PPIs'!V122)))*IF(J$73=".", 1, (J123/J122)^(('Summary, PPI''s'!$J123+'Summary, PPI''s'!$J122)/('Predicted PPIs'!V123+'Predicted PPIs'!V122)))*IF(K$73=".", 1, (K123/K122)^(('Summary, PPI''s'!$K123+'Summary, PPI''s'!$K122)/('Predicted PPIs'!V123+'Predicted PPIs'!V122)))*IF(L$73=".", 1, (L123/L122)^(('Summary, PPI''s'!$L123+'Summary, PPI''s'!$L122)/('Predicted PPIs'!V123+'Predicted PPIs'!V122)))*IF(M$73=".", 1, (M123/M122)^(('Summary, PPI''s'!$M123+'Summary, PPI''s'!$M122)/('Predicted PPIs'!V123+'Predicted PPIs'!V122)))*IF(B$73=".", 1, (B123/B122)^(('Summary, PPI''s'!$B123+'Summary, PPI''s'!$B122)/('Predicted PPIs'!V123+'Predicted PPIs'!V122)))*IF(C$73=".", 1, (C123/C122)^(('Summary, PPI''s'!$C123+'Summary, PPI''s'!$C122)/('Predicted PPIs'!V123+'Predicted PPIs'!V122)))*IF(D$73=".", 1, (D123/D122)^(('Summary, PPI''s'!$D123+'Summary, PPI''s'!$D122)/('Predicted PPIs'!V123+'Predicted PPIs'!V122)))*IF(N$73=".", 1, (N123/N122)^(('Summary, PPI''s'!$N123+'Summary, PPI''s'!$N122)/('Predicted PPIs'!V123+'Predicted PPIs'!V122)))*IF(O$73=".", 1, (O123/O122)^(('Summary, PPI''s'!$O123+'Summary, PPI''s'!$O122)/('Predicted PPIs'!V123+'Predicted PPIs'!V122)))*IF(P$73=".", 1, (P123/P122)^(('Summary, PPI''s'!$P123+'Summary, PPI''s'!$P122)/('Predicted PPIs'!V123+'Predicted PPIs'!V122)))</f>
        <v>#VALUE!</v>
      </c>
      <c r="AE123" s="4" t="e">
        <f>AE122*IF(E$94=".", 1, (E123/E122)^(('Summary, PPI''s'!$E123+'Summary, PPI''s'!$E122)/('Predicted PPIs'!W123+'Predicted PPIs'!W122)))*IF(F$94=".", 1, (F123/F122)^(('Summary, PPI''s'!$F123+'Summary, PPI''s'!$F122)/('Predicted PPIs'!W123+'Predicted PPIs'!W122)))*IF(G$94=".", 1, (G123/G122)^(('Summary, PPI''s'!$G123+'Summary, PPI''s'!$G122)/('Predicted PPIs'!W123+'Predicted PPIs'!W122)))*IF(H$94=".", 1, (H123/H122)^(('Summary, PPI''s'!$H123+'Summary, PPI''s'!$H122)/('Predicted PPIs'!W123+'Predicted PPIs'!W122)))*IF(I$94=".", 1, (I123/I122)^(('Summary, PPI''s'!$I123+'Summary, PPI''s'!$I122)/('Predicted PPIs'!W123+'Predicted PPIs'!W122)))*IF(J$94=".", 1, (J123/J122)^(('Summary, PPI''s'!$J123+'Summary, PPI''s'!$J122)/('Predicted PPIs'!W123+'Predicted PPIs'!W122)))*IF(K$94=".", 1, (K123/K122)^(('Summary, PPI''s'!$K123+'Summary, PPI''s'!$K122)/('Predicted PPIs'!W123+'Predicted PPIs'!W122)))*IF(L$94=".", 1, (L123/L122)^(('Summary, PPI''s'!$L123+'Summary, PPI''s'!$L122)/('Predicted PPIs'!W123+'Predicted PPIs'!W122)))*IF(M$94=".", 1, (M123/M122)^(('Summary, PPI''s'!$M123+'Summary, PPI''s'!$M122)/('Predicted PPIs'!W123+'Predicted PPIs'!W122)))*IF(B$94=".", 1, (B123/B122)^(('Summary, PPI''s'!$B123+'Summary, PPI''s'!$B122)/('Predicted PPIs'!W123+'Predicted PPIs'!W122)))*IF(C$94=".", 1, (C123/C122)^(('Summary, PPI''s'!$C123+'Summary, PPI''s'!$C122)/('Predicted PPIs'!W123+'Predicted PPIs'!W122)))*IF(D$94=".", 1, (D123/D122)^(('Summary, PPI''s'!$D123+'Summary, PPI''s'!$D122)/('Predicted PPIs'!W123+'Predicted PPIs'!W122)))*IF(N$94=".", 1, (N123/N122)^(('Summary, PPI''s'!$N123+'Summary, PPI''s'!$N122)/('Predicted PPIs'!W123+'Predicted PPIs'!W122)))*IF(O$94=".", 1, (O123/O122)^(('Summary, PPI''s'!$O123+'Summary, PPI''s'!$O122)/('Predicted PPIs'!W123+'Predicted PPIs'!W122)))*IF(P$94=".", 1, (P123/P122)^(('Summary, PPI''s'!$P123+'Summary, PPI''s'!$P122)/('Predicted PPIs'!W123+'Predicted PPIs'!W122)))</f>
        <v>#VALUE!</v>
      </c>
      <c r="AF123" s="4">
        <f>AF122*IF(E$123=".", 1, (E123/E122)^(('Summary, PPI''s'!$E123+'Summary, PPI''s'!$E122)/('Predicted PPIs'!X123+'Predicted PPIs'!X122)))*IF(F$123=".", 1, (F123/F122)^(('Summary, PPI''s'!$F123+'Summary, PPI''s'!$F122)/('Predicted PPIs'!X123+'Predicted PPIs'!X122)))*IF(G$123=".", 1, (G123/G122)^(('Summary, PPI''s'!$G123+'Summary, PPI''s'!$G122)/('Predicted PPIs'!X123+'Predicted PPIs'!X122)))*IF(H$123=".", 1, (H123/H122)^(('Summary, PPI''s'!$H123+'Summary, PPI''s'!$H122)/('Predicted PPIs'!X123+'Predicted PPIs'!X122)))*IF(I$123=".", 1, (I123/I122)^(('Summary, PPI''s'!$I123+'Summary, PPI''s'!$I122)/('Predicted PPIs'!X123+'Predicted PPIs'!X122)))*IF(J$123=".", 1, (J123/J122)^(('Summary, PPI''s'!$J123+'Summary, PPI''s'!$J122)/('Predicted PPIs'!X123+'Predicted PPIs'!X122)))*IF(K$123=".", 1, (K123/K122)^(('Summary, PPI''s'!$K123+'Summary, PPI''s'!$K122)/('Predicted PPIs'!X123+'Predicted PPIs'!X122)))*IF(L$123=".", 1, (L123/L122)^(('Summary, PPI''s'!$L123+'Summary, PPI''s'!$L122)/('Predicted PPIs'!X123+'Predicted PPIs'!X122)))*IF(M$123=".", 1, (M123/M122)^(('Summary, PPI''s'!$M123+'Summary, PPI''s'!$M122)/('Predicted PPIs'!X123+'Predicted PPIs'!X122)))*IF(B$123=".", 1, (B123/B122)^(('Summary, PPI''s'!$B123+'Summary, PPI''s'!$B122)/('Predicted PPIs'!X123+'Predicted PPIs'!X122)))*IF(C$123=".", 1, (C123/C122)^(('Summary, PPI''s'!$C123+'Summary, PPI''s'!$C122)/('Predicted PPIs'!X123+'Predicted PPIs'!X122)))*IF(D$123=".", 1, (D123/D122)^(('Summary, PPI''s'!$D123+'Summary, PPI''s'!$D122)/('Predicted PPIs'!X123+'Predicted PPIs'!X122)))*IF(N$123=".", 1, (N123/N122)^(('Summary, PPI''s'!$N123+'Summary, PPI''s'!$N122)/('Predicted PPIs'!X123+'Predicted PPIs'!X122)))*IF(O$123=".", 1, (O123/O122)^(('Summary, PPI''s'!$O123+'Summary, PPI''s'!$O122)/('Predicted PPIs'!X123+'Predicted PPIs'!X122)))*IF(P$123=".", 1, (P123/P122)^(('Summary, PPI''s'!$P123+'Summary, PPI''s'!$P122)/('Predicted PPIs'!X123+'Predicted PPIs'!X122)))</f>
        <v>1.8944766486937077</v>
      </c>
      <c r="AH123" s="13">
        <f t="shared" si="212"/>
        <v>2.7054204887096258</v>
      </c>
      <c r="AJ123" s="4">
        <f t="shared" si="207"/>
        <v>13.312263348874589</v>
      </c>
      <c r="AK123" s="4">
        <f t="shared" si="191"/>
        <v>-0.29462412295377466</v>
      </c>
      <c r="AL123" s="4">
        <f t="shared" si="192"/>
        <v>-1.0092553143565386</v>
      </c>
      <c r="AM123" s="4">
        <f t="shared" si="193"/>
        <v>-0.15702966973543284</v>
      </c>
      <c r="AN123" s="4">
        <f t="shared" si="176"/>
        <v>17.752425305880323</v>
      </c>
      <c r="AO123" s="4">
        <f>AO122*AJ123/AJ122</f>
        <v>2.7050528535137701</v>
      </c>
      <c r="AP123" s="4">
        <f t="shared" si="177"/>
        <v>-0.25025355275822586</v>
      </c>
      <c r="AQ123" s="4">
        <f t="shared" si="178"/>
        <v>-0.47309493889929333</v>
      </c>
      <c r="AR123" s="4">
        <f t="shared" si="210"/>
        <v>-7.6815767205874577E-6</v>
      </c>
      <c r="AS123" s="4">
        <f t="shared" si="208"/>
        <v>-1.5790233818083074E-2</v>
      </c>
      <c r="AT123" s="4">
        <f t="shared" si="194"/>
        <v>3.588166183574879</v>
      </c>
      <c r="AU123" s="4">
        <f t="shared" si="195"/>
        <v>5.9083541062801919</v>
      </c>
      <c r="AV123" s="4">
        <f t="shared" si="196"/>
        <v>4.5952149758454102</v>
      </c>
      <c r="AW123" s="4">
        <f t="shared" si="197"/>
        <v>2.5695376811594217</v>
      </c>
      <c r="AX123" s="4">
        <f t="shared" si="198"/>
        <v>3.4178345675918584</v>
      </c>
      <c r="AY123" s="4">
        <f t="shared" si="199"/>
        <v>4.0189314009661841</v>
      </c>
      <c r="AZ123" s="4">
        <f t="shared" si="200"/>
        <v>1.3737396135265703</v>
      </c>
      <c r="BA123" s="4">
        <f t="shared" si="201"/>
        <v>3.7213328502415446</v>
      </c>
      <c r="BB123" s="4">
        <f t="shared" si="202"/>
        <v>21.285106590905741</v>
      </c>
      <c r="BC123" s="4">
        <f t="shared" si="203"/>
        <v>3.4881946859903401</v>
      </c>
      <c r="BD123" s="5">
        <f>'[2]Ordinary Experience'!$AD$303</f>
        <v>79.900000000000006</v>
      </c>
      <c r="BE123" s="5">
        <f>'[2]Ordinary Experience'!$AC$303</f>
        <v>0.61547230979802725</v>
      </c>
      <c r="BG123" s="4">
        <f t="shared" si="172"/>
        <v>3.7933573473996378</v>
      </c>
      <c r="BI123" s="4">
        <f>BI$13*'[2]Ordinary Experience'!$D$303/'[2]Ordinary Experience'!$D$413</f>
        <v>76277813.111675799</v>
      </c>
      <c r="BJ123" s="3">
        <f>'[2]Ordinary Experience'!$E$303</f>
        <v>34.5</v>
      </c>
      <c r="BK123" s="3"/>
      <c r="BL123" s="4">
        <f t="shared" si="211"/>
        <v>19.15666707682286</v>
      </c>
      <c r="BM123" s="4" t="e">
        <f t="shared" si="153"/>
        <v>#DIV/0!</v>
      </c>
      <c r="BO123" s="4" t="str">
        <f>IF(OR('Summary, hourly ad costs'!R123=-9999,'Summary, PPI''s'!R123="."),".",(('Summary, hourly ad costs'!B123/'Summary, hourly ad costs'!R123)*100/('Summary, hourly ad costs'!B$11/'Summary, hourly ad costs'!R$11))/('Summary, PPI''s'!R123))</f>
        <v>.</v>
      </c>
      <c r="BP123" s="4" t="str">
        <f>IF(OR('Summary, hourly ad costs'!S123=-9999,'Summary, PPI''s'!S123="."),".",(('Summary, hourly ad costs'!C123/'Summary, hourly ad costs'!S123)*100/('Summary, hourly ad costs'!C$11/'Summary, hourly ad costs'!S$11))/('Summary, PPI''s'!S123))</f>
        <v>.</v>
      </c>
      <c r="BQ123" s="4" t="str">
        <f>IF(OR('Summary, hourly ad costs'!T123=-9999,'Summary, PPI''s'!T123="."),".",(('Summary, hourly ad costs'!D123/'Summary, hourly ad costs'!T123)*100/('Summary, hourly ad costs'!D$11/'Summary, hourly ad costs'!T$11))/('Summary, PPI''s'!T123))</f>
        <v>.</v>
      </c>
      <c r="BR123" s="4" t="str">
        <f>IF(OR('Summary, hourly ad costs'!U123=-9999,'Summary, PPI''s'!U123="."),".",(('Summary, hourly ad costs'!E123/'Summary, hourly ad costs'!U123)*100/('Summary, hourly ad costs'!E$11/'Summary, hourly ad costs'!U$11))/('Summary, PPI''s'!U123))</f>
        <v>.</v>
      </c>
      <c r="BS123" s="4" t="str">
        <f>IF(OR('Summary, hourly ad costs'!V123=-9999,'Summary, PPI''s'!V123="."),".",(('Summary, hourly ad costs'!F123/'Summary, hourly ad costs'!V123)*100/('Summary, hourly ad costs'!F$11/'Summary, hourly ad costs'!V$11))/('Summary, PPI''s'!V123))</f>
        <v>.</v>
      </c>
      <c r="BT123" s="4" t="str">
        <f>IF(OR('Summary, hourly ad costs'!W123=-9999,'Summary, PPI''s'!W123="."),".",(('Summary, hourly ad costs'!G123/'Summary, hourly ad costs'!W123)*100/('Summary, hourly ad costs'!G$11/'Summary, hourly ad costs'!W$11))/('Summary, PPI''s'!W123))</f>
        <v>.</v>
      </c>
      <c r="BU123" s="4" t="str">
        <f>IF(OR('Summary, hourly ad costs'!X123=-9999,'Summary, PPI''s'!X123="."),".",(('Summary, hourly ad costs'!H123/'Summary, hourly ad costs'!X123)*100/('Summary, hourly ad costs'!H$11/'Summary, hourly ad costs'!X$11))/('Summary, PPI''s'!X123))</f>
        <v>.</v>
      </c>
      <c r="BV123" s="4" t="str">
        <f>IF(OR('Summary, hourly ad costs'!Y123=-9999,'Summary, PPI''s'!Y123="."),".",(('Summary, hourly ad costs'!I123/'Summary, hourly ad costs'!Y123)*100/('Summary, hourly ad costs'!I$11/'Summary, hourly ad costs'!Y$11))/('Summary, PPI''s'!Y123))</f>
        <v>.</v>
      </c>
      <c r="BW123" s="4" t="str">
        <f>IF(OR('Summary, hourly ad costs'!Z123=-9999,'Summary, PPI''s'!Z123="."),".",(('Summary, hourly ad costs'!J123/'Summary, hourly ad costs'!Z123)*100/('Summary, hourly ad costs'!J$11/'Summary, hourly ad costs'!Z$11))/('Summary, PPI''s'!Z123))</f>
        <v>.</v>
      </c>
      <c r="BX123" s="4" t="str">
        <f>IF(OR('Summary, hourly ad costs'!AA123=-9999,'Summary, PPI''s'!AA123="."),".",(('Summary, hourly ad costs'!K123/'Summary, hourly ad costs'!AA123)*100/('Summary, hourly ad costs'!K$11/'Summary, hourly ad costs'!AA$11))/('Summary, PPI''s'!AA123))</f>
        <v>.</v>
      </c>
      <c r="BY123" s="4" t="str">
        <f>IF(OR('Summary, hourly ad costs'!AB123=-9999,'Summary, PPI''s'!AB123="."),".",(('Summary, hourly ad costs'!L123/'Summary, hourly ad costs'!AB123)*100/('Summary, hourly ad costs'!L$11/'Summary, hourly ad costs'!AB$11))/('Summary, PPI''s'!AB123))</f>
        <v>.</v>
      </c>
      <c r="BZ123" s="4" t="str">
        <f>IF(OR('Summary, hourly ad costs'!AC123=-9999,'Summary, PPI''s'!AC123="."),".",(('Summary, hourly ad costs'!M123/'Summary, hourly ad costs'!AC123)*100/('Summary, hourly ad costs'!M$11/'Summary, hourly ad costs'!AC$11))/('Summary, PPI''s'!AC123))</f>
        <v>.</v>
      </c>
      <c r="CA123" s="4" t="str">
        <f>IF(OR('Summary, hourly ad costs'!AD123=-9999,'Summary, PPI''s'!AD123="."),".",(('Summary, hourly ad costs'!N123/'Summary, hourly ad costs'!AD123)*100/('Summary, hourly ad costs'!N$11/'Summary, hourly ad costs'!AD$11))/('Summary, PPI''s'!AD123))</f>
        <v>.</v>
      </c>
      <c r="CB123" s="4" t="str">
        <f>IF(OR('Summary, hourly ad costs'!AE123=-9999,'Summary, PPI''s'!AE123="."),".",(('Summary, hourly ad costs'!O123/'Summary, hourly ad costs'!AE123)*100/('Summary, hourly ad costs'!O$11/'Summary, hourly ad costs'!AE$11))/('Summary, PPI''s'!AE123))</f>
        <v>.</v>
      </c>
      <c r="CC123" s="4" t="str">
        <f>IF(OR('Summary, hourly ad costs'!AF123=-9999,'Summary, PPI''s'!AF123="."),".",(('Summary, hourly ad costs'!P123/'Summary, hourly ad costs'!AF123)*100/('Summary, hourly ad costs'!P$11/'Summary, hourly ad costs'!AF$11))/('Summary, PPI''s'!AF123))</f>
        <v>.</v>
      </c>
      <c r="CE123" s="4" t="e">
        <f t="shared" si="183"/>
        <v>#DIV/0!</v>
      </c>
      <c r="CF123" s="4" t="e">
        <f>IF(OR(BP123=".",#REF!="."), ".", BP123/#REF!-1)</f>
        <v>#REF!</v>
      </c>
      <c r="CG123" s="4" t="e">
        <f>IF(OR(BQ123=".",#REF!="."), ".", BQ123/#REF!-1)</f>
        <v>#REF!</v>
      </c>
      <c r="CH123" s="4" t="e">
        <f t="shared" si="145"/>
        <v>#DIV/0!</v>
      </c>
      <c r="CI123" s="4" t="e">
        <f t="shared" si="145"/>
        <v>#DIV/0!</v>
      </c>
      <c r="CJ123" s="4" t="str">
        <f t="shared" si="209"/>
        <v>.</v>
      </c>
      <c r="CK123" s="4" t="e">
        <f t="shared" si="149"/>
        <v>#DIV/0!</v>
      </c>
      <c r="CL123" s="4" t="e">
        <f t="shared" si="234"/>
        <v>#DIV/0!</v>
      </c>
      <c r="CM123" s="4" t="e">
        <f t="shared" si="234"/>
        <v>#DIV/0!</v>
      </c>
      <c r="CN123" s="4" t="e">
        <f t="shared" si="204"/>
        <v>#DIV/0!</v>
      </c>
      <c r="CO123" s="4" t="e">
        <f t="shared" si="180"/>
        <v>#DIV/0!</v>
      </c>
      <c r="CP123" s="4" t="e">
        <f t="shared" si="180"/>
        <v>#DIV/0!</v>
      </c>
      <c r="CQ123" s="4" t="str">
        <f t="shared" si="230"/>
        <v>.</v>
      </c>
      <c r="CR123" s="4" t="str">
        <f t="shared" si="231"/>
        <v>.</v>
      </c>
      <c r="CS123" s="4" t="str">
        <f t="shared" si="232"/>
        <v>.</v>
      </c>
      <c r="CU123" s="5">
        <f>IF(CU122=".", ".", IF('Summary, PPI''s'!R123=".",IF(OR('Summary, hourly ad costs'!R123=-9999,'Summary, hourly ad costs'!R123=0), ".", 'Predicted PPIs'!CU122*('Summary, hourly ad costs'!B123/'Summary, hourly ad costs'!R123)/('Summary, hourly ad costs'!B122/'Summary, hourly ad costs'!R122)/(1-CE122)), 'Summary, PPI''s'!R123))</f>
        <v>19.460471959079399</v>
      </c>
      <c r="CV123" s="5" t="str">
        <f>IF(CV122=".", ".", IF('Summary, PPI''s'!S123=".",IF(OR('Summary, hourly ad costs'!S123=-9999,'Summary, hourly ad costs'!S123=0), ".", 'Predicted PPIs'!CV122*('Summary, hourly ad costs'!C123/'Summary, hourly ad costs'!S123)/('Summary, hourly ad costs'!C122/'Summary, hourly ad costs'!S122)/(1-CF122)), 'Summary, PPI''s'!S123))</f>
        <v>.</v>
      </c>
      <c r="CW123" s="5" t="str">
        <f>IF(CW122=".", ".", IF('Summary, PPI''s'!T123=".",IF(OR('Summary, hourly ad costs'!T123=-9999,'Summary, hourly ad costs'!T123=0), ".", 'Predicted PPIs'!CW122*('Summary, hourly ad costs'!D123/'Summary, hourly ad costs'!T123)/('Summary, hourly ad costs'!D122/'Summary, hourly ad costs'!T122)/(1-CG122)), 'Summary, PPI''s'!T123))</f>
        <v>.</v>
      </c>
      <c r="CX123" s="5">
        <f>IF(CX122=".", ".", IF('Summary, PPI''s'!U123=".",IF(OR('Summary, hourly ad costs'!U123=-9999,'Summary, hourly ad costs'!U123=0), ".", 'Predicted PPIs'!CX122*('Summary, hourly ad costs'!E123/'Summary, hourly ad costs'!U123)/('Summary, hourly ad costs'!E122/'Summary, hourly ad costs'!U122)/(1-CH122)), 'Summary, PPI''s'!U123))</f>
        <v>0.71749851715093782</v>
      </c>
      <c r="CY123" s="5">
        <f>IF(CY122=".", ".", IF('Summary, PPI''s'!V123=".",IF(OR('Summary, hourly ad costs'!V123=-9999,'Summary, hourly ad costs'!V123=0), ".", 'Predicted PPIs'!CY122*('Summary, hourly ad costs'!F123/'Summary, hourly ad costs'!V123)/('Summary, hourly ad costs'!F122/'Summary, hourly ad costs'!V122)/(1-CI122)), 'Summary, PPI''s'!V123))</f>
        <v>0.62696765257813658</v>
      </c>
      <c r="CZ123" s="5" t="str">
        <f>IF(CZ122=".", ".", IF('Summary, PPI''s'!W123=".",IF(OR('Summary, hourly ad costs'!W123=-9999,'Summary, hourly ad costs'!W123=0), ".", 'Predicted PPIs'!CZ122*('Summary, hourly ad costs'!G123/'Summary, hourly ad costs'!W123)/('Summary, hourly ad costs'!G122/'Summary, hourly ad costs'!W122)/(1-CJ122)), 'Summary, PPI''s'!W123))</f>
        <v>.</v>
      </c>
      <c r="DA123" s="5">
        <f>IF(DA122=".", ".", IF('Summary, PPI''s'!X123=".",IF(OR('Summary, hourly ad costs'!X123=-9999,'Summary, hourly ad costs'!X123=0), ".", 'Predicted PPIs'!DA122*('Summary, hourly ad costs'!H123/'Summary, hourly ad costs'!X123)/('Summary, hourly ad costs'!H122/'Summary, hourly ad costs'!X122)/(1-CK122)), 'Summary, PPI''s'!X123))</f>
        <v>0.94479886859358364</v>
      </c>
      <c r="DB123" s="5" t="str">
        <f>IF(DB122=".", ".", IF('Summary, PPI''s'!Y123=".",IF(OR('Summary, hourly ad costs'!Y123=-9999,'Summary, hourly ad costs'!Y123=0), ".", 'Predicted PPIs'!DB122*('Summary, hourly ad costs'!I123/'Summary, hourly ad costs'!Y123)/('Summary, hourly ad costs'!I122/'Summary, hourly ad costs'!Y122)/(1-CL122)), 'Summary, PPI''s'!Y123))</f>
        <v>.</v>
      </c>
      <c r="DC123" s="5" t="str">
        <f>IF(DC122=".", ".", IF('Summary, PPI''s'!Z123=".",IF(OR('Summary, hourly ad costs'!Z123=-9999,'Summary, hourly ad costs'!Z123=0), ".", 'Predicted PPIs'!DC122*('Summary, hourly ad costs'!J123/'Summary, hourly ad costs'!Z123)/('Summary, hourly ad costs'!J122/'Summary, hourly ad costs'!Z122)/(1-CM122)), 'Summary, PPI''s'!Z123))</f>
        <v>.</v>
      </c>
      <c r="DD123" s="5" t="str">
        <f>IF(DD122=".", ".", IF('Summary, PPI''s'!AA123=".",IF(OR('Summary, hourly ad costs'!AA123=-9999,'Summary, hourly ad costs'!AA123=0), ".", 'Predicted PPIs'!DD122*('Summary, hourly ad costs'!K123/'Summary, hourly ad costs'!AA123)/('Summary, hourly ad costs'!K122/'Summary, hourly ad costs'!AA122)/(1-CN122)), 'Summary, PPI''s'!AA123))</f>
        <v>.</v>
      </c>
      <c r="DE123" s="5" t="str">
        <f>IF(DE122=".", ".", IF('Summary, PPI''s'!AB123=".",IF(OR('Summary, hourly ad costs'!AB123=-9999,'Summary, hourly ad costs'!AB123=0), ".", 'Predicted PPIs'!DE122*('Summary, hourly ad costs'!L123/'Summary, hourly ad costs'!AB123)/('Summary, hourly ad costs'!L122/'Summary, hourly ad costs'!AB122)/(1-CO122)), 'Summary, PPI''s'!AB123))</f>
        <v>.</v>
      </c>
      <c r="DF123" s="5" t="str">
        <f>IF(DF122=".", ".", IF('Summary, PPI''s'!AC123=".",IF(OR('Summary, hourly ad costs'!AC123=-9999,'Summary, hourly ad costs'!AC123=0), ".", 'Predicted PPIs'!DF122*('Summary, hourly ad costs'!M123/'Summary, hourly ad costs'!AC123)/('Summary, hourly ad costs'!M122/'Summary, hourly ad costs'!AC122)/(1-CP122)), 'Summary, PPI''s'!AC123))</f>
        <v>.</v>
      </c>
      <c r="DG123" s="5" t="str">
        <f>IF(DG122=".", ".", IF('Summary, PPI''s'!AD123=".",IF(OR('Summary, hourly ad costs'!AD123=-9999,'Summary, hourly ad costs'!AD123=0), ".", 'Predicted PPIs'!DG122*('Summary, hourly ad costs'!N123/'Summary, hourly ad costs'!AD123)/('Summary, hourly ad costs'!N122/'Summary, hourly ad costs'!AD122)/(1-CQ122)), 'Summary, PPI''s'!AD123))</f>
        <v>.</v>
      </c>
      <c r="DH123" s="5" t="str">
        <f>IF(DH122=".", ".", IF('Summary, PPI''s'!AE123=".",IF(OR('Summary, hourly ad costs'!AE123=-9999,'Summary, hourly ad costs'!AE123=0), ".", 'Predicted PPIs'!DH122*('Summary, hourly ad costs'!O123/'Summary, hourly ad costs'!AE123)/('Summary, hourly ad costs'!O122/'Summary, hourly ad costs'!AE122)/(1-CR122)), 'Summary, PPI''s'!AE123))</f>
        <v>.</v>
      </c>
      <c r="DI123" s="5" t="str">
        <f>IF(DI122=".", ".", IF('Summary, PPI''s'!AF123=".",IF(OR('Summary, hourly ad costs'!AF123=-9999,'Summary, hourly ad costs'!AF123=0), ".", 'Predicted PPIs'!DI122*('Summary, hourly ad costs'!P123/'Summary, hourly ad costs'!AF123)/('Summary, hourly ad costs'!P122/'Summary, hourly ad costs'!AF122)/(1-CS122)), 'Summary, PPI''s'!AF123))</f>
        <v>.</v>
      </c>
      <c r="DK123" s="4">
        <f t="shared" si="205"/>
        <v>0.78701333333333257</v>
      </c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C123" s="1">
        <f t="shared" si="213"/>
        <v>19.460471959079399</v>
      </c>
      <c r="ED123" s="1">
        <f t="shared" si="214"/>
        <v>0.62365853934079152</v>
      </c>
      <c r="EE123" s="1">
        <f t="shared" si="215"/>
        <v>0.33878275550913933</v>
      </c>
      <c r="EF123" s="1">
        <f t="shared" si="216"/>
        <v>0.71749851715093782</v>
      </c>
      <c r="EG123" s="1">
        <f t="shared" si="217"/>
        <v>0.62696765257813658</v>
      </c>
      <c r="EH123" s="1">
        <f t="shared" si="218"/>
        <v>0.58174328862643587</v>
      </c>
      <c r="EI123" s="1">
        <f t="shared" si="219"/>
        <v>0.94479886859358364</v>
      </c>
      <c r="EJ123" s="1">
        <f t="shared" si="220"/>
        <v>1.1403195763836977</v>
      </c>
      <c r="EK123" s="1">
        <f t="shared" si="221"/>
        <v>1.0787125677893616</v>
      </c>
      <c r="EL123" s="1">
        <f t="shared" si="222"/>
        <v>0.65521973551859247</v>
      </c>
      <c r="EM123" s="1">
        <f t="shared" si="223"/>
        <v>2.0801206281845758E-2</v>
      </c>
      <c r="EN123" s="1">
        <f t="shared" si="224"/>
        <v>0.23414563414363035</v>
      </c>
      <c r="EO123" s="1">
        <f t="shared" si="225"/>
        <v>0.26619288576321276</v>
      </c>
      <c r="EP123" s="1">
        <f t="shared" si="226"/>
        <v>0.52763161271818781</v>
      </c>
      <c r="EQ123" s="1">
        <f t="shared" si="227"/>
        <v>0.42871058568748927</v>
      </c>
      <c r="ES123" s="1">
        <f>IF(EF$26=".", 0, 'Summary, PPI''s'!E123)+IF(EG$26=".", 0, 'Summary, PPI''s'!F123)+IF(EH$26=".", 0, 'Summary, PPI''s'!G123)+IF(EI$26=".", 0, 'Summary, PPI''s'!H123)+IF(EJ$26=".", 0, 'Summary, PPI''s'!I123)+IF(EK$26=".", 0, 'Summary, PPI''s'!J123)+IF(EL$26=".", 0, 'Summary, PPI''s'!K123)+IF(EM$26=".", 0, 'Summary, PPI''s'!L123)+IF(EN$26=".", 0, 'Summary, PPI''s'!M123)+IF(EC$26=".", 0, 'Summary, PPI''s'!B123)+IF(ED$26=".", 0, 'Summary, PPI''s'!C123)+IF(EE$26=".", 0, 'Summary, PPI''s'!D123)+IF(EO$26=".", 0, 'Summary, PPI''s'!N123)+IF(EP$26=".", 0, 'Summary, PPI''s'!O123)+IF(EQ$26=".", 0, 'Summary, PPI''s'!P123)</f>
        <v>319476.32110216294</v>
      </c>
      <c r="ET123" s="1">
        <f>'Summary, hourly ad costs'!E123+'Summary, hourly ad costs'!F123+'Summary, hourly ad costs'!H123+'Summary, hourly ad costs'!I123+'Summary, hourly ad costs'!J123+'Summary, hourly ad costs'!K123+'Summary, hourly ad costs'!L123+'Summary, hourly ad costs'!M123+'Summary, hourly ad costs'!B123</f>
        <v>194829.88890487404</v>
      </c>
      <c r="EV123" s="13">
        <f>EV122*IF(EF$26=".", 1, (EF123/EF122)^(('Summary, PPI''s'!$E123+'Summary, PPI''s'!$E122)/('Predicted PPIs'!ES123+'Predicted PPIs'!ES122)))*IF(EG$26=".", 1, (EG123/EG122)^(('Summary, PPI''s'!$F123+'Summary, PPI''s'!$F122)/('Predicted PPIs'!ES123+'Predicted PPIs'!ES122)))*IF(EH$26=".", 1, (EH123/EH122)^(('Summary, PPI''s'!$G123+'Summary, PPI''s'!$G122)/('Predicted PPIs'!ES123+'Predicted PPIs'!ES122)))*IF(EI$26=".", 1, (EI123/EI122)^(('Summary, PPI''s'!$H123+'Summary, PPI''s'!$H122)/('Predicted PPIs'!ES123+'Predicted PPIs'!ES122)))*IF(EJ$26=".", 1, (EJ123/EJ122)^(('Summary, PPI''s'!$I123+'Summary, PPI''s'!$I122)/('Predicted PPIs'!ES123+'Predicted PPIs'!ES122)))*IF(EK$26=".", 1, (EK123/EK122)^(('Summary, PPI''s'!$J123+'Summary, PPI''s'!$J122)/('Predicted PPIs'!ES123+'Predicted PPIs'!ES122)))*IF(EL$26=".", 1, (EL123/EL122)^(('Summary, PPI''s'!$K123+'Summary, PPI''s'!$K122)/('Predicted PPIs'!ES123+'Predicted PPIs'!ES122)))*IF(EM$26=".", 1, (EM123/EM122)^(('Summary, PPI''s'!$L123+'Summary, PPI''s'!$L122)/('Predicted PPIs'!ES123+'Predicted PPIs'!ES122)))*IF(EN$26=".", 1, (EN123/EN122)^(('Summary, PPI''s'!$M123+'Summary, PPI''s'!$M122)/('Predicted PPIs'!ES123+'Predicted PPIs'!ES122)))*IF(EC$26=".", 1, (EC123/EC122)^(('Summary, PPI''s'!$B123+'Summary, PPI''s'!$B122)/('Predicted PPIs'!ES123+'Predicted PPIs'!ES122)))*IF(ED$26=".", 1, (ED123/ED122)^(('Summary, PPI''s'!$C123+'Summary, PPI''s'!$C122)/('Predicted PPIs'!ES123+'Predicted PPIs'!ES122)))*IF(EE$26=".", 1, (EE123/EE122)^(('Summary, PPI''s'!$D123+'Summary, PPI''s'!$D122)/('Predicted PPIs'!ES123+'Predicted PPIs'!ES122)))*IF(EO$26=".", 1, (EO123/EO122)^(('Summary, PPI''s'!$N123+'Summary, PPI''s'!$N122)/('Predicted PPIs'!ES123+'Predicted PPIs'!ES122)))*IF(EP$26=".", 1, (EP123/EP122)^(('Summary, PPI''s'!$O123+'Summary, PPI''s'!$O122)/('Predicted PPIs'!ES123+'Predicted PPIs'!ES122)))*IF(EQ$26=".", 1, (EQ123/EQ122)^(('Summary, PPI''s'!$P123+'Summary, PPI''s'!$P122)/('Predicted PPIs'!ES123+'Predicted PPIs'!ES122)))</f>
        <v>1.1020225568048261</v>
      </c>
      <c r="EW123" s="13">
        <f>EW122*IF(EF$26=".", 1, (EF123/EF122)^(('Summary, PPI''s'!$E123+'Summary, PPI''s'!$E122)/('Predicted PPIs'!ET123+'Predicted PPIs'!ET122)))*IF(EG$26=".", 1, (EG123/EG122)^(('Summary, PPI''s'!$F123+'Summary, PPI''s'!$F122)/('Predicted PPIs'!ET123+'Predicted PPIs'!ET122)))*IF(EH$26=".", 1, (EH123/EH122)^(('Summary, PPI''s'!$G123+'Summary, PPI''s'!$G122)/('Predicted PPIs'!ET123+'Predicted PPIs'!ET122)))*IF(EK$26=".", 1, (EK123/EK122)^(('Summary, PPI''s'!$J123+'Summary, PPI''s'!$J122)/('Predicted PPIs'!ET123+'Predicted PPIs'!ET122)))*IF(EL$26=".", 1, (EL123/EL122)^(('Summary, PPI''s'!$K123+'Summary, PPI''s'!$K122)/('Predicted PPIs'!ET123+'Predicted PPIs'!ET122)))*IF(EM$26=".", 1, (EM123/EM122)^(('Summary, PPI''s'!$L123+'Summary, PPI''s'!$L122)/('Predicted PPIs'!ET123+'Predicted PPIs'!ET122)))*IF(EN$26=".", 1, (EN123/EN122)^(('Summary, PPI''s'!$M123+'Summary, PPI''s'!$M122)/('Predicted PPIs'!ET123+'Predicted PPIs'!ET122)))*IF(EC$26=".", 1, (EC123/EC122)^(('Summary, PPI''s'!$B123+'Summary, PPI''s'!$B122)/('Predicted PPIs'!ET123+'Predicted PPIs'!ET122)))</f>
        <v>2.6271297367601263</v>
      </c>
      <c r="EY123" s="2"/>
    </row>
    <row r="124" spans="1:155" x14ac:dyDescent="0.3">
      <c r="BE124" s="5"/>
      <c r="BJ124" s="3">
        <f>'[2]Ordinary Experience'!$E$302</f>
        <v>34.616575575720127</v>
      </c>
      <c r="BK124" s="3"/>
    </row>
    <row r="125" spans="1:155" x14ac:dyDescent="0.3">
      <c r="BE125" s="5"/>
      <c r="BJ125" s="3"/>
      <c r="BK125" s="3"/>
    </row>
    <row r="126" spans="1:155" x14ac:dyDescent="0.3">
      <c r="BE126" s="5"/>
      <c r="BJ126" s="3"/>
      <c r="BK126" s="3"/>
    </row>
  </sheetData>
  <mergeCells count="9">
    <mergeCell ref="EC1:EQ1"/>
    <mergeCell ref="B1:P1"/>
    <mergeCell ref="BO1:CC1"/>
    <mergeCell ref="CE1:CS1"/>
    <mergeCell ref="CU1:DI1"/>
    <mergeCell ref="DM1:EA1"/>
    <mergeCell ref="Z1:AH1"/>
    <mergeCell ref="AJ1:AS1"/>
    <mergeCell ref="AT1:BC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5AD3-C250-444A-9EF6-D8B543C1A3D9}">
  <sheetPr codeName="Sheet1"/>
  <dimension ref="A1:AP97"/>
  <sheetViews>
    <sheetView workbookViewId="0"/>
  </sheetViews>
  <sheetFormatPr defaultRowHeight="14.4" x14ac:dyDescent="0.3"/>
  <sheetData>
    <row r="1" spans="1:42" x14ac:dyDescent="0.3">
      <c r="A1" t="s">
        <v>21</v>
      </c>
      <c r="B1" t="s">
        <v>301</v>
      </c>
      <c r="D1" s="22" t="s">
        <v>314</v>
      </c>
      <c r="P1" t="s">
        <v>21</v>
      </c>
      <c r="Q1" t="s">
        <v>309</v>
      </c>
      <c r="AD1" t="s">
        <v>21</v>
      </c>
      <c r="AE1" t="s">
        <v>311</v>
      </c>
    </row>
    <row r="2" spans="1:42" x14ac:dyDescent="0.3">
      <c r="A2" t="s">
        <v>23</v>
      </c>
      <c r="P2" t="s">
        <v>23</v>
      </c>
      <c r="AD2" t="s">
        <v>23</v>
      </c>
    </row>
    <row r="3" spans="1:42" x14ac:dyDescent="0.3">
      <c r="A3" t="s">
        <v>24</v>
      </c>
      <c r="B3" t="s">
        <v>302</v>
      </c>
      <c r="P3" t="s">
        <v>24</v>
      </c>
      <c r="Q3" t="s">
        <v>310</v>
      </c>
      <c r="AD3" t="s">
        <v>24</v>
      </c>
      <c r="AE3" t="s">
        <v>312</v>
      </c>
    </row>
    <row r="4" spans="1:42" x14ac:dyDescent="0.3">
      <c r="A4" t="s">
        <v>26</v>
      </c>
      <c r="B4" t="s">
        <v>303</v>
      </c>
      <c r="P4" t="s">
        <v>26</v>
      </c>
      <c r="Q4" t="s">
        <v>303</v>
      </c>
      <c r="AD4" t="s">
        <v>26</v>
      </c>
      <c r="AE4" t="s">
        <v>303</v>
      </c>
    </row>
    <row r="5" spans="1:42" x14ac:dyDescent="0.3">
      <c r="A5" t="s">
        <v>28</v>
      </c>
      <c r="B5" t="s">
        <v>304</v>
      </c>
      <c r="P5" t="s">
        <v>28</v>
      </c>
      <c r="Q5" t="s">
        <v>66</v>
      </c>
      <c r="AD5" t="s">
        <v>28</v>
      </c>
      <c r="AE5" t="s">
        <v>313</v>
      </c>
    </row>
    <row r="6" spans="1:42" x14ac:dyDescent="0.3">
      <c r="A6" t="s">
        <v>30</v>
      </c>
      <c r="B6">
        <v>198206</v>
      </c>
      <c r="P6" t="s">
        <v>30</v>
      </c>
      <c r="Q6">
        <v>198206</v>
      </c>
      <c r="AD6" t="s">
        <v>30</v>
      </c>
      <c r="AE6">
        <v>198206</v>
      </c>
    </row>
    <row r="8" spans="1:42" x14ac:dyDescent="0.3">
      <c r="A8" t="s">
        <v>31</v>
      </c>
      <c r="P8" t="s">
        <v>31</v>
      </c>
      <c r="AD8" t="s">
        <v>31</v>
      </c>
    </row>
    <row r="9" spans="1:42" x14ac:dyDescent="0.3">
      <c r="A9" t="s">
        <v>32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  <c r="P9" t="s">
        <v>32</v>
      </c>
      <c r="Q9" t="s">
        <v>33</v>
      </c>
      <c r="R9" t="s">
        <v>34</v>
      </c>
      <c r="S9" t="s">
        <v>35</v>
      </c>
      <c r="T9" t="s">
        <v>36</v>
      </c>
      <c r="U9" t="s">
        <v>37</v>
      </c>
      <c r="V9" t="s">
        <v>38</v>
      </c>
      <c r="W9" t="s">
        <v>39</v>
      </c>
      <c r="X9" t="s">
        <v>40</v>
      </c>
      <c r="Y9" t="s">
        <v>41</v>
      </c>
      <c r="Z9" t="s">
        <v>42</v>
      </c>
      <c r="AA9" t="s">
        <v>43</v>
      </c>
      <c r="AB9" t="s">
        <v>44</v>
      </c>
      <c r="AD9" t="s">
        <v>32</v>
      </c>
      <c r="AE9" t="s">
        <v>33</v>
      </c>
      <c r="AF9" t="s">
        <v>34</v>
      </c>
      <c r="AG9" t="s">
        <v>35</v>
      </c>
      <c r="AH9" t="s">
        <v>36</v>
      </c>
      <c r="AI9" t="s">
        <v>37</v>
      </c>
      <c r="AJ9" t="s">
        <v>38</v>
      </c>
      <c r="AK9" t="s">
        <v>39</v>
      </c>
      <c r="AL9" t="s">
        <v>40</v>
      </c>
      <c r="AM9" t="s">
        <v>41</v>
      </c>
      <c r="AN9" t="s">
        <v>42</v>
      </c>
      <c r="AO9" t="s">
        <v>43</v>
      </c>
      <c r="AP9" t="s">
        <v>44</v>
      </c>
    </row>
    <row r="10" spans="1:42" x14ac:dyDescent="0.3">
      <c r="A10">
        <v>1982</v>
      </c>
      <c r="G10">
        <v>100</v>
      </c>
      <c r="H10">
        <v>100</v>
      </c>
      <c r="I10">
        <v>100.1</v>
      </c>
      <c r="J10">
        <v>100.1</v>
      </c>
      <c r="K10">
        <v>100.4</v>
      </c>
      <c r="L10">
        <v>100.5</v>
      </c>
      <c r="M10">
        <v>100.9</v>
      </c>
      <c r="P10">
        <v>1982</v>
      </c>
      <c r="V10">
        <v>100</v>
      </c>
      <c r="W10">
        <v>100</v>
      </c>
      <c r="X10">
        <v>100.1</v>
      </c>
      <c r="Y10">
        <v>100.2</v>
      </c>
      <c r="Z10">
        <v>100.5</v>
      </c>
      <c r="AA10">
        <v>100.6</v>
      </c>
      <c r="AB10">
        <v>101.1</v>
      </c>
      <c r="AD10">
        <v>1982</v>
      </c>
      <c r="AJ10">
        <v>100</v>
      </c>
      <c r="AK10">
        <v>100</v>
      </c>
      <c r="AL10">
        <v>100.1</v>
      </c>
      <c r="AM10">
        <v>100.2</v>
      </c>
      <c r="AN10">
        <v>100.5</v>
      </c>
      <c r="AO10">
        <v>100.6</v>
      </c>
      <c r="AP10">
        <v>101.1</v>
      </c>
    </row>
    <row r="11" spans="1:42" x14ac:dyDescent="0.3">
      <c r="A11">
        <v>1983</v>
      </c>
      <c r="B11">
        <v>101.2</v>
      </c>
      <c r="C11">
        <v>101.4</v>
      </c>
      <c r="D11">
        <v>101.5</v>
      </c>
      <c r="E11">
        <v>101.7</v>
      </c>
      <c r="F11">
        <v>101.9</v>
      </c>
      <c r="G11">
        <v>101.9</v>
      </c>
      <c r="H11">
        <v>101.9</v>
      </c>
      <c r="I11">
        <v>101.9</v>
      </c>
      <c r="J11">
        <v>102.2</v>
      </c>
      <c r="K11">
        <v>102.6</v>
      </c>
      <c r="L11">
        <v>102.6</v>
      </c>
      <c r="M11">
        <v>103.1</v>
      </c>
      <c r="P11">
        <v>1983</v>
      </c>
      <c r="Q11">
        <v>101.5</v>
      </c>
      <c r="R11">
        <v>101.8</v>
      </c>
      <c r="S11">
        <v>101.8</v>
      </c>
      <c r="T11">
        <v>102.1</v>
      </c>
      <c r="U11">
        <v>102.2</v>
      </c>
      <c r="V11">
        <v>102.3</v>
      </c>
      <c r="W11">
        <v>102.3</v>
      </c>
      <c r="X11">
        <v>102.3</v>
      </c>
      <c r="Y11">
        <v>102.7</v>
      </c>
      <c r="Z11">
        <v>103.2</v>
      </c>
      <c r="AA11">
        <v>103.1</v>
      </c>
      <c r="AB11">
        <v>103.7</v>
      </c>
      <c r="AD11">
        <v>1983</v>
      </c>
      <c r="AE11">
        <v>101.5</v>
      </c>
      <c r="AF11">
        <v>101.8</v>
      </c>
      <c r="AG11">
        <v>101.8</v>
      </c>
      <c r="AH11">
        <v>102.1</v>
      </c>
      <c r="AI11">
        <v>102.2</v>
      </c>
      <c r="AJ11">
        <v>102.3</v>
      </c>
      <c r="AK11">
        <v>102.3</v>
      </c>
      <c r="AL11">
        <v>102.3</v>
      </c>
      <c r="AM11">
        <v>102.7</v>
      </c>
      <c r="AN11">
        <v>103.2</v>
      </c>
      <c r="AO11">
        <v>103.1</v>
      </c>
      <c r="AP11">
        <v>103.7</v>
      </c>
    </row>
    <row r="12" spans="1:42" x14ac:dyDescent="0.3">
      <c r="A12">
        <v>1984</v>
      </c>
      <c r="B12">
        <v>104.1</v>
      </c>
      <c r="C12">
        <v>105.9</v>
      </c>
      <c r="D12">
        <v>105.8</v>
      </c>
      <c r="E12">
        <v>107.1</v>
      </c>
      <c r="F12">
        <v>107.9</v>
      </c>
      <c r="G12">
        <v>108.5</v>
      </c>
      <c r="H12">
        <v>107.7</v>
      </c>
      <c r="I12">
        <v>115</v>
      </c>
      <c r="J12">
        <v>111.4</v>
      </c>
      <c r="K12">
        <v>109.6</v>
      </c>
      <c r="L12">
        <v>109.2</v>
      </c>
      <c r="M12">
        <v>110.2</v>
      </c>
      <c r="O12" s="4"/>
      <c r="P12">
        <v>1984</v>
      </c>
      <c r="Q12">
        <v>105</v>
      </c>
      <c r="R12">
        <v>104.7</v>
      </c>
      <c r="S12">
        <v>105.1</v>
      </c>
      <c r="T12">
        <v>106.8</v>
      </c>
      <c r="U12">
        <v>107.8</v>
      </c>
      <c r="V12">
        <v>107.9</v>
      </c>
      <c r="W12">
        <v>107.4</v>
      </c>
      <c r="X12">
        <v>107.7</v>
      </c>
      <c r="Y12">
        <v>108.1</v>
      </c>
      <c r="Z12">
        <v>108.3</v>
      </c>
      <c r="AA12">
        <v>107.7</v>
      </c>
      <c r="AB12">
        <v>108.8</v>
      </c>
      <c r="AD12">
        <v>1984</v>
      </c>
      <c r="AE12">
        <v>105</v>
      </c>
      <c r="AF12">
        <v>104.7</v>
      </c>
      <c r="AG12">
        <v>105.1</v>
      </c>
      <c r="AH12">
        <v>106.8</v>
      </c>
      <c r="AI12">
        <v>107.8</v>
      </c>
      <c r="AJ12">
        <v>107.9</v>
      </c>
      <c r="AK12">
        <v>107.4</v>
      </c>
      <c r="AL12">
        <v>107.7</v>
      </c>
      <c r="AM12">
        <v>108.1</v>
      </c>
      <c r="AN12">
        <v>108.3</v>
      </c>
      <c r="AO12">
        <v>107.7</v>
      </c>
      <c r="AP12">
        <v>108.8</v>
      </c>
    </row>
    <row r="13" spans="1:42" x14ac:dyDescent="0.3">
      <c r="A13">
        <v>1985</v>
      </c>
      <c r="B13">
        <v>113</v>
      </c>
      <c r="C13">
        <v>113.3</v>
      </c>
      <c r="D13">
        <v>113.5</v>
      </c>
      <c r="E13">
        <v>113.8</v>
      </c>
      <c r="F13">
        <v>113.8</v>
      </c>
      <c r="G13">
        <v>113.8</v>
      </c>
      <c r="H13">
        <v>113.9</v>
      </c>
      <c r="I13">
        <v>113.9</v>
      </c>
      <c r="J13">
        <v>114.1</v>
      </c>
      <c r="K13">
        <v>114.6</v>
      </c>
      <c r="L13">
        <v>114.9</v>
      </c>
      <c r="M13">
        <v>114.8</v>
      </c>
      <c r="O13" s="4"/>
      <c r="P13">
        <v>1985</v>
      </c>
      <c r="Q13">
        <v>110.9</v>
      </c>
      <c r="R13">
        <v>111</v>
      </c>
      <c r="S13">
        <v>111.2</v>
      </c>
      <c r="T13">
        <v>111.2</v>
      </c>
      <c r="U13">
        <v>111.2</v>
      </c>
      <c r="V13">
        <v>111.2</v>
      </c>
      <c r="W13">
        <v>111.3</v>
      </c>
      <c r="X13">
        <v>111.3</v>
      </c>
      <c r="Y13">
        <v>111.5</v>
      </c>
      <c r="Z13">
        <v>112</v>
      </c>
      <c r="AA13">
        <v>112.1</v>
      </c>
      <c r="AB13">
        <v>112</v>
      </c>
      <c r="AD13">
        <v>1985</v>
      </c>
      <c r="AE13">
        <v>110.9</v>
      </c>
      <c r="AF13">
        <v>111</v>
      </c>
      <c r="AG13">
        <v>111.2</v>
      </c>
      <c r="AH13">
        <v>111.2</v>
      </c>
      <c r="AI13">
        <v>111.2</v>
      </c>
      <c r="AJ13">
        <v>111.2</v>
      </c>
      <c r="AK13">
        <v>111.3</v>
      </c>
      <c r="AL13">
        <v>111.3</v>
      </c>
      <c r="AM13">
        <v>111.5</v>
      </c>
      <c r="AN13">
        <v>112</v>
      </c>
      <c r="AO13">
        <v>112.1</v>
      </c>
      <c r="AP13">
        <v>112</v>
      </c>
    </row>
    <row r="14" spans="1:42" x14ac:dyDescent="0.3">
      <c r="A14">
        <v>1986</v>
      </c>
      <c r="B14">
        <v>116.1</v>
      </c>
      <c r="C14">
        <v>116</v>
      </c>
      <c r="D14">
        <v>115.9</v>
      </c>
      <c r="E14">
        <v>116.3</v>
      </c>
      <c r="F14">
        <v>116.3</v>
      </c>
      <c r="G14">
        <v>116.4</v>
      </c>
      <c r="H14">
        <v>116.4</v>
      </c>
      <c r="I14">
        <v>116.7</v>
      </c>
      <c r="J14">
        <v>116.7</v>
      </c>
      <c r="K14">
        <v>116.9</v>
      </c>
      <c r="L14">
        <v>117.2</v>
      </c>
      <c r="M14">
        <v>117.1</v>
      </c>
      <c r="O14" s="4"/>
      <c r="P14">
        <v>1986</v>
      </c>
      <c r="Q14">
        <v>113.6</v>
      </c>
      <c r="R14">
        <v>113.5</v>
      </c>
      <c r="S14">
        <v>113.4</v>
      </c>
      <c r="T14">
        <v>113.5</v>
      </c>
      <c r="U14">
        <v>113.6</v>
      </c>
      <c r="V14">
        <v>113.6</v>
      </c>
      <c r="W14">
        <v>113.6</v>
      </c>
      <c r="X14">
        <v>113.8</v>
      </c>
      <c r="Y14">
        <v>113.9</v>
      </c>
      <c r="Z14">
        <v>114.1</v>
      </c>
      <c r="AA14">
        <v>114.3</v>
      </c>
      <c r="AB14">
        <v>114.3</v>
      </c>
      <c r="AD14">
        <v>1986</v>
      </c>
      <c r="AE14">
        <v>113.6</v>
      </c>
      <c r="AF14">
        <v>113.5</v>
      </c>
      <c r="AG14">
        <v>113.4</v>
      </c>
      <c r="AH14">
        <v>113.5</v>
      </c>
      <c r="AI14">
        <v>113.6</v>
      </c>
      <c r="AJ14">
        <v>113.6</v>
      </c>
      <c r="AK14">
        <v>113.6</v>
      </c>
      <c r="AL14">
        <v>113.8</v>
      </c>
      <c r="AM14">
        <v>113.9</v>
      </c>
      <c r="AN14">
        <v>114.1</v>
      </c>
      <c r="AO14">
        <v>114.3</v>
      </c>
      <c r="AP14">
        <v>114.3</v>
      </c>
    </row>
    <row r="15" spans="1:42" x14ac:dyDescent="0.3">
      <c r="A15">
        <v>1987</v>
      </c>
      <c r="B15">
        <v>117.7</v>
      </c>
      <c r="C15">
        <v>117.9</v>
      </c>
      <c r="D15">
        <v>118.1</v>
      </c>
      <c r="E15">
        <v>118.2</v>
      </c>
      <c r="F15">
        <v>118.3</v>
      </c>
      <c r="G15">
        <v>118.3</v>
      </c>
      <c r="H15">
        <v>119</v>
      </c>
      <c r="I15">
        <v>120.2</v>
      </c>
      <c r="J15">
        <v>120.3</v>
      </c>
      <c r="K15">
        <v>121</v>
      </c>
      <c r="L15">
        <v>120.1</v>
      </c>
      <c r="M15">
        <v>119.8</v>
      </c>
      <c r="O15" s="4"/>
      <c r="P15">
        <v>1987</v>
      </c>
      <c r="Q15">
        <v>114.7</v>
      </c>
      <c r="R15">
        <v>114.9</v>
      </c>
      <c r="S15">
        <v>115.1</v>
      </c>
      <c r="T15">
        <v>115.3</v>
      </c>
      <c r="U15">
        <v>115.3</v>
      </c>
      <c r="V15">
        <v>115.3</v>
      </c>
      <c r="W15">
        <v>116</v>
      </c>
      <c r="X15">
        <v>115.7</v>
      </c>
      <c r="Y15">
        <v>115.9</v>
      </c>
      <c r="Z15">
        <v>116.6</v>
      </c>
      <c r="AA15">
        <v>116.7</v>
      </c>
      <c r="AB15">
        <v>116.4</v>
      </c>
      <c r="AD15">
        <v>1987</v>
      </c>
      <c r="AE15">
        <v>114.7</v>
      </c>
      <c r="AF15">
        <v>114.9</v>
      </c>
      <c r="AG15">
        <v>115.1</v>
      </c>
      <c r="AH15">
        <v>115.3</v>
      </c>
      <c r="AI15">
        <v>115.3</v>
      </c>
      <c r="AJ15">
        <v>115.3</v>
      </c>
      <c r="AK15">
        <v>116</v>
      </c>
      <c r="AL15">
        <v>115.7</v>
      </c>
      <c r="AM15">
        <v>115.9</v>
      </c>
      <c r="AN15">
        <v>116.6</v>
      </c>
      <c r="AO15">
        <v>116.7</v>
      </c>
      <c r="AP15">
        <v>116.4</v>
      </c>
    </row>
    <row r="16" spans="1:42" x14ac:dyDescent="0.3">
      <c r="A16">
        <v>1988</v>
      </c>
      <c r="B16">
        <v>121.4</v>
      </c>
      <c r="C16">
        <v>121.5</v>
      </c>
      <c r="D16">
        <v>121.5</v>
      </c>
      <c r="E16">
        <v>121.7</v>
      </c>
      <c r="F16">
        <v>122.9</v>
      </c>
      <c r="G16">
        <v>123.2</v>
      </c>
      <c r="H16">
        <v>123.9</v>
      </c>
      <c r="I16">
        <v>124.2</v>
      </c>
      <c r="J16">
        <v>124.5</v>
      </c>
      <c r="K16">
        <v>124.8</v>
      </c>
      <c r="L16">
        <v>124.8</v>
      </c>
      <c r="M16">
        <v>125.9</v>
      </c>
      <c r="O16" s="4"/>
      <c r="P16">
        <v>1988</v>
      </c>
      <c r="Q16">
        <v>116.8</v>
      </c>
      <c r="R16">
        <v>116.8</v>
      </c>
      <c r="S16">
        <v>116.9</v>
      </c>
      <c r="T16">
        <v>117</v>
      </c>
      <c r="U16">
        <v>118.4</v>
      </c>
      <c r="V16">
        <v>118.6</v>
      </c>
      <c r="W16">
        <v>119.5</v>
      </c>
      <c r="X16">
        <v>119.8</v>
      </c>
      <c r="Y16">
        <v>120.1</v>
      </c>
      <c r="Z16">
        <v>120.4</v>
      </c>
      <c r="AA16">
        <v>120.4</v>
      </c>
      <c r="AB16">
        <v>121.7</v>
      </c>
      <c r="AD16">
        <v>1988</v>
      </c>
      <c r="AE16">
        <v>116.8</v>
      </c>
      <c r="AF16">
        <v>116.8</v>
      </c>
      <c r="AG16">
        <v>116.9</v>
      </c>
      <c r="AH16">
        <v>117</v>
      </c>
      <c r="AI16">
        <v>118.4</v>
      </c>
      <c r="AJ16">
        <v>118.6</v>
      </c>
      <c r="AK16">
        <v>119.5</v>
      </c>
      <c r="AL16">
        <v>119.8</v>
      </c>
      <c r="AM16">
        <v>120.1</v>
      </c>
      <c r="AN16">
        <v>120.4</v>
      </c>
      <c r="AO16">
        <v>120.4</v>
      </c>
      <c r="AP16">
        <v>121.7</v>
      </c>
    </row>
    <row r="17" spans="1:42" x14ac:dyDescent="0.3">
      <c r="A17">
        <v>1989</v>
      </c>
      <c r="B17">
        <v>126.5</v>
      </c>
      <c r="C17">
        <v>126.9</v>
      </c>
      <c r="D17">
        <v>127.6</v>
      </c>
      <c r="E17">
        <v>128.19999999999999</v>
      </c>
      <c r="F17">
        <v>128.30000000000001</v>
      </c>
      <c r="G17">
        <v>130.1</v>
      </c>
      <c r="H17">
        <v>130.69999999999999</v>
      </c>
      <c r="I17">
        <v>131</v>
      </c>
      <c r="J17">
        <v>131.19999999999999</v>
      </c>
      <c r="K17">
        <v>131.5</v>
      </c>
      <c r="L17">
        <v>131.69999999999999</v>
      </c>
      <c r="M17">
        <v>131.69999999999999</v>
      </c>
      <c r="O17" s="4"/>
      <c r="P17">
        <v>1989</v>
      </c>
      <c r="Q17">
        <v>122.3</v>
      </c>
      <c r="R17">
        <v>122.7</v>
      </c>
      <c r="S17">
        <v>123.4</v>
      </c>
      <c r="T17">
        <v>124</v>
      </c>
      <c r="U17">
        <v>124.1</v>
      </c>
      <c r="V17">
        <v>126</v>
      </c>
      <c r="W17">
        <v>126.5</v>
      </c>
      <c r="X17">
        <v>126.8</v>
      </c>
      <c r="Y17">
        <v>127</v>
      </c>
      <c r="Z17">
        <v>127.3</v>
      </c>
      <c r="AA17">
        <v>127.5</v>
      </c>
      <c r="AB17">
        <v>127.5</v>
      </c>
      <c r="AD17">
        <v>1989</v>
      </c>
      <c r="AE17">
        <v>122.3</v>
      </c>
      <c r="AF17">
        <v>122.7</v>
      </c>
      <c r="AG17">
        <v>123.4</v>
      </c>
      <c r="AH17">
        <v>124</v>
      </c>
      <c r="AI17">
        <v>124.1</v>
      </c>
      <c r="AJ17">
        <v>126</v>
      </c>
      <c r="AK17">
        <v>126.5</v>
      </c>
      <c r="AL17">
        <v>126.8</v>
      </c>
      <c r="AM17">
        <v>127</v>
      </c>
      <c r="AN17">
        <v>127.3</v>
      </c>
      <c r="AO17">
        <v>127.5</v>
      </c>
      <c r="AP17">
        <v>127.5</v>
      </c>
    </row>
    <row r="18" spans="1:42" x14ac:dyDescent="0.3">
      <c r="A18">
        <v>1990</v>
      </c>
      <c r="B18">
        <v>132.1</v>
      </c>
      <c r="C18">
        <v>132.30000000000001</v>
      </c>
      <c r="D18">
        <v>133</v>
      </c>
      <c r="E18">
        <v>133.19999999999999</v>
      </c>
      <c r="F18">
        <v>133.30000000000001</v>
      </c>
      <c r="G18">
        <v>133.19999999999999</v>
      </c>
      <c r="H18">
        <v>133.6</v>
      </c>
      <c r="I18">
        <v>133.9</v>
      </c>
      <c r="J18">
        <v>134.19999999999999</v>
      </c>
      <c r="K18">
        <v>134.30000000000001</v>
      </c>
      <c r="L18">
        <v>134.5</v>
      </c>
      <c r="M18">
        <v>134.6</v>
      </c>
      <c r="O18" s="4"/>
      <c r="P18">
        <v>1990</v>
      </c>
      <c r="Q18">
        <v>127.9</v>
      </c>
      <c r="R18">
        <v>128</v>
      </c>
      <c r="S18">
        <v>128.69999999999999</v>
      </c>
      <c r="T18">
        <v>129</v>
      </c>
      <c r="U18">
        <v>129.1</v>
      </c>
      <c r="V18">
        <v>129</v>
      </c>
      <c r="W18">
        <v>129.4</v>
      </c>
      <c r="X18">
        <v>129.6</v>
      </c>
      <c r="Y18">
        <v>130</v>
      </c>
      <c r="Z18">
        <v>130.1</v>
      </c>
      <c r="AA18">
        <v>130.30000000000001</v>
      </c>
      <c r="AB18">
        <v>130.4</v>
      </c>
      <c r="AD18">
        <v>1990</v>
      </c>
      <c r="AE18">
        <v>127.9</v>
      </c>
      <c r="AF18">
        <v>128</v>
      </c>
      <c r="AG18">
        <v>128.69999999999999</v>
      </c>
      <c r="AH18">
        <v>129</v>
      </c>
      <c r="AI18">
        <v>129.1</v>
      </c>
      <c r="AJ18">
        <v>129</v>
      </c>
      <c r="AK18">
        <v>129.4</v>
      </c>
      <c r="AL18">
        <v>129.6</v>
      </c>
      <c r="AM18">
        <v>130</v>
      </c>
      <c r="AN18">
        <v>130.1</v>
      </c>
      <c r="AO18">
        <v>130.30000000000001</v>
      </c>
      <c r="AP18">
        <v>130.4</v>
      </c>
    </row>
    <row r="19" spans="1:42" x14ac:dyDescent="0.3">
      <c r="A19">
        <v>1991</v>
      </c>
      <c r="B19">
        <v>134.69999999999999</v>
      </c>
      <c r="C19">
        <v>134.4</v>
      </c>
      <c r="D19">
        <v>134.9</v>
      </c>
      <c r="E19">
        <v>134.19999999999999</v>
      </c>
      <c r="F19">
        <v>134.19999999999999</v>
      </c>
      <c r="G19">
        <v>134</v>
      </c>
      <c r="H19">
        <v>133.6</v>
      </c>
      <c r="I19">
        <v>133.80000000000001</v>
      </c>
      <c r="J19">
        <v>133.80000000000001</v>
      </c>
      <c r="K19">
        <v>133.9</v>
      </c>
      <c r="L19">
        <v>134</v>
      </c>
      <c r="M19">
        <v>134</v>
      </c>
      <c r="O19" s="4"/>
      <c r="P19">
        <v>1991</v>
      </c>
      <c r="Q19">
        <v>130.5</v>
      </c>
      <c r="R19">
        <v>130.19999999999999</v>
      </c>
      <c r="S19">
        <v>130.69999999999999</v>
      </c>
      <c r="T19">
        <v>130</v>
      </c>
      <c r="U19">
        <v>130</v>
      </c>
      <c r="V19">
        <v>129.80000000000001</v>
      </c>
      <c r="W19">
        <v>129.4</v>
      </c>
      <c r="X19">
        <v>129.6</v>
      </c>
      <c r="Y19">
        <v>129.6</v>
      </c>
      <c r="Z19">
        <v>129.69999999999999</v>
      </c>
      <c r="AA19">
        <v>129.80000000000001</v>
      </c>
      <c r="AB19">
        <v>129.80000000000001</v>
      </c>
      <c r="AD19">
        <v>1991</v>
      </c>
      <c r="AE19">
        <v>130.5</v>
      </c>
      <c r="AF19">
        <v>130.19999999999999</v>
      </c>
      <c r="AG19">
        <v>130.69999999999999</v>
      </c>
      <c r="AH19">
        <v>130</v>
      </c>
      <c r="AI19">
        <v>130</v>
      </c>
      <c r="AJ19">
        <v>129.80000000000001</v>
      </c>
      <c r="AK19">
        <v>129.4</v>
      </c>
      <c r="AL19">
        <v>129.6</v>
      </c>
      <c r="AM19">
        <v>129.6</v>
      </c>
      <c r="AN19">
        <v>129.69999999999999</v>
      </c>
      <c r="AO19">
        <v>129.80000000000001</v>
      </c>
      <c r="AP19">
        <v>129.80000000000001</v>
      </c>
    </row>
    <row r="20" spans="1:42" x14ac:dyDescent="0.3">
      <c r="A20">
        <v>1992</v>
      </c>
      <c r="B20">
        <v>134</v>
      </c>
      <c r="C20">
        <v>134.30000000000001</v>
      </c>
      <c r="D20">
        <v>135.19999999999999</v>
      </c>
      <c r="E20">
        <v>135.19999999999999</v>
      </c>
      <c r="F20">
        <v>135.19999999999999</v>
      </c>
      <c r="G20">
        <v>135.19999999999999</v>
      </c>
      <c r="H20">
        <v>135.19999999999999</v>
      </c>
      <c r="I20">
        <v>135.19999999999999</v>
      </c>
      <c r="J20">
        <v>135.4</v>
      </c>
      <c r="K20">
        <v>136.19999999999999</v>
      </c>
      <c r="L20">
        <v>136.1</v>
      </c>
      <c r="M20">
        <v>136.19999999999999</v>
      </c>
      <c r="O20" s="4"/>
      <c r="P20">
        <v>1992</v>
      </c>
      <c r="Q20">
        <v>129.80000000000001</v>
      </c>
      <c r="R20">
        <v>130.1</v>
      </c>
      <c r="S20">
        <v>130.9</v>
      </c>
      <c r="T20">
        <v>130.9</v>
      </c>
      <c r="U20">
        <v>131</v>
      </c>
      <c r="V20">
        <v>130.9</v>
      </c>
      <c r="W20">
        <v>131</v>
      </c>
      <c r="X20">
        <v>131</v>
      </c>
      <c r="Y20">
        <v>131.19999999999999</v>
      </c>
      <c r="Z20">
        <v>131.9</v>
      </c>
      <c r="AA20">
        <v>131.80000000000001</v>
      </c>
      <c r="AB20">
        <v>131.9</v>
      </c>
      <c r="AD20">
        <v>1992</v>
      </c>
      <c r="AE20">
        <v>129.80000000000001</v>
      </c>
      <c r="AF20">
        <v>130.1</v>
      </c>
      <c r="AG20">
        <v>130.9</v>
      </c>
      <c r="AH20">
        <v>130.9</v>
      </c>
      <c r="AI20">
        <v>131</v>
      </c>
      <c r="AJ20">
        <v>130.9</v>
      </c>
      <c r="AK20">
        <v>131</v>
      </c>
      <c r="AL20">
        <v>131</v>
      </c>
      <c r="AM20">
        <v>131.19999999999999</v>
      </c>
      <c r="AN20">
        <v>131.9</v>
      </c>
      <c r="AO20">
        <v>131.80000000000001</v>
      </c>
      <c r="AP20">
        <v>131.9</v>
      </c>
    </row>
    <row r="21" spans="1:42" x14ac:dyDescent="0.3">
      <c r="A21">
        <v>1993</v>
      </c>
      <c r="B21">
        <v>136.4</v>
      </c>
      <c r="C21">
        <v>136.9</v>
      </c>
      <c r="D21">
        <v>137.69999999999999</v>
      </c>
      <c r="E21">
        <v>137.9</v>
      </c>
      <c r="F21">
        <v>137.80000000000001</v>
      </c>
      <c r="G21">
        <v>137.6</v>
      </c>
      <c r="H21">
        <v>137.6</v>
      </c>
      <c r="I21">
        <v>137.6</v>
      </c>
      <c r="J21">
        <v>138.19999999999999</v>
      </c>
      <c r="K21">
        <v>138.30000000000001</v>
      </c>
      <c r="L21">
        <v>138.5</v>
      </c>
      <c r="M21">
        <v>138.6</v>
      </c>
      <c r="O21" s="4"/>
      <c r="P21">
        <v>1993</v>
      </c>
      <c r="Q21">
        <v>132.1</v>
      </c>
      <c r="R21">
        <v>132.6</v>
      </c>
      <c r="S21">
        <v>133.30000000000001</v>
      </c>
      <c r="T21">
        <v>133.5</v>
      </c>
      <c r="U21">
        <v>133.5</v>
      </c>
      <c r="V21">
        <v>133.30000000000001</v>
      </c>
      <c r="W21">
        <v>133.30000000000001</v>
      </c>
      <c r="X21">
        <v>133.19999999999999</v>
      </c>
      <c r="Y21">
        <v>133.9</v>
      </c>
      <c r="Z21">
        <v>133.9</v>
      </c>
      <c r="AA21">
        <v>134.19999999999999</v>
      </c>
      <c r="AB21">
        <v>134.19999999999999</v>
      </c>
      <c r="AD21">
        <v>1993</v>
      </c>
      <c r="AE21">
        <v>132.1</v>
      </c>
      <c r="AF21">
        <v>132.6</v>
      </c>
      <c r="AG21">
        <v>133.30000000000001</v>
      </c>
      <c r="AH21">
        <v>133.5</v>
      </c>
      <c r="AI21">
        <v>133.5</v>
      </c>
      <c r="AJ21">
        <v>133.30000000000001</v>
      </c>
      <c r="AK21">
        <v>133.30000000000001</v>
      </c>
      <c r="AL21">
        <v>133.19999999999999</v>
      </c>
      <c r="AM21">
        <v>133.9</v>
      </c>
      <c r="AN21">
        <v>133.9</v>
      </c>
      <c r="AO21">
        <v>134.19999999999999</v>
      </c>
      <c r="AP21">
        <v>134.19999999999999</v>
      </c>
    </row>
    <row r="22" spans="1:42" x14ac:dyDescent="0.3">
      <c r="A22">
        <v>1994</v>
      </c>
      <c r="B22">
        <v>138.69999999999999</v>
      </c>
      <c r="C22">
        <v>138.4</v>
      </c>
      <c r="D22">
        <v>139.19999999999999</v>
      </c>
      <c r="E22">
        <v>139.30000000000001</v>
      </c>
      <c r="F22">
        <v>139.30000000000001</v>
      </c>
      <c r="G22">
        <v>139.5</v>
      </c>
      <c r="H22">
        <v>139.9</v>
      </c>
      <c r="I22">
        <v>140.1</v>
      </c>
      <c r="J22">
        <v>140.5</v>
      </c>
      <c r="K22">
        <v>140.80000000000001</v>
      </c>
      <c r="L22">
        <v>141</v>
      </c>
      <c r="M22">
        <v>141.5</v>
      </c>
      <c r="O22" s="4"/>
      <c r="P22">
        <v>1994</v>
      </c>
      <c r="Q22">
        <v>134.30000000000001</v>
      </c>
      <c r="R22">
        <v>134</v>
      </c>
      <c r="S22">
        <v>134.80000000000001</v>
      </c>
      <c r="T22">
        <v>135</v>
      </c>
      <c r="U22">
        <v>135</v>
      </c>
      <c r="V22">
        <v>135.1</v>
      </c>
      <c r="W22">
        <v>135.5</v>
      </c>
      <c r="X22">
        <v>135.69999999999999</v>
      </c>
      <c r="Y22">
        <v>136.1</v>
      </c>
      <c r="Z22">
        <v>136.30000000000001</v>
      </c>
      <c r="AA22">
        <v>136.6</v>
      </c>
      <c r="AB22">
        <v>137.1</v>
      </c>
      <c r="AD22">
        <v>1994</v>
      </c>
      <c r="AE22">
        <v>134.30000000000001</v>
      </c>
      <c r="AF22">
        <v>134</v>
      </c>
      <c r="AG22">
        <v>134.80000000000001</v>
      </c>
      <c r="AH22">
        <v>135</v>
      </c>
      <c r="AI22">
        <v>135</v>
      </c>
      <c r="AJ22">
        <v>135.1</v>
      </c>
      <c r="AK22">
        <v>135.5</v>
      </c>
      <c r="AL22">
        <v>135.69999999999999</v>
      </c>
      <c r="AM22">
        <v>136.1</v>
      </c>
      <c r="AN22">
        <v>136.30000000000001</v>
      </c>
      <c r="AO22">
        <v>136.6</v>
      </c>
      <c r="AP22">
        <v>137.1</v>
      </c>
    </row>
    <row r="23" spans="1:42" x14ac:dyDescent="0.3">
      <c r="A23">
        <v>1995</v>
      </c>
      <c r="B23">
        <v>142.30000000000001</v>
      </c>
      <c r="C23">
        <v>142.9</v>
      </c>
      <c r="D23">
        <v>143</v>
      </c>
      <c r="E23">
        <v>143.4</v>
      </c>
      <c r="F23">
        <v>143.9</v>
      </c>
      <c r="G23">
        <v>144.4</v>
      </c>
      <c r="H23">
        <v>145.4</v>
      </c>
      <c r="I23">
        <v>145.5</v>
      </c>
      <c r="J23">
        <v>145.9</v>
      </c>
      <c r="K23">
        <v>145.9</v>
      </c>
      <c r="L23">
        <v>146</v>
      </c>
      <c r="M23">
        <v>146.1</v>
      </c>
      <c r="O23" s="4"/>
      <c r="P23">
        <v>1995</v>
      </c>
      <c r="Q23">
        <v>137.80000000000001</v>
      </c>
      <c r="R23">
        <v>138.4</v>
      </c>
      <c r="S23">
        <v>138.5</v>
      </c>
      <c r="T23">
        <v>138.9</v>
      </c>
      <c r="U23">
        <v>139.4</v>
      </c>
      <c r="V23">
        <v>139.80000000000001</v>
      </c>
      <c r="W23">
        <v>140.80000000000001</v>
      </c>
      <c r="X23">
        <v>140.9</v>
      </c>
      <c r="Y23">
        <v>141.30000000000001</v>
      </c>
      <c r="Z23">
        <v>141.30000000000001</v>
      </c>
      <c r="AA23">
        <v>141.4</v>
      </c>
      <c r="AB23">
        <v>141.6</v>
      </c>
      <c r="AD23">
        <v>1995</v>
      </c>
      <c r="AE23">
        <v>137.80000000000001</v>
      </c>
      <c r="AF23">
        <v>138.4</v>
      </c>
      <c r="AG23">
        <v>138.5</v>
      </c>
      <c r="AH23">
        <v>138.9</v>
      </c>
      <c r="AI23">
        <v>139.4</v>
      </c>
      <c r="AJ23">
        <v>139.80000000000001</v>
      </c>
      <c r="AK23">
        <v>140.80000000000001</v>
      </c>
      <c r="AL23">
        <v>140.9</v>
      </c>
      <c r="AM23">
        <v>141.30000000000001</v>
      </c>
      <c r="AN23">
        <v>141.30000000000001</v>
      </c>
      <c r="AO23">
        <v>141.4</v>
      </c>
      <c r="AP23">
        <v>141.6</v>
      </c>
    </row>
    <row r="24" spans="1:42" x14ac:dyDescent="0.3">
      <c r="A24">
        <v>1996</v>
      </c>
      <c r="B24">
        <v>146.4</v>
      </c>
      <c r="C24">
        <v>146.80000000000001</v>
      </c>
      <c r="D24">
        <v>146.80000000000001</v>
      </c>
      <c r="E24">
        <v>147.19999999999999</v>
      </c>
      <c r="F24">
        <v>147.6</v>
      </c>
      <c r="G24">
        <v>147.69999999999999</v>
      </c>
      <c r="H24">
        <v>148.19999999999999</v>
      </c>
      <c r="I24">
        <v>148.19999999999999</v>
      </c>
      <c r="J24">
        <v>148.30000000000001</v>
      </c>
      <c r="K24">
        <v>148.30000000000001</v>
      </c>
      <c r="L24">
        <v>148.1</v>
      </c>
      <c r="M24">
        <v>148.19999999999999</v>
      </c>
      <c r="O24" s="4"/>
      <c r="P24">
        <v>1996</v>
      </c>
      <c r="Q24">
        <v>141.80000000000001</v>
      </c>
      <c r="R24">
        <v>142.19999999999999</v>
      </c>
      <c r="S24">
        <v>142.19999999999999</v>
      </c>
      <c r="T24">
        <v>142.6</v>
      </c>
      <c r="U24">
        <v>143</v>
      </c>
      <c r="V24">
        <v>143.1</v>
      </c>
      <c r="W24">
        <v>143.6</v>
      </c>
      <c r="X24">
        <v>143.6</v>
      </c>
      <c r="Y24">
        <v>143.6</v>
      </c>
      <c r="Z24">
        <v>143.6</v>
      </c>
      <c r="AA24">
        <v>143.5</v>
      </c>
      <c r="AB24">
        <v>143.5</v>
      </c>
      <c r="AD24">
        <v>1996</v>
      </c>
      <c r="AE24">
        <v>141.80000000000001</v>
      </c>
      <c r="AF24">
        <v>142.19999999999999</v>
      </c>
      <c r="AG24">
        <v>142.19999999999999</v>
      </c>
      <c r="AH24">
        <v>142.6</v>
      </c>
      <c r="AI24">
        <v>143</v>
      </c>
      <c r="AJ24">
        <v>143.1</v>
      </c>
      <c r="AK24">
        <v>143.6</v>
      </c>
      <c r="AL24">
        <v>143.6</v>
      </c>
      <c r="AM24">
        <v>143.6</v>
      </c>
      <c r="AN24">
        <v>143.6</v>
      </c>
      <c r="AO24">
        <v>143.5</v>
      </c>
      <c r="AP24">
        <v>143.5</v>
      </c>
    </row>
    <row r="25" spans="1:42" x14ac:dyDescent="0.3">
      <c r="A25">
        <v>1997</v>
      </c>
      <c r="B25">
        <v>147.30000000000001</v>
      </c>
      <c r="C25">
        <v>147.19999999999999</v>
      </c>
      <c r="D25">
        <v>147</v>
      </c>
      <c r="E25">
        <v>146.80000000000001</v>
      </c>
      <c r="F25">
        <v>147</v>
      </c>
      <c r="G25">
        <v>147</v>
      </c>
      <c r="H25">
        <v>147.1</v>
      </c>
      <c r="I25">
        <v>146.80000000000001</v>
      </c>
      <c r="J25">
        <v>146.9</v>
      </c>
      <c r="K25">
        <v>147.1</v>
      </c>
      <c r="L25">
        <v>147.30000000000001</v>
      </c>
      <c r="M25">
        <v>147.30000000000001</v>
      </c>
      <c r="O25" s="4"/>
      <c r="P25">
        <v>1997</v>
      </c>
      <c r="Q25">
        <v>142.69999999999999</v>
      </c>
      <c r="R25">
        <v>142.6</v>
      </c>
      <c r="S25">
        <v>142.4</v>
      </c>
      <c r="T25">
        <v>142.19999999999999</v>
      </c>
      <c r="U25">
        <v>142.30000000000001</v>
      </c>
      <c r="V25">
        <v>142.30000000000001</v>
      </c>
      <c r="W25">
        <v>142.5</v>
      </c>
      <c r="X25">
        <v>142.1</v>
      </c>
      <c r="Y25">
        <v>142.30000000000001</v>
      </c>
      <c r="Z25">
        <v>142.4</v>
      </c>
      <c r="AA25">
        <v>142.6</v>
      </c>
      <c r="AB25">
        <v>142.69999999999999</v>
      </c>
      <c r="AD25">
        <v>1997</v>
      </c>
      <c r="AE25">
        <v>142.69999999999999</v>
      </c>
      <c r="AF25">
        <v>142.6</v>
      </c>
      <c r="AG25">
        <v>142.4</v>
      </c>
      <c r="AH25">
        <v>142.19999999999999</v>
      </c>
      <c r="AI25">
        <v>142.30000000000001</v>
      </c>
      <c r="AJ25">
        <v>142.30000000000001</v>
      </c>
      <c r="AK25">
        <v>142.5</v>
      </c>
      <c r="AL25">
        <v>142.1</v>
      </c>
      <c r="AM25">
        <v>142.30000000000001</v>
      </c>
      <c r="AN25">
        <v>142.4</v>
      </c>
      <c r="AO25">
        <v>142.6</v>
      </c>
      <c r="AP25">
        <v>142.69999999999999</v>
      </c>
    </row>
    <row r="26" spans="1:42" x14ac:dyDescent="0.3">
      <c r="A26">
        <v>1998</v>
      </c>
      <c r="B26">
        <v>147.5</v>
      </c>
      <c r="C26">
        <v>147.6</v>
      </c>
      <c r="D26">
        <v>147.69999999999999</v>
      </c>
      <c r="E26">
        <v>148.19999999999999</v>
      </c>
      <c r="F26">
        <v>148.19999999999999</v>
      </c>
      <c r="G26">
        <v>148.19999999999999</v>
      </c>
      <c r="H26">
        <v>148.4</v>
      </c>
      <c r="I26">
        <v>148.4</v>
      </c>
      <c r="J26">
        <v>148.5</v>
      </c>
      <c r="K26">
        <v>149.1</v>
      </c>
      <c r="L26">
        <v>148.9</v>
      </c>
      <c r="M26">
        <v>149.1</v>
      </c>
      <c r="O26" s="4"/>
      <c r="P26">
        <v>1998</v>
      </c>
      <c r="Q26">
        <v>142.80000000000001</v>
      </c>
      <c r="R26">
        <v>143</v>
      </c>
      <c r="S26">
        <v>143</v>
      </c>
      <c r="T26">
        <v>143.6</v>
      </c>
      <c r="U26">
        <v>143.6</v>
      </c>
      <c r="V26">
        <v>143.19999999999999</v>
      </c>
      <c r="W26">
        <v>143.5</v>
      </c>
      <c r="X26">
        <v>143.5</v>
      </c>
      <c r="Y26">
        <v>143.6</v>
      </c>
      <c r="Z26">
        <v>144.19999999999999</v>
      </c>
      <c r="AA26">
        <v>144.1</v>
      </c>
      <c r="AB26">
        <v>144.19999999999999</v>
      </c>
      <c r="AD26">
        <v>1998</v>
      </c>
      <c r="AE26">
        <v>142.80000000000001</v>
      </c>
      <c r="AF26">
        <v>143</v>
      </c>
      <c r="AG26">
        <v>143</v>
      </c>
      <c r="AH26">
        <v>143.6</v>
      </c>
      <c r="AI26">
        <v>143.6</v>
      </c>
      <c r="AJ26">
        <v>143.19999999999999</v>
      </c>
      <c r="AK26">
        <v>143.5</v>
      </c>
      <c r="AL26">
        <v>143.5</v>
      </c>
      <c r="AM26">
        <v>143.6</v>
      </c>
      <c r="AN26">
        <v>144.19999999999999</v>
      </c>
      <c r="AO26">
        <v>144.1</v>
      </c>
      <c r="AP26">
        <v>144.19999999999999</v>
      </c>
    </row>
    <row r="27" spans="1:42" x14ac:dyDescent="0.3">
      <c r="A27">
        <v>1999</v>
      </c>
      <c r="B27">
        <v>148.5</v>
      </c>
      <c r="C27">
        <v>148.30000000000001</v>
      </c>
      <c r="D27">
        <v>148.4</v>
      </c>
      <c r="E27">
        <v>148.19999999999999</v>
      </c>
      <c r="F27">
        <v>148.4</v>
      </c>
      <c r="G27">
        <v>148.4</v>
      </c>
      <c r="H27">
        <v>148.30000000000001</v>
      </c>
      <c r="I27">
        <v>149</v>
      </c>
      <c r="J27">
        <v>148.5</v>
      </c>
      <c r="K27">
        <v>148.69999999999999</v>
      </c>
      <c r="L27">
        <v>148.69999999999999</v>
      </c>
      <c r="M27">
        <v>148.80000000000001</v>
      </c>
      <c r="O27" s="4"/>
      <c r="P27">
        <v>1999</v>
      </c>
      <c r="Q27">
        <v>143.6</v>
      </c>
      <c r="R27">
        <v>143.4</v>
      </c>
      <c r="S27">
        <v>143.5</v>
      </c>
      <c r="T27">
        <v>143.30000000000001</v>
      </c>
      <c r="U27">
        <v>143.5</v>
      </c>
      <c r="V27">
        <v>143.4</v>
      </c>
      <c r="W27">
        <v>143.4</v>
      </c>
      <c r="X27">
        <v>144.1</v>
      </c>
      <c r="Y27">
        <v>143.5</v>
      </c>
      <c r="Z27">
        <v>143.80000000000001</v>
      </c>
      <c r="AA27">
        <v>143.69999999999999</v>
      </c>
      <c r="AB27">
        <v>143.9</v>
      </c>
      <c r="AD27">
        <v>1999</v>
      </c>
      <c r="AE27">
        <v>143.6</v>
      </c>
      <c r="AF27">
        <v>143.4</v>
      </c>
      <c r="AG27">
        <v>143.5</v>
      </c>
      <c r="AH27">
        <v>143.30000000000001</v>
      </c>
      <c r="AI27">
        <v>143.5</v>
      </c>
      <c r="AJ27">
        <v>143.4</v>
      </c>
      <c r="AK27">
        <v>143.4</v>
      </c>
      <c r="AL27">
        <v>144.1</v>
      </c>
      <c r="AM27">
        <v>143.5</v>
      </c>
      <c r="AN27">
        <v>143.80000000000001</v>
      </c>
      <c r="AO27">
        <v>143.69999999999999</v>
      </c>
      <c r="AP27">
        <v>143.9</v>
      </c>
    </row>
    <row r="28" spans="1:42" x14ac:dyDescent="0.3">
      <c r="A28">
        <v>2000</v>
      </c>
      <c r="B28">
        <v>148.80000000000001</v>
      </c>
      <c r="C28">
        <v>149.19999999999999</v>
      </c>
      <c r="D28">
        <v>149.9</v>
      </c>
      <c r="E28">
        <v>150.1</v>
      </c>
      <c r="F28">
        <v>150.6</v>
      </c>
      <c r="G28">
        <v>152</v>
      </c>
      <c r="H28">
        <v>152</v>
      </c>
      <c r="I28">
        <v>152.1</v>
      </c>
      <c r="J28">
        <v>152.4</v>
      </c>
      <c r="K28">
        <v>152.6</v>
      </c>
      <c r="L28">
        <v>152.69999999999999</v>
      </c>
      <c r="M28">
        <v>153.30000000000001</v>
      </c>
      <c r="O28" s="4"/>
      <c r="P28">
        <v>2000</v>
      </c>
      <c r="Q28">
        <v>143.9</v>
      </c>
      <c r="R28">
        <v>144.30000000000001</v>
      </c>
      <c r="S28">
        <v>145</v>
      </c>
      <c r="T28">
        <v>145.19999999999999</v>
      </c>
      <c r="U28">
        <v>145.69999999999999</v>
      </c>
      <c r="V28">
        <v>147.19999999999999</v>
      </c>
      <c r="W28">
        <v>147.19999999999999</v>
      </c>
      <c r="X28">
        <v>147.30000000000001</v>
      </c>
      <c r="Y28">
        <v>147.6</v>
      </c>
      <c r="Z28">
        <v>147.80000000000001</v>
      </c>
      <c r="AA28">
        <v>147.80000000000001</v>
      </c>
      <c r="AB28">
        <v>148.1</v>
      </c>
      <c r="AD28">
        <v>2000</v>
      </c>
      <c r="AE28">
        <v>143.9</v>
      </c>
      <c r="AF28">
        <v>144.30000000000001</v>
      </c>
      <c r="AG28">
        <v>145</v>
      </c>
      <c r="AH28">
        <v>145.19999999999999</v>
      </c>
      <c r="AI28">
        <v>145.69999999999999</v>
      </c>
      <c r="AJ28">
        <v>147.19999999999999</v>
      </c>
      <c r="AK28">
        <v>147.19999999999999</v>
      </c>
      <c r="AL28">
        <v>147.30000000000001</v>
      </c>
      <c r="AM28">
        <v>147.6</v>
      </c>
      <c r="AN28">
        <v>147.80000000000001</v>
      </c>
      <c r="AO28">
        <v>147.80000000000001</v>
      </c>
      <c r="AP28">
        <v>148.1</v>
      </c>
    </row>
    <row r="29" spans="1:42" x14ac:dyDescent="0.3">
      <c r="A29">
        <v>2001</v>
      </c>
      <c r="B29">
        <v>153.30000000000001</v>
      </c>
      <c r="C29">
        <v>153.4</v>
      </c>
      <c r="D29">
        <v>153.5</v>
      </c>
      <c r="E29">
        <v>154.30000000000001</v>
      </c>
      <c r="F29">
        <v>153.6</v>
      </c>
      <c r="G29">
        <v>153.6</v>
      </c>
      <c r="H29">
        <v>153.80000000000001</v>
      </c>
      <c r="I29">
        <v>153.6</v>
      </c>
      <c r="J29">
        <v>153.69999999999999</v>
      </c>
      <c r="K29">
        <v>153.6</v>
      </c>
      <c r="L29">
        <v>153.5</v>
      </c>
      <c r="M29">
        <v>152.6</v>
      </c>
      <c r="O29" s="4"/>
      <c r="P29">
        <v>2001</v>
      </c>
      <c r="Q29">
        <v>148.1</v>
      </c>
      <c r="R29">
        <v>148.19999999999999</v>
      </c>
      <c r="S29">
        <v>148.30000000000001</v>
      </c>
      <c r="T29">
        <v>149.19999999999999</v>
      </c>
      <c r="U29">
        <v>148.5</v>
      </c>
      <c r="V29">
        <v>148.5</v>
      </c>
      <c r="W29">
        <v>148.69999999999999</v>
      </c>
      <c r="X29">
        <v>148.5</v>
      </c>
      <c r="Y29">
        <v>148.5</v>
      </c>
      <c r="Z29">
        <v>148.4</v>
      </c>
      <c r="AA29">
        <v>148.4</v>
      </c>
      <c r="AB29">
        <v>147.4</v>
      </c>
      <c r="AD29">
        <v>2001</v>
      </c>
      <c r="AE29">
        <v>148.1</v>
      </c>
      <c r="AF29">
        <v>148.19999999999999</v>
      </c>
      <c r="AG29">
        <v>148.30000000000001</v>
      </c>
      <c r="AH29">
        <v>149.19999999999999</v>
      </c>
      <c r="AI29">
        <v>148.5</v>
      </c>
      <c r="AJ29">
        <v>148.5</v>
      </c>
      <c r="AK29">
        <v>148.69999999999999</v>
      </c>
      <c r="AL29">
        <v>148.5</v>
      </c>
      <c r="AM29">
        <v>148.5</v>
      </c>
      <c r="AN29">
        <v>148.4</v>
      </c>
      <c r="AO29">
        <v>148.4</v>
      </c>
      <c r="AP29">
        <v>147.4</v>
      </c>
    </row>
    <row r="30" spans="1:42" x14ac:dyDescent="0.3">
      <c r="A30">
        <v>2002</v>
      </c>
      <c r="B30">
        <v>152.4</v>
      </c>
      <c r="C30">
        <v>152.4</v>
      </c>
      <c r="D30">
        <v>150.6</v>
      </c>
      <c r="E30">
        <v>152.1</v>
      </c>
      <c r="F30">
        <v>152</v>
      </c>
      <c r="G30">
        <v>152</v>
      </c>
      <c r="H30">
        <v>151.69999999999999</v>
      </c>
      <c r="I30">
        <v>151.19999999999999</v>
      </c>
      <c r="J30">
        <v>151.19999999999999</v>
      </c>
      <c r="K30">
        <v>150.9</v>
      </c>
      <c r="L30">
        <v>150.9</v>
      </c>
      <c r="M30">
        <v>150.69999999999999</v>
      </c>
      <c r="O30" s="4"/>
      <c r="P30">
        <v>2002</v>
      </c>
      <c r="Q30">
        <v>147.80000000000001</v>
      </c>
      <c r="R30">
        <v>147.80000000000001</v>
      </c>
      <c r="S30">
        <v>146</v>
      </c>
      <c r="T30">
        <v>147.5</v>
      </c>
      <c r="U30">
        <v>147.5</v>
      </c>
      <c r="V30">
        <v>147.4</v>
      </c>
      <c r="W30">
        <v>147.1</v>
      </c>
      <c r="X30">
        <v>146.6</v>
      </c>
      <c r="Y30">
        <v>146.6</v>
      </c>
      <c r="Z30">
        <v>146.4</v>
      </c>
      <c r="AA30">
        <v>146.4</v>
      </c>
      <c r="AB30">
        <v>146.19999999999999</v>
      </c>
      <c r="AD30">
        <v>2002</v>
      </c>
      <c r="AE30">
        <v>147.80000000000001</v>
      </c>
      <c r="AF30">
        <v>147.80000000000001</v>
      </c>
      <c r="AG30">
        <v>146</v>
      </c>
      <c r="AH30">
        <v>147.5</v>
      </c>
      <c r="AI30">
        <v>147.5</v>
      </c>
      <c r="AJ30">
        <v>147.4</v>
      </c>
      <c r="AK30">
        <v>147.1</v>
      </c>
      <c r="AL30">
        <v>146.6</v>
      </c>
      <c r="AM30">
        <v>146.6</v>
      </c>
      <c r="AN30">
        <v>146.4</v>
      </c>
      <c r="AO30">
        <v>146.4</v>
      </c>
      <c r="AP30">
        <v>146.19999999999999</v>
      </c>
    </row>
    <row r="31" spans="1:42" x14ac:dyDescent="0.3">
      <c r="A31">
        <v>2003</v>
      </c>
      <c r="B31">
        <v>150.80000000000001</v>
      </c>
      <c r="C31">
        <v>151.6</v>
      </c>
      <c r="D31">
        <v>150.69999999999999</v>
      </c>
      <c r="E31">
        <v>150.80000000000001</v>
      </c>
      <c r="F31">
        <v>151</v>
      </c>
      <c r="G31">
        <v>151</v>
      </c>
      <c r="H31">
        <v>149.80000000000001</v>
      </c>
      <c r="I31">
        <v>150</v>
      </c>
      <c r="J31">
        <v>150.1</v>
      </c>
      <c r="K31">
        <v>150.4</v>
      </c>
      <c r="L31">
        <v>150.5</v>
      </c>
      <c r="M31">
        <v>150.4</v>
      </c>
      <c r="O31" s="4"/>
      <c r="P31">
        <v>2003</v>
      </c>
      <c r="Q31">
        <v>146.19999999999999</v>
      </c>
      <c r="R31">
        <v>147.30000000000001</v>
      </c>
      <c r="S31">
        <v>146.6</v>
      </c>
      <c r="T31">
        <v>146.69999999999999</v>
      </c>
      <c r="U31">
        <v>146.9</v>
      </c>
      <c r="V31">
        <v>146.9</v>
      </c>
      <c r="W31">
        <v>145.69999999999999</v>
      </c>
      <c r="X31">
        <v>145.9</v>
      </c>
      <c r="Y31">
        <v>146</v>
      </c>
      <c r="Z31">
        <v>146.19999999999999</v>
      </c>
      <c r="AA31">
        <v>146.30000000000001</v>
      </c>
      <c r="AB31">
        <v>146.30000000000001</v>
      </c>
      <c r="AD31">
        <v>2003</v>
      </c>
      <c r="AE31">
        <v>146.19999999999999</v>
      </c>
      <c r="AF31">
        <v>147.30000000000001</v>
      </c>
      <c r="AG31">
        <v>146.6</v>
      </c>
      <c r="AH31">
        <v>146.69999999999999</v>
      </c>
      <c r="AI31">
        <v>146.9</v>
      </c>
      <c r="AJ31">
        <v>146.9</v>
      </c>
      <c r="AK31">
        <v>145.69999999999999</v>
      </c>
      <c r="AL31">
        <v>145.9</v>
      </c>
      <c r="AM31">
        <v>146</v>
      </c>
      <c r="AN31">
        <v>146.19999999999999</v>
      </c>
      <c r="AO31">
        <v>146.30000000000001</v>
      </c>
      <c r="AP31">
        <v>146.30000000000001</v>
      </c>
    </row>
    <row r="32" spans="1:42" x14ac:dyDescent="0.3">
      <c r="A32">
        <v>2004</v>
      </c>
      <c r="B32">
        <v>150.4</v>
      </c>
      <c r="C32">
        <v>150.19999999999999</v>
      </c>
      <c r="D32">
        <v>150.69999999999999</v>
      </c>
      <c r="E32">
        <v>151</v>
      </c>
      <c r="F32">
        <v>151</v>
      </c>
      <c r="G32">
        <v>151.19999999999999</v>
      </c>
      <c r="H32">
        <v>151.69999999999999</v>
      </c>
      <c r="I32">
        <v>151.69999999999999</v>
      </c>
      <c r="J32">
        <v>152.9</v>
      </c>
      <c r="K32">
        <v>153.30000000000001</v>
      </c>
      <c r="L32">
        <v>153.19999999999999</v>
      </c>
      <c r="M32">
        <v>153.1</v>
      </c>
      <c r="O32" s="4"/>
      <c r="P32">
        <v>2004</v>
      </c>
      <c r="Q32">
        <v>146.19999999999999</v>
      </c>
      <c r="R32">
        <v>146.1</v>
      </c>
      <c r="S32">
        <v>146.5</v>
      </c>
      <c r="T32">
        <v>146.9</v>
      </c>
      <c r="U32">
        <v>146.9</v>
      </c>
      <c r="V32">
        <v>147</v>
      </c>
      <c r="W32">
        <v>147.6</v>
      </c>
      <c r="X32">
        <v>147.6</v>
      </c>
      <c r="Y32">
        <v>148.80000000000001</v>
      </c>
      <c r="Z32">
        <v>149.19999999999999</v>
      </c>
      <c r="AA32">
        <v>149.1</v>
      </c>
      <c r="AB32">
        <v>149</v>
      </c>
      <c r="AD32">
        <v>2004</v>
      </c>
      <c r="AE32">
        <v>146.19999999999999</v>
      </c>
      <c r="AF32">
        <v>146.1</v>
      </c>
      <c r="AG32">
        <v>146.5</v>
      </c>
      <c r="AH32">
        <v>146.9</v>
      </c>
      <c r="AI32">
        <v>146.9</v>
      </c>
      <c r="AJ32">
        <v>147</v>
      </c>
      <c r="AK32">
        <v>147.6</v>
      </c>
      <c r="AL32">
        <v>147.6</v>
      </c>
      <c r="AM32">
        <v>148.80000000000001</v>
      </c>
      <c r="AN32">
        <v>149.19999999999999</v>
      </c>
      <c r="AO32">
        <v>149.1</v>
      </c>
      <c r="AP32">
        <v>149</v>
      </c>
    </row>
    <row r="33" spans="1:42" x14ac:dyDescent="0.3">
      <c r="A33">
        <v>2005</v>
      </c>
      <c r="B33">
        <v>153.4</v>
      </c>
      <c r="C33">
        <v>153</v>
      </c>
      <c r="D33">
        <v>153.30000000000001</v>
      </c>
      <c r="E33">
        <v>153.4</v>
      </c>
      <c r="F33">
        <v>152.9</v>
      </c>
      <c r="G33">
        <v>153.30000000000001</v>
      </c>
      <c r="H33">
        <v>154.1</v>
      </c>
      <c r="I33">
        <v>154.69999999999999</v>
      </c>
      <c r="J33">
        <v>155.69999999999999</v>
      </c>
      <c r="K33">
        <v>155.69999999999999</v>
      </c>
      <c r="L33">
        <v>155.69999999999999</v>
      </c>
      <c r="M33">
        <v>155.69999999999999</v>
      </c>
      <c r="O33" s="4"/>
      <c r="P33">
        <v>2005</v>
      </c>
      <c r="Q33">
        <v>149.30000000000001</v>
      </c>
      <c r="R33">
        <v>148.9</v>
      </c>
      <c r="S33">
        <v>149.19999999999999</v>
      </c>
      <c r="T33">
        <v>149.4</v>
      </c>
      <c r="U33">
        <v>148.9</v>
      </c>
      <c r="V33">
        <v>149.19999999999999</v>
      </c>
      <c r="W33">
        <v>150.1</v>
      </c>
      <c r="X33">
        <v>150.69999999999999</v>
      </c>
      <c r="Y33">
        <v>151.69999999999999</v>
      </c>
      <c r="Z33">
        <v>151.69999999999999</v>
      </c>
      <c r="AA33">
        <v>151.69999999999999</v>
      </c>
      <c r="AB33">
        <v>151.69999999999999</v>
      </c>
      <c r="AD33">
        <v>2005</v>
      </c>
      <c r="AE33">
        <v>149.30000000000001</v>
      </c>
      <c r="AF33">
        <v>148.9</v>
      </c>
      <c r="AG33">
        <v>149.19999999999999</v>
      </c>
      <c r="AH33">
        <v>149.4</v>
      </c>
      <c r="AI33">
        <v>148.9</v>
      </c>
      <c r="AJ33">
        <v>149.19999999999999</v>
      </c>
      <c r="AK33">
        <v>150.1</v>
      </c>
      <c r="AL33">
        <v>150.69999999999999</v>
      </c>
      <c r="AM33">
        <v>151.69999999999999</v>
      </c>
      <c r="AN33">
        <v>151.69999999999999</v>
      </c>
      <c r="AO33">
        <v>151.69999999999999</v>
      </c>
      <c r="AP33">
        <v>151.69999999999999</v>
      </c>
    </row>
    <row r="34" spans="1:42" x14ac:dyDescent="0.3">
      <c r="A34">
        <v>2006</v>
      </c>
      <c r="B34">
        <v>156.30000000000001</v>
      </c>
      <c r="C34">
        <v>157.1</v>
      </c>
      <c r="D34">
        <v>157</v>
      </c>
      <c r="E34">
        <v>157</v>
      </c>
      <c r="F34">
        <v>157</v>
      </c>
      <c r="G34">
        <v>157.1</v>
      </c>
      <c r="H34">
        <v>157.1</v>
      </c>
      <c r="I34">
        <v>157.19999999999999</v>
      </c>
      <c r="J34">
        <v>157.19999999999999</v>
      </c>
      <c r="K34">
        <v>157.5</v>
      </c>
      <c r="L34">
        <v>157.5</v>
      </c>
      <c r="M34">
        <v>157.4</v>
      </c>
      <c r="O34" s="4"/>
      <c r="P34">
        <v>2006</v>
      </c>
      <c r="Q34">
        <v>152.30000000000001</v>
      </c>
      <c r="R34">
        <v>153</v>
      </c>
      <c r="S34">
        <v>153</v>
      </c>
      <c r="T34">
        <v>153</v>
      </c>
      <c r="U34">
        <v>153</v>
      </c>
      <c r="V34">
        <v>153.1</v>
      </c>
      <c r="W34">
        <v>153.1</v>
      </c>
      <c r="X34">
        <v>153.19999999999999</v>
      </c>
      <c r="Y34">
        <v>153.19999999999999</v>
      </c>
      <c r="Z34">
        <v>153.6</v>
      </c>
      <c r="AA34">
        <v>153.5</v>
      </c>
      <c r="AB34">
        <v>153.4</v>
      </c>
      <c r="AD34">
        <v>2006</v>
      </c>
      <c r="AE34">
        <v>152.30000000000001</v>
      </c>
      <c r="AF34">
        <v>153</v>
      </c>
      <c r="AG34">
        <v>153</v>
      </c>
      <c r="AH34">
        <v>153</v>
      </c>
      <c r="AI34">
        <v>153</v>
      </c>
      <c r="AJ34">
        <v>153.1</v>
      </c>
      <c r="AK34">
        <v>153.1</v>
      </c>
      <c r="AL34">
        <v>153.19999999999999</v>
      </c>
      <c r="AM34">
        <v>153.19999999999999</v>
      </c>
      <c r="AN34">
        <v>153.6</v>
      </c>
      <c r="AO34">
        <v>153.5</v>
      </c>
      <c r="AP34">
        <v>153.4</v>
      </c>
    </row>
    <row r="35" spans="1:42" x14ac:dyDescent="0.3">
      <c r="A35">
        <v>2007</v>
      </c>
      <c r="B35">
        <v>157.4</v>
      </c>
      <c r="C35">
        <v>156.19999999999999</v>
      </c>
      <c r="D35">
        <v>156.9</v>
      </c>
      <c r="E35">
        <v>157.30000000000001</v>
      </c>
      <c r="F35">
        <v>156.80000000000001</v>
      </c>
      <c r="G35">
        <v>156.9</v>
      </c>
      <c r="H35">
        <v>156.69999999999999</v>
      </c>
      <c r="I35">
        <v>156.69999999999999</v>
      </c>
      <c r="J35">
        <v>156.9</v>
      </c>
      <c r="K35">
        <v>156.9</v>
      </c>
      <c r="L35">
        <v>157</v>
      </c>
      <c r="M35">
        <v>157.1</v>
      </c>
      <c r="O35" s="4"/>
      <c r="P35">
        <v>2007</v>
      </c>
      <c r="Q35">
        <v>153.4</v>
      </c>
      <c r="R35">
        <v>152.19999999999999</v>
      </c>
      <c r="S35">
        <v>152.9</v>
      </c>
      <c r="T35">
        <v>153.30000000000001</v>
      </c>
      <c r="U35">
        <v>152.80000000000001</v>
      </c>
      <c r="V35">
        <v>152.9</v>
      </c>
      <c r="W35">
        <v>152.69999999999999</v>
      </c>
      <c r="X35">
        <v>152.80000000000001</v>
      </c>
      <c r="Y35">
        <v>152.9</v>
      </c>
      <c r="Z35">
        <v>153</v>
      </c>
      <c r="AA35">
        <v>153</v>
      </c>
      <c r="AB35">
        <v>153.1</v>
      </c>
      <c r="AD35">
        <v>2007</v>
      </c>
      <c r="AE35">
        <v>153.4</v>
      </c>
      <c r="AF35">
        <v>152.19999999999999</v>
      </c>
      <c r="AG35">
        <v>152.9</v>
      </c>
      <c r="AH35">
        <v>153.30000000000001</v>
      </c>
      <c r="AI35">
        <v>152.80000000000001</v>
      </c>
      <c r="AJ35">
        <v>152.9</v>
      </c>
      <c r="AK35">
        <v>152.69999999999999</v>
      </c>
      <c r="AL35">
        <v>152.80000000000001</v>
      </c>
      <c r="AM35">
        <v>152.9</v>
      </c>
      <c r="AN35">
        <v>153</v>
      </c>
      <c r="AO35">
        <v>153</v>
      </c>
      <c r="AP35">
        <v>153.1</v>
      </c>
    </row>
    <row r="36" spans="1:42" x14ac:dyDescent="0.3">
      <c r="A36">
        <v>2008</v>
      </c>
      <c r="B36">
        <v>156.6</v>
      </c>
      <c r="C36">
        <v>157.1</v>
      </c>
      <c r="D36">
        <v>157.19999999999999</v>
      </c>
      <c r="E36">
        <v>157.19999999999999</v>
      </c>
      <c r="F36">
        <v>157.19999999999999</v>
      </c>
      <c r="G36">
        <v>157.1</v>
      </c>
      <c r="H36">
        <v>157.69999999999999</v>
      </c>
      <c r="I36">
        <v>157.69999999999999</v>
      </c>
      <c r="J36">
        <v>157.9</v>
      </c>
      <c r="K36">
        <v>157.6</v>
      </c>
      <c r="L36">
        <v>157.1</v>
      </c>
      <c r="M36">
        <v>157.1</v>
      </c>
      <c r="O36" s="4"/>
      <c r="P36">
        <v>2008</v>
      </c>
      <c r="Q36">
        <v>152.80000000000001</v>
      </c>
      <c r="R36">
        <v>153.4</v>
      </c>
      <c r="S36">
        <v>153.4</v>
      </c>
      <c r="T36">
        <v>153.4</v>
      </c>
      <c r="U36">
        <v>153.4</v>
      </c>
      <c r="V36">
        <v>153.30000000000001</v>
      </c>
      <c r="W36">
        <v>154</v>
      </c>
      <c r="X36">
        <v>154</v>
      </c>
      <c r="Y36">
        <v>154.1</v>
      </c>
      <c r="Z36">
        <v>153.80000000000001</v>
      </c>
      <c r="AA36">
        <v>153.19999999999999</v>
      </c>
      <c r="AB36">
        <v>153.19999999999999</v>
      </c>
      <c r="AD36">
        <v>2008</v>
      </c>
      <c r="AE36">
        <v>152.80000000000001</v>
      </c>
      <c r="AF36">
        <v>153.4</v>
      </c>
      <c r="AG36">
        <v>153.4</v>
      </c>
      <c r="AH36">
        <v>153.4</v>
      </c>
      <c r="AI36">
        <v>153.4</v>
      </c>
      <c r="AJ36">
        <v>153.30000000000001</v>
      </c>
      <c r="AK36">
        <v>154</v>
      </c>
      <c r="AL36">
        <v>154</v>
      </c>
      <c r="AM36">
        <v>154.1</v>
      </c>
      <c r="AN36">
        <v>153.80000000000001</v>
      </c>
      <c r="AO36">
        <v>153.19999999999999</v>
      </c>
      <c r="AP36">
        <v>153.19999999999999</v>
      </c>
    </row>
    <row r="37" spans="1:42" x14ac:dyDescent="0.3">
      <c r="A37">
        <v>2009</v>
      </c>
      <c r="B37">
        <v>157.4</v>
      </c>
      <c r="C37">
        <v>156.4</v>
      </c>
      <c r="D37">
        <v>156</v>
      </c>
      <c r="E37">
        <v>155.80000000000001</v>
      </c>
      <c r="F37">
        <v>155.69999999999999</v>
      </c>
      <c r="G37">
        <v>155.6</v>
      </c>
      <c r="H37">
        <v>155</v>
      </c>
      <c r="I37">
        <v>155</v>
      </c>
      <c r="J37">
        <v>155.1</v>
      </c>
      <c r="K37">
        <v>156.30000000000001</v>
      </c>
      <c r="L37">
        <v>156</v>
      </c>
      <c r="M37">
        <v>156</v>
      </c>
      <c r="O37" s="4"/>
      <c r="P37">
        <v>2009</v>
      </c>
      <c r="Q37">
        <v>153.4</v>
      </c>
      <c r="R37">
        <v>152.30000000000001</v>
      </c>
      <c r="S37">
        <v>152.19999999999999</v>
      </c>
      <c r="T37">
        <v>152.1</v>
      </c>
      <c r="U37">
        <v>151.80000000000001</v>
      </c>
      <c r="V37">
        <v>151.69999999999999</v>
      </c>
      <c r="W37">
        <v>150.80000000000001</v>
      </c>
      <c r="X37">
        <v>150.80000000000001</v>
      </c>
      <c r="Y37">
        <v>150.9</v>
      </c>
      <c r="Z37">
        <v>152.19999999999999</v>
      </c>
      <c r="AA37">
        <v>152.1</v>
      </c>
      <c r="AB37">
        <v>152.1</v>
      </c>
      <c r="AD37">
        <v>2009</v>
      </c>
      <c r="AE37">
        <v>153.4</v>
      </c>
      <c r="AF37">
        <v>152.30000000000001</v>
      </c>
      <c r="AG37">
        <v>152.19999999999999</v>
      </c>
      <c r="AH37">
        <v>152.1</v>
      </c>
      <c r="AI37">
        <v>151.80000000000001</v>
      </c>
      <c r="AJ37">
        <v>151.69999999999999</v>
      </c>
      <c r="AK37">
        <v>150.80000000000001</v>
      </c>
      <c r="AL37">
        <v>150.80000000000001</v>
      </c>
      <c r="AM37">
        <v>150.9</v>
      </c>
      <c r="AN37">
        <v>152.19999999999999</v>
      </c>
      <c r="AO37">
        <v>152.1</v>
      </c>
      <c r="AP37">
        <v>152.1</v>
      </c>
    </row>
    <row r="38" spans="1:42" x14ac:dyDescent="0.3">
      <c r="A38">
        <v>2010</v>
      </c>
      <c r="B38">
        <v>155.9</v>
      </c>
      <c r="C38">
        <v>156</v>
      </c>
      <c r="D38">
        <v>156</v>
      </c>
      <c r="E38">
        <v>156</v>
      </c>
      <c r="F38">
        <v>156.1</v>
      </c>
      <c r="G38">
        <v>156</v>
      </c>
      <c r="H38">
        <v>156.6</v>
      </c>
      <c r="I38">
        <v>156.6</v>
      </c>
      <c r="J38">
        <v>156.5</v>
      </c>
      <c r="K38">
        <v>156.5</v>
      </c>
      <c r="L38">
        <v>156.6</v>
      </c>
      <c r="M38">
        <v>156.9</v>
      </c>
      <c r="O38" s="4"/>
      <c r="P38">
        <v>2010</v>
      </c>
      <c r="Q38">
        <v>152</v>
      </c>
      <c r="R38">
        <v>152.1</v>
      </c>
      <c r="S38">
        <v>152.1</v>
      </c>
      <c r="T38">
        <v>152.1</v>
      </c>
      <c r="U38">
        <v>152.19999999999999</v>
      </c>
      <c r="V38">
        <v>152.1</v>
      </c>
      <c r="W38">
        <v>152.69999999999999</v>
      </c>
      <c r="X38">
        <v>152.80000000000001</v>
      </c>
      <c r="Y38">
        <v>152.6</v>
      </c>
      <c r="Z38">
        <v>152.69999999999999</v>
      </c>
      <c r="AA38">
        <v>152.80000000000001</v>
      </c>
      <c r="AB38">
        <v>152.80000000000001</v>
      </c>
      <c r="AD38">
        <v>2010</v>
      </c>
      <c r="AE38">
        <v>152</v>
      </c>
      <c r="AF38">
        <v>152.1</v>
      </c>
      <c r="AG38">
        <v>152.1</v>
      </c>
      <c r="AH38">
        <v>152.1</v>
      </c>
      <c r="AI38">
        <v>152.19999999999999</v>
      </c>
      <c r="AJ38">
        <v>152.1</v>
      </c>
      <c r="AK38">
        <v>152.69999999999999</v>
      </c>
      <c r="AL38">
        <v>152.80000000000001</v>
      </c>
      <c r="AM38">
        <v>152.6</v>
      </c>
      <c r="AN38">
        <v>152.69999999999999</v>
      </c>
      <c r="AO38">
        <v>152.80000000000001</v>
      </c>
      <c r="AP38">
        <v>152.80000000000001</v>
      </c>
    </row>
    <row r="39" spans="1:42" x14ac:dyDescent="0.3">
      <c r="A39">
        <v>2011</v>
      </c>
      <c r="B39">
        <v>156.9</v>
      </c>
      <c r="C39">
        <v>156.9</v>
      </c>
      <c r="D39">
        <v>157</v>
      </c>
      <c r="E39">
        <v>157</v>
      </c>
      <c r="F39">
        <v>157</v>
      </c>
      <c r="G39">
        <v>157</v>
      </c>
      <c r="H39">
        <v>157</v>
      </c>
      <c r="I39">
        <v>157.1</v>
      </c>
      <c r="J39">
        <v>157.1</v>
      </c>
      <c r="K39">
        <v>157</v>
      </c>
      <c r="L39">
        <v>157.1</v>
      </c>
      <c r="M39">
        <v>156.6</v>
      </c>
      <c r="O39" s="4"/>
      <c r="P39">
        <v>2011</v>
      </c>
      <c r="Q39">
        <v>152.80000000000001</v>
      </c>
      <c r="R39">
        <v>152.80000000000001</v>
      </c>
      <c r="S39">
        <v>152.9</v>
      </c>
      <c r="T39">
        <v>153</v>
      </c>
      <c r="U39">
        <v>153</v>
      </c>
      <c r="V39">
        <v>152.9</v>
      </c>
      <c r="W39">
        <v>152.9</v>
      </c>
      <c r="X39">
        <v>152.9</v>
      </c>
      <c r="Y39">
        <v>152.9</v>
      </c>
      <c r="Z39">
        <v>152.9</v>
      </c>
      <c r="AA39">
        <v>152.9</v>
      </c>
      <c r="AB39">
        <v>152.30000000000001</v>
      </c>
      <c r="AD39">
        <v>2011</v>
      </c>
      <c r="AE39">
        <v>152.80000000000001</v>
      </c>
      <c r="AF39">
        <v>152.80000000000001</v>
      </c>
      <c r="AG39">
        <v>152.9</v>
      </c>
      <c r="AH39">
        <v>153</v>
      </c>
      <c r="AI39">
        <v>153</v>
      </c>
      <c r="AJ39">
        <v>152.9</v>
      </c>
      <c r="AK39">
        <v>152.9</v>
      </c>
      <c r="AL39">
        <v>152.9</v>
      </c>
      <c r="AM39">
        <v>152.9</v>
      </c>
      <c r="AN39">
        <v>152.9</v>
      </c>
      <c r="AO39">
        <v>152.9</v>
      </c>
      <c r="AP39">
        <v>152.30000000000001</v>
      </c>
    </row>
    <row r="40" spans="1:42" x14ac:dyDescent="0.3">
      <c r="A40">
        <v>2012</v>
      </c>
      <c r="B40">
        <v>155.80000000000001</v>
      </c>
      <c r="C40">
        <v>155.9</v>
      </c>
      <c r="D40">
        <v>155.80000000000001</v>
      </c>
      <c r="E40">
        <v>155.9</v>
      </c>
      <c r="F40">
        <v>155.9</v>
      </c>
      <c r="G40">
        <v>156</v>
      </c>
      <c r="H40">
        <v>156.4</v>
      </c>
      <c r="I40">
        <v>156.4</v>
      </c>
      <c r="J40">
        <v>156.30000000000001</v>
      </c>
      <c r="K40">
        <v>156.6</v>
      </c>
      <c r="L40">
        <v>156.80000000000001</v>
      </c>
      <c r="M40">
        <v>156.69999999999999</v>
      </c>
      <c r="O40" s="4"/>
      <c r="P40">
        <v>2012</v>
      </c>
      <c r="Q40">
        <v>151.5</v>
      </c>
      <c r="R40">
        <v>151.6</v>
      </c>
      <c r="S40">
        <v>151.6</v>
      </c>
      <c r="T40">
        <v>151.6</v>
      </c>
      <c r="U40">
        <v>151.5</v>
      </c>
      <c r="V40">
        <v>151.69999999999999</v>
      </c>
      <c r="W40">
        <v>152.1</v>
      </c>
      <c r="X40">
        <v>152</v>
      </c>
      <c r="Y40">
        <v>152</v>
      </c>
      <c r="Z40">
        <v>152.19999999999999</v>
      </c>
      <c r="AA40">
        <v>152.19999999999999</v>
      </c>
      <c r="AB40">
        <v>152.1</v>
      </c>
      <c r="AD40">
        <v>2012</v>
      </c>
      <c r="AE40">
        <v>150.9</v>
      </c>
      <c r="AF40">
        <v>151.1</v>
      </c>
      <c r="AG40">
        <v>151</v>
      </c>
      <c r="AH40">
        <v>150.9</v>
      </c>
      <c r="AI40">
        <v>150.80000000000001</v>
      </c>
      <c r="AJ40">
        <v>150.80000000000001</v>
      </c>
      <c r="AK40">
        <v>151.5</v>
      </c>
      <c r="AL40">
        <v>151.4</v>
      </c>
      <c r="AM40">
        <v>151.30000000000001</v>
      </c>
      <c r="AN40">
        <v>151.69999999999999</v>
      </c>
      <c r="AO40">
        <v>151.6</v>
      </c>
      <c r="AP40">
        <v>151.6</v>
      </c>
    </row>
    <row r="41" spans="1:42" x14ac:dyDescent="0.3">
      <c r="A41">
        <v>2013</v>
      </c>
      <c r="B41">
        <v>156.4</v>
      </c>
      <c r="C41">
        <v>156.30000000000001</v>
      </c>
      <c r="D41">
        <v>156.30000000000001</v>
      </c>
      <c r="E41">
        <v>156.1</v>
      </c>
      <c r="F41">
        <v>156.19999999999999</v>
      </c>
      <c r="G41">
        <v>156</v>
      </c>
      <c r="H41">
        <v>155.9</v>
      </c>
      <c r="I41">
        <v>156.19999999999999</v>
      </c>
      <c r="J41">
        <v>156.4</v>
      </c>
      <c r="K41">
        <v>156.4</v>
      </c>
      <c r="L41">
        <v>156.4</v>
      </c>
      <c r="M41">
        <v>156.4</v>
      </c>
      <c r="O41" s="4"/>
      <c r="P41">
        <v>2013</v>
      </c>
      <c r="Q41">
        <v>152.1</v>
      </c>
      <c r="R41">
        <v>152</v>
      </c>
      <c r="S41">
        <v>152</v>
      </c>
      <c r="T41">
        <v>151.9</v>
      </c>
      <c r="U41">
        <v>151.80000000000001</v>
      </c>
      <c r="V41">
        <v>151.69999999999999</v>
      </c>
      <c r="W41">
        <v>151.6</v>
      </c>
      <c r="X41">
        <v>151.6</v>
      </c>
      <c r="Y41">
        <v>151.80000000000001</v>
      </c>
      <c r="Z41">
        <v>151.9</v>
      </c>
      <c r="AA41">
        <v>151.9</v>
      </c>
      <c r="AB41">
        <v>151.9</v>
      </c>
      <c r="AD41">
        <v>2013</v>
      </c>
      <c r="AE41">
        <v>151.5</v>
      </c>
      <c r="AF41">
        <v>151.30000000000001</v>
      </c>
      <c r="AG41">
        <v>151.19999999999999</v>
      </c>
      <c r="AH41">
        <v>151.1</v>
      </c>
      <c r="AI41">
        <v>151</v>
      </c>
      <c r="AJ41">
        <v>150.80000000000001</v>
      </c>
      <c r="AK41">
        <v>150.69999999999999</v>
      </c>
      <c r="AL41">
        <v>150.5</v>
      </c>
      <c r="AM41">
        <v>150.9</v>
      </c>
      <c r="AN41">
        <v>150.9</v>
      </c>
      <c r="AO41">
        <v>150.9</v>
      </c>
      <c r="AP41">
        <v>150.9</v>
      </c>
    </row>
    <row r="42" spans="1:42" x14ac:dyDescent="0.3">
      <c r="A42">
        <v>2014</v>
      </c>
      <c r="B42">
        <v>156.4</v>
      </c>
      <c r="C42">
        <v>156.30000000000001</v>
      </c>
      <c r="D42">
        <v>156.4</v>
      </c>
      <c r="E42">
        <v>156.4</v>
      </c>
      <c r="F42">
        <v>157.6</v>
      </c>
      <c r="G42">
        <v>155.5</v>
      </c>
      <c r="H42">
        <v>155.4</v>
      </c>
      <c r="I42">
        <v>155.4</v>
      </c>
      <c r="J42">
        <v>155.30000000000001</v>
      </c>
      <c r="K42">
        <v>155.1</v>
      </c>
      <c r="L42">
        <v>155.19999999999999</v>
      </c>
      <c r="M42">
        <v>155.30000000000001</v>
      </c>
      <c r="O42" s="4"/>
      <c r="P42">
        <v>2014</v>
      </c>
      <c r="Q42">
        <v>151.80000000000001</v>
      </c>
      <c r="R42">
        <v>151.80000000000001</v>
      </c>
      <c r="S42">
        <v>151.80000000000001</v>
      </c>
      <c r="T42">
        <v>151.80000000000001</v>
      </c>
      <c r="U42">
        <v>151.80000000000001</v>
      </c>
      <c r="V42">
        <v>151.80000000000001</v>
      </c>
      <c r="W42">
        <v>151.80000000000001</v>
      </c>
      <c r="X42">
        <v>151.80000000000001</v>
      </c>
      <c r="Y42">
        <v>151.80000000000001</v>
      </c>
      <c r="Z42">
        <v>151.80000000000001</v>
      </c>
      <c r="AA42">
        <v>151.80000000000001</v>
      </c>
      <c r="AB42">
        <v>151.80000000000001</v>
      </c>
      <c r="AD42">
        <v>2014</v>
      </c>
      <c r="AE42">
        <v>150.9</v>
      </c>
      <c r="AF42">
        <v>150.80000000000001</v>
      </c>
      <c r="AG42">
        <v>150.80000000000001</v>
      </c>
      <c r="AH42">
        <v>150.80000000000001</v>
      </c>
      <c r="AI42">
        <v>150.80000000000001</v>
      </c>
      <c r="AJ42">
        <v>150.80000000000001</v>
      </c>
      <c r="AK42">
        <v>150.80000000000001</v>
      </c>
      <c r="AL42">
        <v>150.80000000000001</v>
      </c>
      <c r="AM42">
        <v>150.80000000000001</v>
      </c>
      <c r="AN42">
        <v>150.80000000000001</v>
      </c>
      <c r="AO42">
        <v>150.80000000000001</v>
      </c>
      <c r="AP42">
        <v>150.80000000000001</v>
      </c>
    </row>
    <row r="43" spans="1:42" x14ac:dyDescent="0.3">
      <c r="A43">
        <v>2015</v>
      </c>
      <c r="B43">
        <v>155.19999999999999</v>
      </c>
      <c r="C43">
        <v>155.4</v>
      </c>
      <c r="D43">
        <v>155.5</v>
      </c>
      <c r="E43">
        <v>155.6</v>
      </c>
      <c r="F43">
        <v>155.5</v>
      </c>
      <c r="G43">
        <v>155.6</v>
      </c>
      <c r="H43">
        <v>155.5</v>
      </c>
      <c r="I43">
        <v>155.9</v>
      </c>
      <c r="J43">
        <v>155.69999999999999</v>
      </c>
      <c r="K43">
        <v>155.6</v>
      </c>
      <c r="L43">
        <v>155.5</v>
      </c>
      <c r="M43">
        <v>155.6</v>
      </c>
      <c r="O43" s="4"/>
      <c r="P43">
        <v>2015</v>
      </c>
      <c r="Q43">
        <v>151.80000000000001</v>
      </c>
      <c r="R43">
        <v>152</v>
      </c>
      <c r="S43">
        <v>152</v>
      </c>
      <c r="T43">
        <v>152.1</v>
      </c>
      <c r="U43">
        <v>152.1</v>
      </c>
      <c r="V43">
        <v>152.1</v>
      </c>
      <c r="W43">
        <v>152.1</v>
      </c>
      <c r="X43">
        <v>152.1</v>
      </c>
      <c r="Y43">
        <v>152.1</v>
      </c>
      <c r="Z43">
        <v>152.1</v>
      </c>
      <c r="AA43">
        <v>152.1</v>
      </c>
      <c r="AB43">
        <v>152.1</v>
      </c>
      <c r="AD43">
        <v>2015</v>
      </c>
      <c r="AE43">
        <v>150.80000000000001</v>
      </c>
      <c r="AF43">
        <v>151.19999999999999</v>
      </c>
      <c r="AG43">
        <v>151.30000000000001</v>
      </c>
      <c r="AH43">
        <v>151.30000000000001</v>
      </c>
      <c r="AI43">
        <v>151.30000000000001</v>
      </c>
      <c r="AJ43">
        <v>151.4</v>
      </c>
      <c r="AK43">
        <v>151.4</v>
      </c>
      <c r="AL43">
        <v>151.4</v>
      </c>
      <c r="AM43">
        <v>151.4</v>
      </c>
      <c r="AN43">
        <v>151.4</v>
      </c>
      <c r="AO43">
        <v>151.4</v>
      </c>
      <c r="AP43">
        <v>151.4</v>
      </c>
    </row>
    <row r="44" spans="1:42" x14ac:dyDescent="0.3">
      <c r="A44">
        <v>2016</v>
      </c>
      <c r="B44">
        <v>156.30000000000001</v>
      </c>
      <c r="C44">
        <v>155.6</v>
      </c>
      <c r="D44">
        <v>155.69999999999999</v>
      </c>
      <c r="E44">
        <v>156</v>
      </c>
      <c r="F44">
        <v>156</v>
      </c>
      <c r="G44">
        <v>156.1</v>
      </c>
      <c r="H44">
        <v>155.6</v>
      </c>
      <c r="I44">
        <v>156</v>
      </c>
      <c r="J44">
        <v>156.1</v>
      </c>
      <c r="K44">
        <v>155.9</v>
      </c>
      <c r="L44">
        <v>155.4</v>
      </c>
      <c r="M44">
        <v>156</v>
      </c>
      <c r="O44" s="4"/>
      <c r="P44">
        <v>2016</v>
      </c>
      <c r="Q44">
        <v>152.30000000000001</v>
      </c>
      <c r="R44">
        <v>152.30000000000001</v>
      </c>
      <c r="S44">
        <v>152.30000000000001</v>
      </c>
      <c r="T44">
        <v>152.30000000000001</v>
      </c>
      <c r="U44">
        <v>152.30000000000001</v>
      </c>
      <c r="V44">
        <v>152.30000000000001</v>
      </c>
      <c r="W44">
        <v>152</v>
      </c>
      <c r="X44">
        <v>152.4</v>
      </c>
      <c r="Y44">
        <v>152.30000000000001</v>
      </c>
      <c r="Z44">
        <v>152.30000000000001</v>
      </c>
      <c r="AA44">
        <v>152.1</v>
      </c>
      <c r="AB44">
        <v>152.1</v>
      </c>
      <c r="AD44">
        <v>2016</v>
      </c>
      <c r="AE44">
        <v>151.80000000000001</v>
      </c>
      <c r="AF44">
        <v>151.69999999999999</v>
      </c>
      <c r="AG44">
        <v>151.69999999999999</v>
      </c>
      <c r="AH44">
        <v>151.69999999999999</v>
      </c>
      <c r="AI44">
        <v>151.69999999999999</v>
      </c>
      <c r="AJ44">
        <v>151.69999999999999</v>
      </c>
      <c r="AK44">
        <v>151.19999999999999</v>
      </c>
      <c r="AL44">
        <v>151.9</v>
      </c>
      <c r="AM44">
        <v>151.80000000000001</v>
      </c>
      <c r="AN44">
        <v>151.80000000000001</v>
      </c>
      <c r="AO44">
        <v>151.5</v>
      </c>
      <c r="AP44">
        <v>151.5</v>
      </c>
    </row>
    <row r="45" spans="1:42" x14ac:dyDescent="0.3">
      <c r="A45">
        <v>2017</v>
      </c>
      <c r="B45">
        <v>155.80000000000001</v>
      </c>
      <c r="C45">
        <v>155.6</v>
      </c>
      <c r="D45">
        <v>155.80000000000001</v>
      </c>
      <c r="E45">
        <v>156.1</v>
      </c>
      <c r="F45">
        <v>155.9</v>
      </c>
      <c r="G45">
        <v>155.9</v>
      </c>
      <c r="H45">
        <v>155.80000000000001</v>
      </c>
      <c r="I45">
        <v>155.6</v>
      </c>
      <c r="J45">
        <v>155.6</v>
      </c>
      <c r="K45">
        <v>155.19999999999999</v>
      </c>
      <c r="L45">
        <v>155.19999999999999</v>
      </c>
      <c r="M45">
        <v>155.19999999999999</v>
      </c>
      <c r="O45" s="4"/>
      <c r="P45">
        <v>2017</v>
      </c>
      <c r="Q45">
        <v>152.1</v>
      </c>
      <c r="R45">
        <v>152.1</v>
      </c>
      <c r="S45">
        <v>152.1</v>
      </c>
      <c r="T45">
        <v>152.1</v>
      </c>
      <c r="U45">
        <v>152.1</v>
      </c>
      <c r="V45">
        <v>152.1</v>
      </c>
      <c r="W45">
        <v>152.1</v>
      </c>
      <c r="X45">
        <v>152.1</v>
      </c>
      <c r="Y45">
        <v>152.1</v>
      </c>
      <c r="Z45">
        <v>151.69999999999999</v>
      </c>
      <c r="AA45">
        <v>151.69999999999999</v>
      </c>
      <c r="AB45">
        <v>151.69999999999999</v>
      </c>
      <c r="AD45">
        <v>2017</v>
      </c>
      <c r="AE45">
        <v>151.5</v>
      </c>
      <c r="AF45">
        <v>151.5</v>
      </c>
      <c r="AG45">
        <v>151.5</v>
      </c>
      <c r="AH45">
        <v>151.5</v>
      </c>
      <c r="AI45">
        <v>151.5</v>
      </c>
      <c r="AJ45">
        <v>151.5</v>
      </c>
      <c r="AK45">
        <v>151.5</v>
      </c>
      <c r="AL45">
        <v>151.5</v>
      </c>
      <c r="AM45">
        <v>151.5</v>
      </c>
      <c r="AN45">
        <v>150.80000000000001</v>
      </c>
      <c r="AO45">
        <v>150.80000000000001</v>
      </c>
      <c r="AP45">
        <v>150.80000000000001</v>
      </c>
    </row>
    <row r="46" spans="1:42" x14ac:dyDescent="0.3">
      <c r="A46">
        <v>2018</v>
      </c>
      <c r="B46">
        <v>155.19999999999999</v>
      </c>
      <c r="C46">
        <v>155.19999999999999</v>
      </c>
      <c r="D46">
        <v>155.19999999999999</v>
      </c>
      <c r="E46">
        <v>155.19999999999999</v>
      </c>
      <c r="F46">
        <v>155.30000000000001</v>
      </c>
      <c r="G46">
        <v>155.30000000000001</v>
      </c>
      <c r="H46">
        <v>155.30000000000001</v>
      </c>
      <c r="I46">
        <v>155.30000000000001</v>
      </c>
      <c r="J46">
        <v>155.6</v>
      </c>
      <c r="K46">
        <v>155.6</v>
      </c>
      <c r="L46">
        <v>155.6</v>
      </c>
      <c r="M46">
        <v>155.6</v>
      </c>
      <c r="O46" s="4"/>
      <c r="P46">
        <v>2018</v>
      </c>
      <c r="Q46">
        <v>151.69999999999999</v>
      </c>
      <c r="R46">
        <v>151.69999999999999</v>
      </c>
      <c r="S46">
        <v>151.69999999999999</v>
      </c>
      <c r="T46">
        <v>151.69999999999999</v>
      </c>
      <c r="U46">
        <v>151.80000000000001</v>
      </c>
      <c r="V46">
        <v>151.9</v>
      </c>
      <c r="W46">
        <v>151.9</v>
      </c>
      <c r="X46">
        <v>151.9</v>
      </c>
      <c r="Y46">
        <v>152.19999999999999</v>
      </c>
      <c r="AD46">
        <v>2018</v>
      </c>
      <c r="AE46">
        <v>150.80000000000001</v>
      </c>
      <c r="AF46">
        <v>150.80000000000001</v>
      </c>
      <c r="AG46">
        <v>150.80000000000001</v>
      </c>
      <c r="AH46">
        <v>150.80000000000001</v>
      </c>
      <c r="AI46">
        <v>151</v>
      </c>
      <c r="AJ46">
        <v>151</v>
      </c>
      <c r="AK46">
        <v>151</v>
      </c>
      <c r="AL46">
        <v>151</v>
      </c>
      <c r="AM46">
        <v>151.6</v>
      </c>
    </row>
    <row r="47" spans="1:42" x14ac:dyDescent="0.3">
      <c r="A47">
        <v>2019</v>
      </c>
      <c r="B47">
        <v>155.6</v>
      </c>
      <c r="C47">
        <v>155.9</v>
      </c>
      <c r="D47">
        <v>155.9</v>
      </c>
      <c r="E47">
        <v>156</v>
      </c>
      <c r="F47">
        <v>156.1</v>
      </c>
      <c r="G47">
        <v>156.1</v>
      </c>
      <c r="H47">
        <v>162.1</v>
      </c>
      <c r="I47">
        <v>162.1</v>
      </c>
      <c r="J47">
        <v>162.1</v>
      </c>
      <c r="K47">
        <v>162.19999999999999</v>
      </c>
      <c r="L47">
        <v>162.19999999999999</v>
      </c>
      <c r="M47">
        <v>162.1</v>
      </c>
      <c r="O47" s="4"/>
    </row>
    <row r="48" spans="1:42" x14ac:dyDescent="0.3">
      <c r="A48">
        <v>2020</v>
      </c>
      <c r="B48">
        <v>162.5</v>
      </c>
      <c r="C48">
        <v>162.5</v>
      </c>
      <c r="D48">
        <v>162.5</v>
      </c>
      <c r="E48">
        <v>162.5</v>
      </c>
      <c r="F48">
        <v>162</v>
      </c>
      <c r="G48">
        <v>162</v>
      </c>
      <c r="H48">
        <v>162</v>
      </c>
      <c r="I48">
        <v>162</v>
      </c>
      <c r="J48">
        <v>162.30000000000001</v>
      </c>
      <c r="K48">
        <v>162.30000000000001</v>
      </c>
      <c r="L48">
        <v>162.30000000000001</v>
      </c>
      <c r="M48">
        <v>162.30000000000001</v>
      </c>
      <c r="O48" s="4"/>
    </row>
    <row r="49" spans="1:15" x14ac:dyDescent="0.3">
      <c r="A49">
        <v>2021</v>
      </c>
      <c r="B49">
        <v>162.4</v>
      </c>
      <c r="C49">
        <v>162.4</v>
      </c>
      <c r="D49">
        <v>162.4</v>
      </c>
      <c r="E49">
        <v>162.5</v>
      </c>
      <c r="F49">
        <v>162.80000000000001</v>
      </c>
      <c r="G49">
        <v>162.80000000000001</v>
      </c>
      <c r="H49">
        <v>163.36699999999999</v>
      </c>
      <c r="I49">
        <v>163.72999999999999</v>
      </c>
      <c r="J49">
        <v>164.387</v>
      </c>
      <c r="K49">
        <v>165.24199999999999</v>
      </c>
      <c r="L49">
        <v>165.89599999999999</v>
      </c>
      <c r="M49">
        <v>166.61099999999999</v>
      </c>
      <c r="O49" s="4"/>
    </row>
    <row r="50" spans="1:15" x14ac:dyDescent="0.3">
      <c r="A50">
        <v>2022</v>
      </c>
      <c r="B50">
        <v>167.12899999999999</v>
      </c>
      <c r="C50">
        <v>168.892</v>
      </c>
      <c r="D50">
        <v>174.97300000000001</v>
      </c>
      <c r="E50">
        <v>178.34100000000001</v>
      </c>
      <c r="F50">
        <v>181.70599999999999</v>
      </c>
      <c r="G50">
        <v>181.90600000000001</v>
      </c>
      <c r="H50">
        <v>182.19399999999999</v>
      </c>
      <c r="I50">
        <v>183.62299999999999</v>
      </c>
      <c r="J50">
        <v>183.946</v>
      </c>
      <c r="K50">
        <v>184.38399999999999</v>
      </c>
      <c r="L50">
        <v>186.87299999999999</v>
      </c>
      <c r="M50">
        <v>187.24</v>
      </c>
      <c r="O50" s="4"/>
    </row>
    <row r="51" spans="1:15" x14ac:dyDescent="0.3">
      <c r="A51">
        <v>2023</v>
      </c>
      <c r="B51">
        <v>187.89500000000001</v>
      </c>
      <c r="C51">
        <v>187.65100000000001</v>
      </c>
      <c r="D51">
        <v>187.68600000000001</v>
      </c>
      <c r="E51">
        <v>187.1</v>
      </c>
      <c r="F51" t="s">
        <v>305</v>
      </c>
      <c r="G51" t="s">
        <v>305</v>
      </c>
      <c r="H51" t="s">
        <v>306</v>
      </c>
      <c r="I51" t="s">
        <v>306</v>
      </c>
      <c r="O51" s="4"/>
    </row>
    <row r="52" spans="1:15" x14ac:dyDescent="0.3">
      <c r="A52" t="s">
        <v>46</v>
      </c>
      <c r="O52" s="4"/>
    </row>
    <row r="53" spans="1:15" x14ac:dyDescent="0.3">
      <c r="O53" s="4"/>
    </row>
    <row r="54" spans="1:15" x14ac:dyDescent="0.3">
      <c r="A54" s="4" t="s">
        <v>82</v>
      </c>
      <c r="B54" s="9" t="s">
        <v>83</v>
      </c>
      <c r="O54" s="4"/>
    </row>
    <row r="55" spans="1:15" x14ac:dyDescent="0.3">
      <c r="B55" t="s">
        <v>307</v>
      </c>
      <c r="C55" t="s">
        <v>86</v>
      </c>
      <c r="D55" t="s">
        <v>308</v>
      </c>
      <c r="O55" s="4"/>
    </row>
    <row r="56" spans="1:15" x14ac:dyDescent="0.3">
      <c r="A56">
        <v>1963</v>
      </c>
      <c r="B56">
        <v>76.3</v>
      </c>
      <c r="C56">
        <v>79.7</v>
      </c>
      <c r="O56" s="4"/>
    </row>
    <row r="57" spans="1:15" x14ac:dyDescent="0.3">
      <c r="A57">
        <v>1964</v>
      </c>
      <c r="B57">
        <v>76.599999999999994</v>
      </c>
      <c r="C57">
        <v>78.3</v>
      </c>
      <c r="O57" s="4"/>
    </row>
    <row r="58" spans="1:15" x14ac:dyDescent="0.3">
      <c r="A58" s="4">
        <v>1965</v>
      </c>
      <c r="B58">
        <v>78.2</v>
      </c>
      <c r="C58">
        <v>75.599999999999994</v>
      </c>
      <c r="O58" s="4"/>
    </row>
    <row r="59" spans="1:15" x14ac:dyDescent="0.3">
      <c r="A59" s="4">
        <v>1966</v>
      </c>
      <c r="B59">
        <v>80.099999999999994</v>
      </c>
      <c r="C59">
        <v>79.099999999999994</v>
      </c>
      <c r="O59" s="4"/>
    </row>
    <row r="60" spans="1:15" x14ac:dyDescent="0.3">
      <c r="A60" s="4">
        <v>1967</v>
      </c>
      <c r="B60">
        <v>83.1</v>
      </c>
      <c r="C60">
        <v>85.7</v>
      </c>
      <c r="O60" s="4"/>
    </row>
    <row r="61" spans="1:15" x14ac:dyDescent="0.3">
      <c r="A61" s="4">
        <v>1968</v>
      </c>
      <c r="B61">
        <v>86</v>
      </c>
      <c r="C61">
        <v>88.1</v>
      </c>
      <c r="O61" s="4"/>
    </row>
    <row r="62" spans="1:15" x14ac:dyDescent="0.3">
      <c r="A62" s="4">
        <v>1969</v>
      </c>
      <c r="B62">
        <v>89.7</v>
      </c>
      <c r="C62">
        <v>92.7</v>
      </c>
      <c r="O62" s="4"/>
    </row>
    <row r="63" spans="1:15" x14ac:dyDescent="0.3">
      <c r="A63" s="4">
        <v>1970</v>
      </c>
      <c r="B63">
        <v>95.8</v>
      </c>
      <c r="C63">
        <v>96.5</v>
      </c>
      <c r="O63" s="4"/>
    </row>
    <row r="64" spans="1:15" x14ac:dyDescent="0.3">
      <c r="A64" s="4">
        <v>1971</v>
      </c>
      <c r="B64">
        <v>99.7</v>
      </c>
      <c r="C64">
        <v>99.5</v>
      </c>
      <c r="O64" s="4"/>
    </row>
    <row r="65" spans="1:15" x14ac:dyDescent="0.3">
      <c r="A65" s="4">
        <v>1972</v>
      </c>
      <c r="B65">
        <v>100</v>
      </c>
      <c r="C65">
        <v>100</v>
      </c>
      <c r="D65">
        <v>100</v>
      </c>
      <c r="O65" s="4"/>
    </row>
    <row r="66" spans="1:15" x14ac:dyDescent="0.3">
      <c r="A66" s="4">
        <v>1973</v>
      </c>
      <c r="B66">
        <v>104.4</v>
      </c>
      <c r="C66">
        <v>104.2</v>
      </c>
      <c r="D66">
        <v>104.2</v>
      </c>
      <c r="O66" s="4"/>
    </row>
    <row r="67" spans="1:15" x14ac:dyDescent="0.3">
      <c r="A67" s="4">
        <v>1974</v>
      </c>
      <c r="B67">
        <v>121.2</v>
      </c>
      <c r="C67">
        <v>121.2</v>
      </c>
      <c r="D67">
        <v>121.2</v>
      </c>
      <c r="O67" s="4"/>
    </row>
    <row r="68" spans="1:15" x14ac:dyDescent="0.3">
      <c r="A68" s="4">
        <v>1975</v>
      </c>
      <c r="B68">
        <v>138.30000000000001</v>
      </c>
      <c r="C68">
        <v>136.1</v>
      </c>
      <c r="D68">
        <v>140</v>
      </c>
      <c r="O68" s="4"/>
    </row>
    <row r="69" spans="1:15" x14ac:dyDescent="0.3">
      <c r="A69" s="4">
        <v>1976</v>
      </c>
      <c r="B69">
        <v>145.5</v>
      </c>
      <c r="C69">
        <v>143.6</v>
      </c>
      <c r="D69">
        <v>146.80000000000001</v>
      </c>
      <c r="O69" s="4"/>
    </row>
    <row r="70" spans="1:15" x14ac:dyDescent="0.3">
      <c r="A70" s="4">
        <v>1977</v>
      </c>
      <c r="B70">
        <v>155.69999999999999</v>
      </c>
      <c r="C70">
        <v>153</v>
      </c>
      <c r="D70">
        <v>152.19999999999999</v>
      </c>
      <c r="O70" s="4"/>
    </row>
    <row r="71" spans="1:15" x14ac:dyDescent="0.3">
      <c r="A71" s="4">
        <v>1978</v>
      </c>
      <c r="B71">
        <v>165.3</v>
      </c>
      <c r="C71">
        <v>163.30000000000001</v>
      </c>
      <c r="D71">
        <v>163.5</v>
      </c>
      <c r="O71" s="4"/>
    </row>
    <row r="72" spans="1:15" x14ac:dyDescent="0.3">
      <c r="O72" s="4"/>
    </row>
    <row r="73" spans="1:15" x14ac:dyDescent="0.3">
      <c r="A73" s="4" t="s">
        <v>114</v>
      </c>
      <c r="B73" s="18" t="s">
        <v>115</v>
      </c>
      <c r="O73" s="4"/>
    </row>
    <row r="74" spans="1:15" x14ac:dyDescent="0.3">
      <c r="A74" s="4">
        <v>1987</v>
      </c>
      <c r="B74" s="4">
        <f>'[5]87SIC_SHIP_C _Price Indexes'!$D$160</f>
        <v>74.347999999999999</v>
      </c>
      <c r="O74" s="4"/>
    </row>
    <row r="75" spans="1:15" x14ac:dyDescent="0.3">
      <c r="A75" s="4">
        <v>1988</v>
      </c>
      <c r="B75" s="4">
        <f>'[5]87SIC_SHIP_C _Price Indexes'!$E$160</f>
        <v>76.573999999999998</v>
      </c>
      <c r="O75" s="4"/>
    </row>
    <row r="76" spans="1:15" x14ac:dyDescent="0.3">
      <c r="A76" s="4">
        <v>1989</v>
      </c>
      <c r="B76" s="4">
        <f>'[5]87SIC_SHIP_C _Price Indexes'!$F$160</f>
        <v>80.239000000000004</v>
      </c>
      <c r="O76" s="4"/>
    </row>
    <row r="77" spans="1:15" x14ac:dyDescent="0.3">
      <c r="A77" s="4">
        <v>1990</v>
      </c>
      <c r="B77" s="4">
        <f>'[5]87SIC_SHIP_C _Price Indexes'!$G$160</f>
        <v>82.581999999999994</v>
      </c>
    </row>
    <row r="78" spans="1:15" x14ac:dyDescent="0.3">
      <c r="A78" s="4">
        <v>1991</v>
      </c>
      <c r="B78" s="4">
        <f>'[5]87SIC_SHIP_C _Price Indexes'!$H$160</f>
        <v>83.635999999999996</v>
      </c>
    </row>
    <row r="79" spans="1:15" x14ac:dyDescent="0.3">
      <c r="A79" s="4">
        <v>1992</v>
      </c>
      <c r="B79" s="4">
        <f>'[5]87SIC_SHIP_C _Price Indexes'!$I$160</f>
        <v>84.274000000000001</v>
      </c>
    </row>
    <row r="80" spans="1:15" x14ac:dyDescent="0.3">
      <c r="A80" s="4">
        <v>1993</v>
      </c>
      <c r="B80" s="4">
        <f>'[5]87SIC_SHIP_C _Price Indexes'!$J$160</f>
        <v>87.164000000000001</v>
      </c>
    </row>
    <row r="81" spans="1:2" x14ac:dyDescent="0.3">
      <c r="A81" s="4">
        <v>1994</v>
      </c>
      <c r="B81" s="4">
        <f>'[5]87SIC_SHIP_C _Price Indexes'!$K$160</f>
        <v>88.144999999999996</v>
      </c>
    </row>
    <row r="82" spans="1:2" x14ac:dyDescent="0.3">
      <c r="A82" s="4">
        <v>1995</v>
      </c>
      <c r="B82" s="4">
        <f>'[5]87SIC_SHIP_C _Price Indexes'!$L$160</f>
        <v>93.46</v>
      </c>
    </row>
    <row r="83" spans="1:2" x14ac:dyDescent="0.3">
      <c r="A83" s="4">
        <v>1996</v>
      </c>
      <c r="B83" s="4">
        <f>'[5]87SIC_SHIP_C _Price Indexes'!$M$160</f>
        <v>95.83</v>
      </c>
    </row>
    <row r="84" spans="1:2" x14ac:dyDescent="0.3">
      <c r="A84" s="4">
        <v>1997</v>
      </c>
      <c r="B84" s="4">
        <f>'[5]87SIC_SHIP_C _Price Indexes'!$N$160</f>
        <v>96.082999999999998</v>
      </c>
    </row>
    <row r="85" spans="1:2" x14ac:dyDescent="0.3">
      <c r="A85" s="4"/>
      <c r="B85" s="4"/>
    </row>
    <row r="86" spans="1:2" x14ac:dyDescent="0.3">
      <c r="A86" s="4" t="s">
        <v>114</v>
      </c>
      <c r="B86" s="18" t="s">
        <v>115</v>
      </c>
    </row>
    <row r="87" spans="1:2" x14ac:dyDescent="0.3">
      <c r="A87" s="4">
        <v>1977</v>
      </c>
      <c r="B87" s="4">
        <f>'[5]72SIC_SHIP_C_Price Indexes'!$D$168</f>
        <v>60.179000000000002</v>
      </c>
    </row>
    <row r="88" spans="1:2" x14ac:dyDescent="0.3">
      <c r="A88" s="4">
        <v>1978</v>
      </c>
      <c r="B88" s="4">
        <f>'[5]72SIC_SHIP_C_Price Indexes'!$E$168</f>
        <v>64.123999999999995</v>
      </c>
    </row>
    <row r="89" spans="1:2" x14ac:dyDescent="0.3">
      <c r="A89" s="4">
        <v>1979</v>
      </c>
      <c r="B89" s="4">
        <f>'[5]72SIC_SHIP_C_Price Indexes'!$F$168</f>
        <v>70.394000000000005</v>
      </c>
    </row>
    <row r="90" spans="1:2" x14ac:dyDescent="0.3">
      <c r="A90" s="4">
        <v>1980</v>
      </c>
      <c r="B90" s="4">
        <f>'[5]72SIC_SHIP_C_Price Indexes'!$G$168</f>
        <v>78.08</v>
      </c>
    </row>
    <row r="91" spans="1:2" x14ac:dyDescent="0.3">
      <c r="A91" s="4">
        <v>1981</v>
      </c>
      <c r="B91" s="4">
        <f>'[5]72SIC_SHIP_C_Price Indexes'!$H$168</f>
        <v>84.991</v>
      </c>
    </row>
    <row r="92" spans="1:2" x14ac:dyDescent="0.3">
      <c r="A92" s="4">
        <v>1982</v>
      </c>
      <c r="B92" s="4">
        <f>'[5]72SIC_SHIP_C_Price Indexes'!$I$168</f>
        <v>88.126999999999995</v>
      </c>
    </row>
    <row r="93" spans="1:2" x14ac:dyDescent="0.3">
      <c r="A93" s="4">
        <v>1983</v>
      </c>
      <c r="B93" s="4">
        <f>'[5]72SIC_SHIP_C_Price Indexes'!$J$168</f>
        <v>88.715999999999994</v>
      </c>
    </row>
    <row r="94" spans="1:2" x14ac:dyDescent="0.3">
      <c r="A94" s="4">
        <v>1984</v>
      </c>
      <c r="B94" s="4">
        <f>'[5]72SIC_SHIP_C_Price Indexes'!$K$168</f>
        <v>92.938000000000002</v>
      </c>
    </row>
    <row r="95" spans="1:2" x14ac:dyDescent="0.3">
      <c r="A95" s="4">
        <v>1985</v>
      </c>
      <c r="B95" s="4">
        <f>'[5]72SIC_SHIP_C_Price Indexes'!$L$168</f>
        <v>96.626999999999995</v>
      </c>
    </row>
    <row r="96" spans="1:2" x14ac:dyDescent="0.3">
      <c r="A96" s="4">
        <v>1986</v>
      </c>
      <c r="B96" s="4">
        <f>'[5]72SIC_SHIP_C_Price Indexes'!$M$168</f>
        <v>98.17</v>
      </c>
    </row>
    <row r="97" spans="1:2" x14ac:dyDescent="0.3">
      <c r="A97" s="4">
        <v>1987</v>
      </c>
      <c r="B97" s="4">
        <f>'[5]72SIC_SHIP_C_Price Indexes'!$N$168</f>
        <v>100</v>
      </c>
    </row>
  </sheetData>
  <hyperlinks>
    <hyperlink ref="B54" r:id="rId1" xr:uid="{6D49A861-B512-4678-A640-EE398A9833C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0C25-3A7C-4A87-BADE-6D6DE0CC528F}">
  <dimension ref="A1:T158"/>
  <sheetViews>
    <sheetView workbookViewId="0">
      <pane xSplit="1" ySplit="1" topLeftCell="B108" activePane="bottomRight" state="frozen"/>
      <selection pane="topRight" activeCell="B1" sqref="B1"/>
      <selection pane="bottomLeft" activeCell="A3" sqref="A3"/>
      <selection pane="bottomRight" activeCell="D112" sqref="D111:D112"/>
    </sheetView>
  </sheetViews>
  <sheetFormatPr defaultRowHeight="14.4" x14ac:dyDescent="0.3"/>
  <cols>
    <col min="1" max="7" width="8.88671875" style="4"/>
    <col min="8" max="8" width="10.109375" style="4" bestFit="1" customWidth="1"/>
    <col min="9" max="16384" width="8.88671875" style="4"/>
  </cols>
  <sheetData>
    <row r="1" spans="1:20" x14ac:dyDescent="0.3">
      <c r="B1" s="4" t="s">
        <v>99</v>
      </c>
      <c r="C1" s="4" t="s">
        <v>290</v>
      </c>
      <c r="D1" s="4" t="s">
        <v>291</v>
      </c>
      <c r="E1" s="4" t="s">
        <v>292</v>
      </c>
      <c r="F1" s="4" t="s">
        <v>293</v>
      </c>
      <c r="G1" s="4" t="s">
        <v>294</v>
      </c>
      <c r="H1" s="4" t="s">
        <v>4</v>
      </c>
      <c r="I1" s="4" t="s">
        <v>205</v>
      </c>
      <c r="J1" s="4" t="s">
        <v>206</v>
      </c>
      <c r="K1" s="4" t="s">
        <v>207</v>
      </c>
      <c r="L1" s="4" t="s">
        <v>208</v>
      </c>
      <c r="M1" s="4" t="s">
        <v>209</v>
      </c>
      <c r="N1" s="4" t="s">
        <v>210</v>
      </c>
      <c r="O1" s="4" t="s">
        <v>211</v>
      </c>
      <c r="P1" s="4" t="s">
        <v>212</v>
      </c>
      <c r="Q1" s="4" t="s">
        <v>213</v>
      </c>
      <c r="R1" s="4" t="s">
        <v>214</v>
      </c>
      <c r="S1" s="4" t="s">
        <v>215</v>
      </c>
      <c r="T1" s="4" t="s">
        <v>216</v>
      </c>
    </row>
    <row r="2" spans="1:20" x14ac:dyDescent="0.3">
      <c r="A2" s="4">
        <v>2020</v>
      </c>
      <c r="B2" s="4">
        <f t="shared" ref="B2:B35" si="0">C2*D2*100*H2*L2/(C$10*D$10*H$10*L$10)</f>
        <v>68.912154047018632</v>
      </c>
      <c r="C2" s="4">
        <f t="shared" ref="C2:C22" si="1">M2*0.8+N2*0.6+O2*0.4+P2*0.2</f>
        <v>0.45400000000000001</v>
      </c>
      <c r="D2" s="4">
        <v>64004</v>
      </c>
      <c r="H2" s="2">
        <f>('[6]Print Direct Mail'!$N3+'[6]Print Direct Mail'!$O3+'[6]Print Direct Mail'!$P3+'[6]Print Direct Mail'!$Q3)/('[6]Print Direct Mail'!$N3+'[6]Print Direct Mail'!$O3+'[6]Print Direct Mail'!$P3+'[6]Print Direct Mail'!$Q4)</f>
        <v>0.98241376736333241</v>
      </c>
      <c r="I2" s="4">
        <v>3.47</v>
      </c>
      <c r="J2" s="4">
        <v>2.8090000000000002</v>
      </c>
      <c r="K2" s="4">
        <v>54.866999999999997</v>
      </c>
      <c r="L2" s="4">
        <f t="shared" ref="L2:L22" si="2">(I2+J2+K2)/K2</f>
        <v>1.1144403739952977</v>
      </c>
      <c r="M2" s="4">
        <v>0.15</v>
      </c>
      <c r="N2" s="4">
        <v>0.23</v>
      </c>
      <c r="O2" s="4">
        <v>0.36</v>
      </c>
      <c r="P2" s="4">
        <v>0.26</v>
      </c>
    </row>
    <row r="3" spans="1:20" x14ac:dyDescent="0.3">
      <c r="A3" s="4">
        <v>2019</v>
      </c>
      <c r="B3" s="4">
        <f t="shared" si="0"/>
        <v>80.154390140724814</v>
      </c>
      <c r="C3" s="4">
        <f t="shared" si="1"/>
        <v>0.44600000000000001</v>
      </c>
      <c r="D3" s="4">
        <v>75653</v>
      </c>
      <c r="H3" s="2">
        <f>('[6]Print Direct Mail'!$N4+'[6]Print Direct Mail'!$O4+'[6]Print Direct Mail'!$P4+'[6]Print Direct Mail'!$Q4)/('[6]Print Direct Mail'!$N4+'[6]Print Direct Mail'!$O4+'[6]Print Direct Mail'!$P4+'[6]Print Direct Mail'!$Q5)</f>
        <v>0.98462751819180827</v>
      </c>
      <c r="I3" s="4">
        <v>3.9729999999999999</v>
      </c>
      <c r="J3" s="4">
        <v>3.5030000000000001</v>
      </c>
      <c r="K3" s="4">
        <v>65.686000000000007</v>
      </c>
      <c r="L3" s="4">
        <f t="shared" si="2"/>
        <v>1.1138142069847456</v>
      </c>
      <c r="M3" s="4">
        <v>0.14000000000000001</v>
      </c>
      <c r="N3" s="4">
        <v>0.22</v>
      </c>
      <c r="O3" s="4">
        <v>0.37</v>
      </c>
      <c r="P3" s="4">
        <v>0.27</v>
      </c>
    </row>
    <row r="4" spans="1:20" x14ac:dyDescent="0.3">
      <c r="A4" s="4">
        <v>2018</v>
      </c>
      <c r="B4" s="4">
        <f t="shared" si="0"/>
        <v>87.149405542526893</v>
      </c>
      <c r="C4" s="4">
        <f t="shared" si="1"/>
        <v>0.46200000000000002</v>
      </c>
      <c r="D4" s="4">
        <v>77270</v>
      </c>
      <c r="H4" s="2">
        <f>('[6]Print Direct Mail'!$N5+'[6]Print Direct Mail'!$O5+'[6]Print Direct Mail'!$P5+'[6]Print Direct Mail'!$Q5)/('[6]Print Direct Mail'!$N5+'[6]Print Direct Mail'!$O5+'[6]Print Direct Mail'!$P5+'[6]Print Direct Mail'!$Q6)</f>
        <v>1.0133184856210389</v>
      </c>
      <c r="I4" s="4">
        <v>3.504</v>
      </c>
      <c r="J4" s="4">
        <v>4.09</v>
      </c>
      <c r="K4" s="4">
        <v>67.680999999999997</v>
      </c>
      <c r="L4" s="4">
        <f t="shared" si="2"/>
        <v>1.1122028338824781</v>
      </c>
      <c r="M4" s="4">
        <v>0.16</v>
      </c>
      <c r="N4" s="4">
        <v>0.24</v>
      </c>
      <c r="O4" s="4">
        <v>0.34</v>
      </c>
      <c r="P4" s="4">
        <v>0.27</v>
      </c>
    </row>
    <row r="5" spans="1:20" x14ac:dyDescent="0.3">
      <c r="A5" s="4">
        <v>2017</v>
      </c>
      <c r="B5" s="4">
        <f t="shared" si="0"/>
        <v>83.342614457491337</v>
      </c>
      <c r="C5" s="4">
        <f t="shared" si="1"/>
        <v>0.45400000000000001</v>
      </c>
      <c r="D5" s="4">
        <v>78329</v>
      </c>
      <c r="H5" s="2">
        <f>('[6]Print Direct Mail'!$N6+'[6]Print Direct Mail'!$O6+'[6]Print Direct Mail'!$P6+'[6]Print Direct Mail'!$Q6)/('[6]Print Direct Mail'!$N6+'[6]Print Direct Mail'!$O6+'[6]Print Direct Mail'!$P6+'[6]Print Direct Mail'!$Q7)</f>
        <v>0.9722347039713144</v>
      </c>
      <c r="I5" s="4">
        <v>3.7120000000000002</v>
      </c>
      <c r="J5" s="4">
        <v>4.0830000000000002</v>
      </c>
      <c r="K5" s="4">
        <v>69.075000000000003</v>
      </c>
      <c r="L5" s="4">
        <f t="shared" si="2"/>
        <v>1.1128483532392328</v>
      </c>
      <c r="M5" s="4">
        <v>0.16</v>
      </c>
      <c r="N5" s="4">
        <v>0.22</v>
      </c>
      <c r="O5" s="4">
        <v>0.36</v>
      </c>
      <c r="P5" s="4">
        <v>0.25</v>
      </c>
    </row>
    <row r="6" spans="1:20" x14ac:dyDescent="0.3">
      <c r="A6" s="4">
        <v>2016</v>
      </c>
      <c r="B6" s="4">
        <f t="shared" si="0"/>
        <v>92.24739425775148</v>
      </c>
      <c r="C6" s="4">
        <f t="shared" si="1"/>
        <v>0.46600000000000003</v>
      </c>
      <c r="D6" s="4">
        <v>80885</v>
      </c>
      <c r="H6" s="2">
        <f>('[6]Print Direct Mail'!$N7+'[6]Print Direct Mail'!$O7+'[6]Print Direct Mail'!$P7+'[6]Print Direct Mail'!$Q7)/('[6]Print Direct Mail'!$N7+'[6]Print Direct Mail'!$O7+'[6]Print Direct Mail'!$P7+'[6]Print Direct Mail'!$Q8)</f>
        <v>1.0128032912984313</v>
      </c>
      <c r="I6" s="4">
        <v>3.8260000000000001</v>
      </c>
      <c r="J6" s="4">
        <v>4.4660000000000002</v>
      </c>
      <c r="K6" s="4">
        <v>71.754000000000005</v>
      </c>
      <c r="L6" s="4">
        <f t="shared" si="2"/>
        <v>1.1155615017978091</v>
      </c>
      <c r="M6" s="4">
        <v>0.18</v>
      </c>
      <c r="N6" s="4">
        <v>0.22</v>
      </c>
      <c r="O6" s="4">
        <v>0.35</v>
      </c>
      <c r="P6" s="4">
        <v>0.25</v>
      </c>
    </row>
    <row r="7" spans="1:20" x14ac:dyDescent="0.3">
      <c r="A7" s="4">
        <v>2015</v>
      </c>
      <c r="B7" s="4">
        <f t="shared" si="0"/>
        <v>90.293552539873943</v>
      </c>
      <c r="C7" s="4">
        <f t="shared" si="1"/>
        <v>0.47400000000000003</v>
      </c>
      <c r="D7" s="4">
        <v>80030</v>
      </c>
      <c r="H7" s="2">
        <f>('[6]Print Direct Mail'!$N8+'[6]Print Direct Mail'!$O8+'[6]Print Direct Mail'!$P8+'[6]Print Direct Mail'!$Q8)/('[6]Print Direct Mail'!$N8+'[6]Print Direct Mail'!$O8+'[6]Print Direct Mail'!$P8+'[6]Print Direct Mail'!$Q9)</f>
        <v>0.98390922034785533</v>
      </c>
      <c r="I7" s="4">
        <v>3.593</v>
      </c>
      <c r="J7" s="4">
        <v>4.7759999999999998</v>
      </c>
      <c r="K7" s="4">
        <v>71.631</v>
      </c>
      <c r="L7" s="4">
        <f t="shared" si="2"/>
        <v>1.1168348899219611</v>
      </c>
      <c r="M7" s="4">
        <v>0.19</v>
      </c>
      <c r="N7" s="4">
        <v>0.22</v>
      </c>
      <c r="O7" s="4">
        <v>0.36</v>
      </c>
      <c r="P7" s="4">
        <v>0.23</v>
      </c>
    </row>
    <row r="8" spans="1:20" x14ac:dyDescent="0.3">
      <c r="A8" s="4">
        <v>2014</v>
      </c>
      <c r="B8" s="4">
        <f t="shared" si="0"/>
        <v>95.118962572279003</v>
      </c>
      <c r="C8" s="4">
        <f t="shared" si="1"/>
        <v>0.47600000000000003</v>
      </c>
      <c r="D8" s="4">
        <v>80374.259999999995</v>
      </c>
      <c r="H8" s="2">
        <f>('[6]Print Direct Mail'!$N9+'[6]Print Direct Mail'!$O9+'[6]Print Direct Mail'!$P9+'[6]Print Direct Mail'!$Q9)/('[6]Print Direct Mail'!$N9+'[6]Print Direct Mail'!$O9+'[6]Print Direct Mail'!$P9+'[6]Print Direct Mail'!$Q10)</f>
        <v>1.0200852636224071</v>
      </c>
      <c r="I8" s="4">
        <v>3.9249999999999998</v>
      </c>
      <c r="J8" s="4">
        <v>5.0620000000000003</v>
      </c>
      <c r="K8" s="4">
        <v>71.787999999999997</v>
      </c>
      <c r="L8" s="4">
        <f t="shared" si="2"/>
        <v>1.1251880537137124</v>
      </c>
      <c r="M8" s="4">
        <v>0.2</v>
      </c>
      <c r="N8" s="4">
        <v>0.21</v>
      </c>
      <c r="O8" s="4">
        <v>0.37</v>
      </c>
      <c r="P8" s="4">
        <v>0.21</v>
      </c>
    </row>
    <row r="9" spans="1:20" x14ac:dyDescent="0.3">
      <c r="A9" s="4">
        <v>2013</v>
      </c>
      <c r="B9" s="4">
        <f t="shared" si="0"/>
        <v>94.230602873631696</v>
      </c>
      <c r="C9" s="4">
        <f t="shared" si="1"/>
        <v>0.47600000000000003</v>
      </c>
      <c r="D9" s="4">
        <v>80878.054000000004</v>
      </c>
      <c r="H9" s="2">
        <f>('[6]Print Direct Mail'!$N10+'[6]Print Direct Mail'!$O10+'[6]Print Direct Mail'!$P10+'[6]Print Direct Mail'!$Q10)/('[6]Print Direct Mail'!$N10+'[6]Print Direct Mail'!$O10+'[6]Print Direct Mail'!$P10+'[6]Print Direct Mail'!$Q11)</f>
        <v>0.99949267836620881</v>
      </c>
      <c r="I9" s="4">
        <v>4.24</v>
      </c>
      <c r="J9" s="4">
        <v>5.4690000000000003</v>
      </c>
      <c r="K9" s="4">
        <v>74.364999999999995</v>
      </c>
      <c r="L9" s="4">
        <f t="shared" si="2"/>
        <v>1.1305587305856251</v>
      </c>
      <c r="M9" s="4">
        <v>0.2</v>
      </c>
      <c r="N9" s="4">
        <v>0.21</v>
      </c>
      <c r="O9" s="4">
        <v>0.36</v>
      </c>
      <c r="P9" s="4">
        <v>0.23</v>
      </c>
    </row>
    <row r="10" spans="1:20" x14ac:dyDescent="0.3">
      <c r="A10" s="4">
        <v>2012</v>
      </c>
      <c r="B10" s="4">
        <f t="shared" si="0"/>
        <v>99.999999999999986</v>
      </c>
      <c r="C10" s="4">
        <f t="shared" si="1"/>
        <v>0.502</v>
      </c>
      <c r="D10" s="4">
        <v>79801.009000000005</v>
      </c>
      <c r="H10" s="2">
        <f>('[6]Print Direct Mail'!$N11+'[6]Print Direct Mail'!$O11+'[6]Print Direct Mail'!$P11+'[6]Print Direct Mail'!$Q11)/('[6]Print Direct Mail'!$N11+'[6]Print Direct Mail'!$O11+'[6]Print Direct Mail'!$P11+'[6]Print Direct Mail'!$Q12)</f>
        <v>0.99791351423150587</v>
      </c>
      <c r="I10" s="4">
        <v>5.0209999999999999</v>
      </c>
      <c r="J10" s="4">
        <v>6.4160000000000004</v>
      </c>
      <c r="K10" s="4">
        <v>73.873999999999995</v>
      </c>
      <c r="L10" s="4">
        <f t="shared" si="2"/>
        <v>1.1548176625064299</v>
      </c>
      <c r="M10" s="4">
        <v>0.22</v>
      </c>
      <c r="N10" s="4">
        <v>0.25</v>
      </c>
      <c r="O10" s="4">
        <v>0.34</v>
      </c>
      <c r="P10" s="4">
        <v>0.2</v>
      </c>
    </row>
    <row r="11" spans="1:20" x14ac:dyDescent="0.3">
      <c r="A11" s="4">
        <v>2011</v>
      </c>
      <c r="B11" s="4">
        <f t="shared" si="0"/>
        <v>105.30565770516408</v>
      </c>
      <c r="C11" s="4">
        <f t="shared" si="1"/>
        <v>0.502</v>
      </c>
      <c r="D11" s="4">
        <v>84691.659</v>
      </c>
      <c r="H11" s="2">
        <f>('[6]Print Direct Mail'!$N12+'[6]Print Direct Mail'!$O12+'[6]Print Direct Mail'!$P12+'[6]Print Direct Mail'!$Q12)/('[6]Print Direct Mail'!$N12+'[6]Print Direct Mail'!$O12+'[6]Print Direct Mail'!$P12+'[6]Print Direct Mail'!$Q13)</f>
        <v>0.98280470916302842</v>
      </c>
      <c r="I11" s="4">
        <v>5.4480000000000004</v>
      </c>
      <c r="J11" s="4">
        <v>7.2619999999999996</v>
      </c>
      <c r="K11" s="4">
        <v>77.747</v>
      </c>
      <c r="L11" s="4">
        <f t="shared" si="2"/>
        <v>1.1634789766807723</v>
      </c>
      <c r="M11" s="4">
        <v>0.22</v>
      </c>
      <c r="N11" s="4">
        <v>0.26</v>
      </c>
      <c r="O11" s="4">
        <v>0.32</v>
      </c>
      <c r="P11" s="4">
        <v>0.21</v>
      </c>
    </row>
    <row r="12" spans="1:20" x14ac:dyDescent="0.3">
      <c r="A12" s="4">
        <v>2010</v>
      </c>
      <c r="B12" s="4">
        <f t="shared" si="0"/>
        <v>106.65128955698187</v>
      </c>
      <c r="C12" s="4">
        <f t="shared" si="1"/>
        <v>0.49800000000000005</v>
      </c>
      <c r="D12" s="4">
        <v>82524.692999999999</v>
      </c>
      <c r="H12" s="2">
        <f>('[6]Print Direct Mail'!$N13+'[6]Print Direct Mail'!$O13+'[6]Print Direct Mail'!$P13+'[6]Print Direct Mail'!$Q13)/('[6]Print Direct Mail'!$N13+'[6]Print Direct Mail'!$O13+'[6]Print Direct Mail'!$P13+'[6]Print Direct Mail'!$Q14)</f>
        <v>1.0192569444608732</v>
      </c>
      <c r="I12" s="4">
        <v>6.1150000000000002</v>
      </c>
      <c r="J12" s="4">
        <v>6.6779999999999999</v>
      </c>
      <c r="K12" s="4">
        <v>72.933999999999997</v>
      </c>
      <c r="L12" s="4">
        <f t="shared" si="2"/>
        <v>1.1754051608303397</v>
      </c>
      <c r="M12" s="4">
        <v>0.2</v>
      </c>
      <c r="N12" s="4">
        <v>0.27</v>
      </c>
      <c r="O12" s="4">
        <v>0.35</v>
      </c>
      <c r="P12" s="4">
        <v>0.18</v>
      </c>
    </row>
    <row r="13" spans="1:20" x14ac:dyDescent="0.3">
      <c r="A13" s="4">
        <v>2009</v>
      </c>
      <c r="B13" s="4">
        <f t="shared" si="0"/>
        <v>101.64411686041083</v>
      </c>
      <c r="C13" s="4">
        <f t="shared" si="1"/>
        <v>0.48599999999999999</v>
      </c>
      <c r="D13" s="4">
        <v>82448.28</v>
      </c>
      <c r="H13" s="2">
        <f>('[6]Print Direct Mail'!$N14+'[6]Print Direct Mail'!$O14+'[6]Print Direct Mail'!$P14+'[6]Print Direct Mail'!$Q14)/('[6]Print Direct Mail'!$N14+'[6]Print Direct Mail'!$O14+'[6]Print Direct Mail'!$P14+'[6]Print Direct Mail'!$Q15)</f>
        <v>0.97319527888853052</v>
      </c>
      <c r="I13" s="4">
        <v>6.6479999999999997</v>
      </c>
      <c r="J13" s="4">
        <v>7.8339999999999996</v>
      </c>
      <c r="K13" s="4">
        <v>71.225999999999999</v>
      </c>
      <c r="L13" s="4">
        <f t="shared" si="2"/>
        <v>1.2033246286468424</v>
      </c>
      <c r="M13" s="4">
        <v>0.17</v>
      </c>
      <c r="N13" s="4">
        <v>0.28999999999999998</v>
      </c>
      <c r="O13" s="4">
        <v>0.34</v>
      </c>
      <c r="P13" s="4">
        <v>0.2</v>
      </c>
    </row>
    <row r="14" spans="1:20" x14ac:dyDescent="0.3">
      <c r="A14" s="4">
        <v>2008</v>
      </c>
      <c r="B14" s="4">
        <f t="shared" si="0"/>
        <v>120.58903246364088</v>
      </c>
      <c r="C14" s="4">
        <f t="shared" si="1"/>
        <v>0.48399999999999999</v>
      </c>
      <c r="D14" s="4">
        <v>99084.154999999999</v>
      </c>
      <c r="H14" s="2">
        <f>('[6]Print Direct Mail'!$N15+'[6]Print Direct Mail'!$O15+'[6]Print Direct Mail'!$P15+'[6]Print Direct Mail'!$Q15)/('[6]Print Direct Mail'!$N15+'[6]Print Direct Mail'!$O15+'[6]Print Direct Mail'!$P15+'[6]Print Direct Mail'!$Q16)</f>
        <v>0.97004501976144997</v>
      </c>
      <c r="I14" s="4">
        <v>8.2569999999999997</v>
      </c>
      <c r="J14" s="4">
        <v>8.1869999999999994</v>
      </c>
      <c r="K14" s="4">
        <v>83.6</v>
      </c>
      <c r="L14" s="4">
        <f t="shared" si="2"/>
        <v>1.1966985645933015</v>
      </c>
      <c r="M14" s="4">
        <v>0.17</v>
      </c>
      <c r="N14" s="4">
        <v>0.3</v>
      </c>
      <c r="O14" s="4">
        <v>0.32</v>
      </c>
      <c r="P14" s="4">
        <v>0.2</v>
      </c>
    </row>
    <row r="15" spans="1:20" x14ac:dyDescent="0.3">
      <c r="A15" s="4">
        <v>2007</v>
      </c>
      <c r="B15" s="4">
        <f t="shared" si="0"/>
        <v>134.85030164738438</v>
      </c>
      <c r="C15" s="4">
        <f t="shared" si="1"/>
        <v>0.496</v>
      </c>
      <c r="D15" s="4">
        <v>103516.11199999999</v>
      </c>
      <c r="H15" s="2">
        <f>('[6]Print Direct Mail'!$N16+'[6]Print Direct Mail'!$O16+'[6]Print Direct Mail'!$P16+'[6]Print Direct Mail'!$Q16)/('[6]Print Direct Mail'!$N16+'[6]Print Direct Mail'!$O16+'[6]Print Direct Mail'!$P16+'[6]Print Direct Mail'!$Q17)</f>
        <v>1.009677672399812</v>
      </c>
      <c r="I15" s="4">
        <v>9.0340000000000007</v>
      </c>
      <c r="J15" s="4">
        <v>7.8540000000000001</v>
      </c>
      <c r="K15" s="4">
        <v>84.072000000000003</v>
      </c>
      <c r="L15" s="4">
        <f t="shared" si="2"/>
        <v>1.2008754400989627</v>
      </c>
      <c r="M15" s="4">
        <v>0.17</v>
      </c>
      <c r="N15" s="4">
        <v>0.33</v>
      </c>
      <c r="O15" s="4">
        <v>0.31</v>
      </c>
      <c r="P15" s="4">
        <v>0.19</v>
      </c>
    </row>
    <row r="16" spans="1:20" x14ac:dyDescent="0.3">
      <c r="A16" s="4">
        <v>2006</v>
      </c>
      <c r="B16" s="4">
        <f t="shared" si="0"/>
        <v>136.32292458070796</v>
      </c>
      <c r="C16" s="4">
        <f t="shared" si="1"/>
        <v>0.498</v>
      </c>
      <c r="D16" s="4">
        <v>102459.55899999999</v>
      </c>
      <c r="H16" s="2">
        <f>('[6]Print Direct Mail'!$N17+'[6]Print Direct Mail'!$O17+'[6]Print Direct Mail'!$P17+'[6]Print Direct Mail'!$Q17)/('[6]Print Direct Mail'!$N17+'[6]Print Direct Mail'!$O17+'[6]Print Direct Mail'!$P17+'[6]Print Direct Mail'!$Q18)</f>
        <v>1.0231164106597936</v>
      </c>
      <c r="I16" s="4">
        <v>10.343999999999999</v>
      </c>
      <c r="J16" s="4">
        <v>7.6529999999999996</v>
      </c>
      <c r="K16" s="4">
        <v>87.561000000000007</v>
      </c>
      <c r="L16" s="4">
        <f t="shared" si="2"/>
        <v>1.2055367115496625</v>
      </c>
      <c r="M16" s="4">
        <v>0.15</v>
      </c>
      <c r="N16" s="4">
        <v>0.36</v>
      </c>
      <c r="O16" s="4">
        <v>0.32</v>
      </c>
      <c r="P16" s="4">
        <v>0.17</v>
      </c>
    </row>
    <row r="17" spans="1:20" x14ac:dyDescent="0.3">
      <c r="A17" s="4">
        <v>2005</v>
      </c>
      <c r="B17" s="4">
        <f t="shared" si="0"/>
        <v>135.29228856575389</v>
      </c>
      <c r="C17" s="4">
        <f t="shared" si="1"/>
        <v>0.50600000000000001</v>
      </c>
      <c r="D17" s="4">
        <v>100942.091</v>
      </c>
      <c r="H17" s="2">
        <f>('[6]Print Direct Mail'!$N18+'[6]Print Direct Mail'!$O18+'[6]Print Direct Mail'!$P18+'[6]Print Direct Mail'!$Q18)/('[6]Print Direct Mail'!$N18+'[6]Print Direct Mail'!$O18+'[6]Print Direct Mail'!$P18+'[6]Print Direct Mail'!$Q19)</f>
        <v>1.0015731155522911</v>
      </c>
      <c r="I17" s="4">
        <v>10.782</v>
      </c>
      <c r="J17" s="4">
        <v>7.8490000000000002</v>
      </c>
      <c r="K17" s="4">
        <v>84.334999999999994</v>
      </c>
      <c r="L17" s="4">
        <f t="shared" si="2"/>
        <v>1.2209165826762318</v>
      </c>
      <c r="M17" s="4">
        <v>0.15</v>
      </c>
      <c r="N17" s="4">
        <v>0.38</v>
      </c>
      <c r="O17" s="4">
        <v>0.32</v>
      </c>
      <c r="P17" s="4">
        <v>0.15</v>
      </c>
    </row>
    <row r="18" spans="1:20" x14ac:dyDescent="0.3">
      <c r="A18" s="4">
        <v>2004</v>
      </c>
      <c r="B18" s="4">
        <f t="shared" si="0"/>
        <v>130.2873069703958</v>
      </c>
      <c r="C18" s="4">
        <f t="shared" si="1"/>
        <v>0.50800000000000001</v>
      </c>
      <c r="D18" s="4">
        <v>95563.520999999993</v>
      </c>
      <c r="H18" s="2">
        <f>('[6]Print Direct Mail'!$N19+'[6]Print Direct Mail'!$O19+'[6]Print Direct Mail'!$P19+'[6]Print Direct Mail'!$Q19)/('[6]Print Direct Mail'!$N19+'[6]Print Direct Mail'!$O19+'[6]Print Direct Mail'!$P19+'[6]Print Direct Mail'!$Q20)</f>
        <v>1.0203020274492656</v>
      </c>
      <c r="I18" s="4">
        <v>9.2590000000000003</v>
      </c>
      <c r="J18" s="4">
        <v>7.4889999999999999</v>
      </c>
      <c r="K18" s="4">
        <v>78.141999999999996</v>
      </c>
      <c r="L18" s="4">
        <f t="shared" si="2"/>
        <v>1.2143277622789281</v>
      </c>
      <c r="M18" s="4">
        <v>0.15</v>
      </c>
      <c r="N18" s="4">
        <v>0.38</v>
      </c>
      <c r="O18" s="4">
        <v>0.32</v>
      </c>
      <c r="P18" s="4">
        <v>0.16</v>
      </c>
      <c r="Q18" s="4">
        <v>0.14599999999999999</v>
      </c>
      <c r="R18" s="4">
        <v>0.36399999999999999</v>
      </c>
      <c r="S18" s="4">
        <v>0.30599999999999999</v>
      </c>
      <c r="T18" s="4">
        <v>0.156</v>
      </c>
    </row>
    <row r="19" spans="1:20" x14ac:dyDescent="0.3">
      <c r="A19" s="4">
        <v>2003</v>
      </c>
      <c r="B19" s="4">
        <f t="shared" si="0"/>
        <v>121.23236138575561</v>
      </c>
      <c r="C19" s="4">
        <f t="shared" si="1"/>
        <v>0.49199999999999994</v>
      </c>
      <c r="D19" s="4">
        <v>90492.235000000001</v>
      </c>
      <c r="H19" s="2">
        <f>('[6]Print Direct Mail'!$N20+'[6]Print Direct Mail'!$O20+'[6]Print Direct Mail'!$P20+'[6]Print Direct Mail'!$Q20)/('[6]Print Direct Mail'!$N20+'[6]Print Direct Mail'!$O20+'[6]Print Direct Mail'!$P20+'[6]Print Direct Mail'!$Q21)</f>
        <v>1.0115738800547585</v>
      </c>
      <c r="I19" s="4">
        <v>10.221</v>
      </c>
      <c r="J19" s="4">
        <v>7.7910000000000004</v>
      </c>
      <c r="K19" s="4">
        <v>74.218000000000004</v>
      </c>
      <c r="L19" s="4">
        <f t="shared" si="2"/>
        <v>1.2426904524508879</v>
      </c>
      <c r="M19" s="4">
        <v>0.13</v>
      </c>
      <c r="N19" s="4">
        <v>0.38</v>
      </c>
      <c r="O19" s="4">
        <v>0.31</v>
      </c>
      <c r="P19" s="4">
        <v>0.18</v>
      </c>
      <c r="Q19" s="4">
        <v>0.123</v>
      </c>
      <c r="R19" s="4">
        <v>0.377</v>
      </c>
      <c r="S19" s="4">
        <v>0.29899999999999999</v>
      </c>
      <c r="T19" s="4">
        <v>0.182</v>
      </c>
    </row>
    <row r="20" spans="1:20" x14ac:dyDescent="0.3">
      <c r="A20" s="4">
        <v>2002</v>
      </c>
      <c r="B20" s="4">
        <f t="shared" si="0"/>
        <v>119.3806504317363</v>
      </c>
      <c r="C20" s="4">
        <f t="shared" si="1"/>
        <v>0.48399999999999999</v>
      </c>
      <c r="D20" s="4">
        <v>87230.637000000002</v>
      </c>
      <c r="H20" s="2">
        <f>('[6]Print Direct Mail'!$N21+'[6]Print Direct Mail'!$O21+'[6]Print Direct Mail'!$P21+'[6]Print Direct Mail'!$Q21)/('[6]Print Direct Mail'!$N21+'[6]Print Direct Mail'!$O21+'[6]Print Direct Mail'!$P21+'[6]Print Direct Mail'!$Q22)</f>
        <v>1.0324250341835066</v>
      </c>
      <c r="I20" s="4">
        <v>11.045</v>
      </c>
      <c r="J20" s="4">
        <v>7.7519999999999998</v>
      </c>
      <c r="K20" s="4">
        <v>71.096999999999994</v>
      </c>
      <c r="L20" s="4">
        <f t="shared" si="2"/>
        <v>1.2643852764532961</v>
      </c>
      <c r="M20" s="4">
        <v>0.13</v>
      </c>
      <c r="N20" s="4">
        <v>0.37</v>
      </c>
      <c r="O20" s="4">
        <v>0.3</v>
      </c>
      <c r="P20" s="4">
        <v>0.19</v>
      </c>
    </row>
    <row r="21" spans="1:20" x14ac:dyDescent="0.3">
      <c r="A21" s="4">
        <v>2001</v>
      </c>
      <c r="B21" s="4">
        <f t="shared" si="0"/>
        <v>120.25561111133601</v>
      </c>
      <c r="C21" s="4">
        <f t="shared" si="1"/>
        <v>0.48799999999999999</v>
      </c>
      <c r="D21" s="4">
        <v>89938.429000000004</v>
      </c>
      <c r="H21" s="2">
        <f>('[6]Print Direct Mail'!$N22+'[6]Print Direct Mail'!$O22+'[6]Print Direct Mail'!$P22+'[6]Print Direct Mail'!$Q22)/('[6]Print Direct Mail'!$N22+'[6]Print Direct Mail'!$O22+'[6]Print Direct Mail'!$P22+'[6]Print Direct Mail'!$Q23)</f>
        <v>0.99525133340721306</v>
      </c>
      <c r="I21" s="4">
        <v>11.153</v>
      </c>
      <c r="J21" s="4">
        <v>8.4019999999999992</v>
      </c>
      <c r="K21" s="4">
        <v>72.174000000000007</v>
      </c>
      <c r="L21" s="4">
        <f t="shared" si="2"/>
        <v>1.2709424446476572</v>
      </c>
      <c r="M21" s="4">
        <v>0.13</v>
      </c>
      <c r="N21" s="4">
        <v>0.38</v>
      </c>
      <c r="O21" s="4">
        <v>0.28999999999999998</v>
      </c>
      <c r="P21" s="4">
        <v>0.2</v>
      </c>
    </row>
    <row r="22" spans="1:20" x14ac:dyDescent="0.3">
      <c r="A22" s="4">
        <v>2000</v>
      </c>
      <c r="B22" s="4">
        <f t="shared" si="0"/>
        <v>131.51911937319795</v>
      </c>
      <c r="C22" s="4">
        <f t="shared" si="1"/>
        <v>0.502</v>
      </c>
      <c r="D22" s="4">
        <v>90057.146999999997</v>
      </c>
      <c r="E22" s="4">
        <f>E23*(1-0.001)</f>
        <v>85576.048290000006</v>
      </c>
      <c r="F22" s="4">
        <f>F23*(1-0.001)</f>
        <v>1042.0568999999998</v>
      </c>
      <c r="H22" s="2">
        <f>('[6]Print Direct Mail'!$N23+'[6]Print Direct Mail'!$O23+'[6]Print Direct Mail'!$P23+'[6]Print Direct Mail'!$Q23)/('[6]Print Direct Mail'!$N23+'[6]Print Direct Mail'!$O23+'[6]Print Direct Mail'!$P23+'[6]Print Direct Mail'!$Q24)</f>
        <v>1.0501077461992234</v>
      </c>
      <c r="I22" s="4">
        <v>9.4710000000000001</v>
      </c>
      <c r="J22" s="4">
        <v>7.4039999999999999</v>
      </c>
      <c r="K22" s="4">
        <v>60.496000000000002</v>
      </c>
      <c r="L22" s="4">
        <f t="shared" si="2"/>
        <v>1.27894406241735</v>
      </c>
      <c r="M22" s="4">
        <v>0.15</v>
      </c>
      <c r="N22" s="4">
        <v>0.4</v>
      </c>
      <c r="O22" s="4">
        <v>0.27</v>
      </c>
      <c r="P22" s="4">
        <v>0.17</v>
      </c>
    </row>
    <row r="23" spans="1:20" x14ac:dyDescent="0.3">
      <c r="A23" s="4">
        <v>1999</v>
      </c>
      <c r="B23" s="4">
        <f t="shared" si="0"/>
        <v>124.68104044775116</v>
      </c>
      <c r="C23" s="4">
        <f t="shared" ref="C23:C34" si="3">C24*(C$22/C$35)^(1/13)</f>
        <v>0.50573008786138596</v>
      </c>
      <c r="D23" s="4">
        <f t="shared" ref="D23:D67" si="4">D22*(E23+F23)/(E22+F22)</f>
        <v>90147.294294294305</v>
      </c>
      <c r="E23" s="4">
        <v>85661.71</v>
      </c>
      <c r="F23" s="4">
        <v>1043.0999999999999</v>
      </c>
      <c r="H23" s="2">
        <f>(H3+H7+H11+H15+H19)/5</f>
        <v>0.99451860003145254</v>
      </c>
      <c r="L23" s="4">
        <f t="shared" ref="L23:L34" si="5">L24*(L$22/L$35)^(1/13)</f>
        <v>1.2695050732480639</v>
      </c>
    </row>
    <row r="24" spans="1:20" x14ac:dyDescent="0.3">
      <c r="A24" s="4">
        <v>1998</v>
      </c>
      <c r="B24" s="4">
        <f t="shared" si="0"/>
        <v>123.39303127556569</v>
      </c>
      <c r="C24" s="4">
        <f t="shared" si="3"/>
        <v>0.50948789196869559</v>
      </c>
      <c r="D24" s="4">
        <f t="shared" si="4"/>
        <v>86847.992785450348</v>
      </c>
      <c r="E24" s="4">
        <v>82508.100000000006</v>
      </c>
      <c r="F24" s="4">
        <v>1023.4</v>
      </c>
      <c r="H24" s="2">
        <f>(H4+H8+H12+H16+H20)/5</f>
        <v>1.0216404277095239</v>
      </c>
      <c r="L24" s="4">
        <f t="shared" si="5"/>
        <v>1.2601357466380372</v>
      </c>
    </row>
    <row r="25" spans="1:20" x14ac:dyDescent="0.3">
      <c r="A25" s="4">
        <v>1997</v>
      </c>
      <c r="B25" s="4">
        <f t="shared" si="0"/>
        <v>111.81258924235516</v>
      </c>
      <c r="C25" s="4">
        <f t="shared" si="3"/>
        <v>0.51327361826621665</v>
      </c>
      <c r="D25" s="4">
        <f t="shared" si="4"/>
        <v>81348.481130103086</v>
      </c>
      <c r="E25" s="4">
        <v>77253.600000000006</v>
      </c>
      <c r="F25" s="4">
        <v>988.4</v>
      </c>
      <c r="H25" s="2">
        <f>(H5+H9+H13+H17+H21)/5</f>
        <v>0.98834942203711162</v>
      </c>
      <c r="L25" s="4">
        <f t="shared" si="5"/>
        <v>1.2508355684567762</v>
      </c>
    </row>
    <row r="26" spans="1:20" x14ac:dyDescent="0.3">
      <c r="A26" s="4">
        <v>1996</v>
      </c>
      <c r="B26" s="4">
        <f t="shared" si="0"/>
        <v>106.09777437019866</v>
      </c>
      <c r="C26" s="4">
        <f t="shared" si="3"/>
        <v>0.51708747422849655</v>
      </c>
      <c r="D26" s="4">
        <f t="shared" si="4"/>
        <v>75518.863613980182</v>
      </c>
      <c r="E26" s="4">
        <v>71686.100000000006</v>
      </c>
      <c r="F26" s="4">
        <v>948.9</v>
      </c>
      <c r="H26" s="2">
        <f>(H6+H10+H14+H18+H22)/5</f>
        <v>1.0102343197879755</v>
      </c>
      <c r="L26" s="4">
        <f t="shared" si="5"/>
        <v>1.2416040283682239</v>
      </c>
    </row>
    <row r="27" spans="1:20" x14ac:dyDescent="0.3">
      <c r="A27" s="4">
        <v>1995</v>
      </c>
      <c r="B27" s="4">
        <f t="shared" si="0"/>
        <v>103.6031185647951</v>
      </c>
      <c r="C27" s="4">
        <f t="shared" si="3"/>
        <v>0.52092966887171255</v>
      </c>
      <c r="D27" s="4">
        <f t="shared" si="4"/>
        <v>74908.869571406743</v>
      </c>
      <c r="E27" s="4">
        <v>71112.100000000006</v>
      </c>
      <c r="F27" s="4">
        <v>936.2</v>
      </c>
      <c r="H27" s="2">
        <f t="shared" ref="H27:H58" si="6">H23</f>
        <v>0.99451860003145254</v>
      </c>
      <c r="L27" s="4">
        <f t="shared" si="5"/>
        <v>1.2324406198027555</v>
      </c>
    </row>
    <row r="28" spans="1:20" x14ac:dyDescent="0.3">
      <c r="A28" s="4">
        <v>1994</v>
      </c>
      <c r="B28" s="4">
        <f t="shared" si="0"/>
        <v>103.82774036512221</v>
      </c>
      <c r="C28" s="4">
        <f t="shared" si="3"/>
        <v>0.52480041276512734</v>
      </c>
      <c r="D28" s="4">
        <f t="shared" si="4"/>
        <v>73078.679502986706</v>
      </c>
      <c r="E28" s="4">
        <v>69416</v>
      </c>
      <c r="F28" s="4">
        <v>872</v>
      </c>
      <c r="H28" s="2">
        <f t="shared" si="6"/>
        <v>1.0216404277095239</v>
      </c>
      <c r="L28" s="4">
        <f t="shared" si="5"/>
        <v>1.2233448399293816</v>
      </c>
    </row>
    <row r="29" spans="1:20" x14ac:dyDescent="0.3">
      <c r="A29" s="4">
        <v>1993</v>
      </c>
      <c r="B29" s="4">
        <f t="shared" si="0"/>
        <v>95.055068372464788</v>
      </c>
      <c r="C29" s="4">
        <f t="shared" si="3"/>
        <v>0.5286999180426285</v>
      </c>
      <c r="D29" s="4">
        <f t="shared" si="4"/>
        <v>69157.957610120749</v>
      </c>
      <c r="E29" s="4">
        <v>65773</v>
      </c>
      <c r="F29" s="4">
        <v>744</v>
      </c>
      <c r="H29" s="2">
        <f t="shared" si="6"/>
        <v>0.98834942203711162</v>
      </c>
      <c r="L29" s="4">
        <f t="shared" si="5"/>
        <v>1.2143161896281554</v>
      </c>
    </row>
    <row r="30" spans="1:20" x14ac:dyDescent="0.3">
      <c r="A30" s="4">
        <v>1992</v>
      </c>
      <c r="B30" s="4">
        <f t="shared" si="0"/>
        <v>92.476496846749868</v>
      </c>
      <c r="C30" s="4">
        <f t="shared" si="3"/>
        <v>0.53262839841435472</v>
      </c>
      <c r="D30" s="4">
        <f t="shared" si="4"/>
        <v>65824.668193910649</v>
      </c>
      <c r="E30" s="4">
        <v>62547</v>
      </c>
      <c r="F30" s="4">
        <v>764</v>
      </c>
      <c r="H30" s="2">
        <f t="shared" si="6"/>
        <v>1.0102343197879755</v>
      </c>
      <c r="L30" s="4">
        <f t="shared" si="5"/>
        <v>1.2053541734627846</v>
      </c>
    </row>
    <row r="31" spans="1:20" x14ac:dyDescent="0.3">
      <c r="A31" s="4">
        <v>1991</v>
      </c>
      <c r="B31" s="4">
        <f t="shared" si="0"/>
        <v>90.770001994482186</v>
      </c>
      <c r="C31" s="4">
        <f t="shared" si="3"/>
        <v>0.53658606917840823</v>
      </c>
      <c r="D31" s="4">
        <f t="shared" si="4"/>
        <v>65631.283343188537</v>
      </c>
      <c r="E31" s="4">
        <v>62430</v>
      </c>
      <c r="F31" s="4">
        <v>695</v>
      </c>
      <c r="H31" s="2">
        <f t="shared" si="6"/>
        <v>0.99451860003145254</v>
      </c>
      <c r="L31" s="4">
        <f t="shared" si="5"/>
        <v>1.1964582996534447</v>
      </c>
    </row>
    <row r="32" spans="1:20" x14ac:dyDescent="0.3">
      <c r="A32" s="4">
        <v>1990</v>
      </c>
      <c r="B32" s="4">
        <f t="shared" si="0"/>
        <v>95.110620582469267</v>
      </c>
      <c r="C32" s="4">
        <f t="shared" si="3"/>
        <v>0.54057314723265371</v>
      </c>
      <c r="D32" s="4">
        <f t="shared" si="4"/>
        <v>66944.428861801556</v>
      </c>
      <c r="E32" s="4">
        <v>63725</v>
      </c>
      <c r="F32" s="4">
        <v>663</v>
      </c>
      <c r="H32" s="2">
        <f t="shared" si="6"/>
        <v>1.0216404277095239</v>
      </c>
      <c r="L32" s="4">
        <f t="shared" si="5"/>
        <v>1.1876280800497929</v>
      </c>
    </row>
    <row r="33" spans="1:20" x14ac:dyDescent="0.3">
      <c r="A33" s="4">
        <v>1989</v>
      </c>
      <c r="B33" s="4">
        <f t="shared" si="0"/>
        <v>90.606216396459175</v>
      </c>
      <c r="C33" s="4">
        <f t="shared" si="3"/>
        <v>0.5445898510866054</v>
      </c>
      <c r="D33" s="4">
        <f t="shared" si="4"/>
        <v>65922.400322770205</v>
      </c>
      <c r="E33" s="4">
        <v>62779</v>
      </c>
      <c r="F33" s="4">
        <v>626</v>
      </c>
      <c r="H33" s="2">
        <f t="shared" si="6"/>
        <v>0.98834942203711162</v>
      </c>
      <c r="L33" s="4">
        <f t="shared" si="5"/>
        <v>1.1788630301041823</v>
      </c>
    </row>
    <row r="34" spans="1:20" x14ac:dyDescent="0.3">
      <c r="A34" s="4">
        <v>1988</v>
      </c>
      <c r="B34" s="4">
        <f t="shared" si="0"/>
        <v>93.37013843047535</v>
      </c>
      <c r="C34" s="4">
        <f t="shared" si="3"/>
        <v>0.54863640087340249</v>
      </c>
      <c r="D34" s="4">
        <f t="shared" si="4"/>
        <v>66462.006438494805</v>
      </c>
      <c r="E34" s="4">
        <v>63250</v>
      </c>
      <c r="F34" s="4">
        <v>674</v>
      </c>
      <c r="H34" s="2">
        <f t="shared" si="6"/>
        <v>1.0102343197879755</v>
      </c>
      <c r="L34" s="4">
        <f t="shared" si="5"/>
        <v>1.1701626688450717</v>
      </c>
    </row>
    <row r="35" spans="1:20" x14ac:dyDescent="0.3">
      <c r="A35" s="4">
        <v>1987</v>
      </c>
      <c r="B35" s="4">
        <f t="shared" si="0"/>
        <v>86.776653042542819</v>
      </c>
      <c r="C35" s="4">
        <f>(C18+C19)*(Q35*0.8+R35*0.6+S35*0.4+T35*0.2)/(Q18*0.8+R18*0.6+S18*0.4+T18*0.2+Q19*0.8+R19*0.6+S19*0.4+T19*0.2)</f>
        <v>0.55271301836187336</v>
      </c>
      <c r="D35" s="4">
        <f t="shared" si="4"/>
        <v>62745.06643133601</v>
      </c>
      <c r="E35" s="4">
        <v>59734</v>
      </c>
      <c r="F35" s="4">
        <v>615</v>
      </c>
      <c r="H35" s="2">
        <f t="shared" si="6"/>
        <v>0.99451860003145254</v>
      </c>
      <c r="L35" s="4">
        <f>(48.6/(30.7+0.5+2.4+3.2))/(56.8/(34.4+0.4+2+3.4))*L19</f>
        <v>1.1615265188506338</v>
      </c>
      <c r="Q35" s="4">
        <v>0.19600000000000001</v>
      </c>
      <c r="R35" s="4">
        <v>0.40400000000000003</v>
      </c>
      <c r="S35" s="4">
        <v>0.29599999999999999</v>
      </c>
      <c r="T35" s="4">
        <v>9.0999999999999998E-2</v>
      </c>
    </row>
    <row r="36" spans="1:20" x14ac:dyDescent="0.3">
      <c r="A36" s="4">
        <v>1986</v>
      </c>
      <c r="B36" s="4">
        <f t="shared" ref="B36:B67" si="7">B$35*D36*H36/(D$35*H$35)</f>
        <v>82.203621378321159</v>
      </c>
      <c r="D36" s="4">
        <f t="shared" si="4"/>
        <v>57860.539395355023</v>
      </c>
      <c r="E36" s="4">
        <v>55049</v>
      </c>
      <c r="F36" s="4">
        <v>602</v>
      </c>
      <c r="H36" s="2">
        <f t="shared" si="6"/>
        <v>1.0216404277095239</v>
      </c>
    </row>
    <row r="37" spans="1:20" x14ac:dyDescent="0.3">
      <c r="A37" s="4">
        <v>1985</v>
      </c>
      <c r="B37" s="4">
        <f t="shared" si="7"/>
        <v>75.373720083784207</v>
      </c>
      <c r="D37" s="4">
        <f t="shared" si="4"/>
        <v>54840.200732195211</v>
      </c>
      <c r="E37" s="4">
        <v>52170</v>
      </c>
      <c r="F37" s="4">
        <v>576</v>
      </c>
      <c r="H37" s="2">
        <f t="shared" si="6"/>
        <v>0.98834942203711162</v>
      </c>
    </row>
    <row r="38" spans="1:20" x14ac:dyDescent="0.3">
      <c r="A38" s="4">
        <v>1984</v>
      </c>
      <c r="B38" s="4">
        <f t="shared" si="7"/>
        <v>71.34915148906866</v>
      </c>
      <c r="D38" s="4">
        <f t="shared" si="4"/>
        <v>50787.436495018985</v>
      </c>
      <c r="E38" s="4">
        <v>48249</v>
      </c>
      <c r="F38" s="4">
        <v>599</v>
      </c>
      <c r="H38" s="2">
        <f t="shared" si="6"/>
        <v>1.0102343197879755</v>
      </c>
    </row>
    <row r="39" spans="1:20" x14ac:dyDescent="0.3">
      <c r="A39" s="4">
        <v>1983</v>
      </c>
      <c r="B39" s="4">
        <f t="shared" si="7"/>
        <v>59.390148977052576</v>
      </c>
      <c r="D39" s="4">
        <f t="shared" si="4"/>
        <v>42942.873598791542</v>
      </c>
      <c r="E39" s="4">
        <v>40735</v>
      </c>
      <c r="F39" s="4">
        <v>568</v>
      </c>
      <c r="H39" s="2">
        <f t="shared" si="6"/>
        <v>0.99451860003145254</v>
      </c>
    </row>
    <row r="40" spans="1:20" x14ac:dyDescent="0.3">
      <c r="A40" s="4">
        <v>1982</v>
      </c>
      <c r="B40" s="4">
        <f t="shared" si="7"/>
        <v>55.12048903619759</v>
      </c>
      <c r="D40" s="4">
        <f t="shared" si="4"/>
        <v>38797.575750248288</v>
      </c>
      <c r="E40" s="4">
        <v>36719</v>
      </c>
      <c r="F40" s="4">
        <v>597</v>
      </c>
      <c r="H40" s="2">
        <f t="shared" si="6"/>
        <v>1.0216404277095239</v>
      </c>
    </row>
    <row r="41" spans="1:20" x14ac:dyDescent="0.3">
      <c r="A41" s="4">
        <v>1981</v>
      </c>
      <c r="B41" s="4">
        <f t="shared" si="7"/>
        <v>48.867309477593899</v>
      </c>
      <c r="D41" s="4">
        <f t="shared" si="4"/>
        <v>35554.740538408209</v>
      </c>
      <c r="E41" s="4">
        <v>33607</v>
      </c>
      <c r="F41" s="4">
        <v>590</v>
      </c>
      <c r="H41" s="2">
        <f t="shared" si="6"/>
        <v>0.98834942203711162</v>
      </c>
    </row>
    <row r="42" spans="1:20" x14ac:dyDescent="0.3">
      <c r="A42" s="4">
        <v>1980</v>
      </c>
      <c r="B42" s="4">
        <f t="shared" si="7"/>
        <v>45.300167545896969</v>
      </c>
      <c r="D42" s="4">
        <f t="shared" si="4"/>
        <v>32245.364302663751</v>
      </c>
      <c r="E42" s="4">
        <v>30381</v>
      </c>
      <c r="F42" s="4">
        <v>633</v>
      </c>
      <c r="H42" s="2">
        <f t="shared" si="6"/>
        <v>1.0102343197879755</v>
      </c>
    </row>
    <row r="43" spans="1:20" x14ac:dyDescent="0.3">
      <c r="A43" s="4">
        <v>1979</v>
      </c>
      <c r="B43" s="4">
        <f t="shared" si="7"/>
        <v>40.444198248978466</v>
      </c>
      <c r="D43" s="4">
        <f t="shared" si="4"/>
        <v>29243.740302477054</v>
      </c>
      <c r="E43" s="4">
        <v>27513</v>
      </c>
      <c r="F43" s="4">
        <v>614</v>
      </c>
      <c r="H43" s="2">
        <f t="shared" si="6"/>
        <v>0.99451860003145254</v>
      </c>
    </row>
    <row r="44" spans="1:20" x14ac:dyDescent="0.3">
      <c r="A44" s="4">
        <v>1978</v>
      </c>
      <c r="B44" s="4">
        <f t="shared" si="7"/>
        <v>39.913461631661903</v>
      </c>
      <c r="D44" s="4">
        <f t="shared" si="4"/>
        <v>28093.828233129469</v>
      </c>
      <c r="E44" s="4">
        <v>26330</v>
      </c>
      <c r="F44" s="4">
        <v>691</v>
      </c>
      <c r="H44" s="2">
        <f t="shared" si="6"/>
        <v>1.0216404277095239</v>
      </c>
    </row>
    <row r="45" spans="1:20" x14ac:dyDescent="0.3">
      <c r="A45" s="4">
        <v>1977</v>
      </c>
      <c r="B45" s="4">
        <f t="shared" si="7"/>
        <v>35.456200332136163</v>
      </c>
      <c r="D45" s="4">
        <f t="shared" si="4"/>
        <v>25797.123204929812</v>
      </c>
      <c r="E45" s="4">
        <v>24050</v>
      </c>
      <c r="F45" s="4">
        <v>762</v>
      </c>
      <c r="H45" s="2">
        <f t="shared" si="6"/>
        <v>0.98834942203711162</v>
      </c>
    </row>
    <row r="46" spans="1:20" x14ac:dyDescent="0.3">
      <c r="A46" s="4">
        <v>1976</v>
      </c>
      <c r="B46" s="4">
        <f t="shared" si="7"/>
        <v>33.993383610487548</v>
      </c>
      <c r="D46" s="4">
        <f t="shared" si="4"/>
        <v>24197.019520729147</v>
      </c>
      <c r="E46" s="4">
        <v>22514</v>
      </c>
      <c r="F46" s="4">
        <v>759</v>
      </c>
      <c r="H46" s="2">
        <f t="shared" si="6"/>
        <v>1.0102343197879755</v>
      </c>
    </row>
    <row r="47" spans="1:20" x14ac:dyDescent="0.3">
      <c r="A47" s="4">
        <v>1975</v>
      </c>
      <c r="B47" s="4">
        <f t="shared" si="7"/>
        <v>32.594627436550084</v>
      </c>
      <c r="D47" s="4">
        <f t="shared" si="4"/>
        <v>23567.998904133045</v>
      </c>
      <c r="E47" s="4">
        <v>21867</v>
      </c>
      <c r="F47" s="4">
        <v>801</v>
      </c>
      <c r="H47" s="2">
        <f t="shared" si="6"/>
        <v>0.99451860003145254</v>
      </c>
    </row>
    <row r="48" spans="1:20" x14ac:dyDescent="0.3">
      <c r="A48" s="4">
        <v>1974</v>
      </c>
      <c r="B48" s="4">
        <f t="shared" si="7"/>
        <v>34.558874517388773</v>
      </c>
      <c r="D48" s="4">
        <f t="shared" si="4"/>
        <v>24324.903051045381</v>
      </c>
      <c r="E48" s="4">
        <v>22537</v>
      </c>
      <c r="F48" s="4">
        <v>859</v>
      </c>
      <c r="H48" s="2">
        <f t="shared" si="6"/>
        <v>1.0216404277095239</v>
      </c>
    </row>
    <row r="49" spans="1:8" x14ac:dyDescent="0.3">
      <c r="A49" s="4">
        <v>1973</v>
      </c>
      <c r="B49" s="4">
        <f t="shared" si="7"/>
        <v>33.698537652443783</v>
      </c>
      <c r="D49" s="4">
        <f t="shared" si="4"/>
        <v>24518.28790176749</v>
      </c>
      <c r="E49" s="4">
        <v>22689</v>
      </c>
      <c r="F49" s="4">
        <v>893</v>
      </c>
      <c r="H49" s="2">
        <f t="shared" si="6"/>
        <v>0.98834942203711162</v>
      </c>
    </row>
    <row r="50" spans="1:8" x14ac:dyDescent="0.3">
      <c r="A50" s="4">
        <v>1972</v>
      </c>
      <c r="B50" s="4">
        <f t="shared" si="7"/>
        <v>33.334636736069555</v>
      </c>
      <c r="D50" s="4">
        <f t="shared" si="4"/>
        <v>23728.11324290296</v>
      </c>
      <c r="E50" s="4">
        <v>21908</v>
      </c>
      <c r="F50" s="4">
        <v>914</v>
      </c>
      <c r="H50" s="2">
        <f t="shared" si="6"/>
        <v>1.0102343197879755</v>
      </c>
    </row>
    <row r="51" spans="1:8" x14ac:dyDescent="0.3">
      <c r="A51" s="4">
        <v>1971</v>
      </c>
      <c r="B51" s="4">
        <f t="shared" si="7"/>
        <v>30.915144251183467</v>
      </c>
      <c r="D51" s="4">
        <f t="shared" si="4"/>
        <v>22353.625217878085</v>
      </c>
      <c r="E51" s="4">
        <v>20532</v>
      </c>
      <c r="F51" s="4">
        <v>968</v>
      </c>
      <c r="H51" s="2">
        <f t="shared" si="6"/>
        <v>0.99451860003145254</v>
      </c>
    </row>
    <row r="52" spans="1:8" x14ac:dyDescent="0.3">
      <c r="A52" s="4">
        <v>1970</v>
      </c>
      <c r="B52" s="4">
        <f t="shared" si="7"/>
        <v>30.947297829279027</v>
      </c>
      <c r="D52" s="4">
        <f t="shared" si="4"/>
        <v>21782.827997198314</v>
      </c>
      <c r="E52" s="4">
        <v>19974</v>
      </c>
      <c r="F52" s="4">
        <v>977</v>
      </c>
      <c r="H52" s="2">
        <f t="shared" si="6"/>
        <v>1.0216404277095239</v>
      </c>
    </row>
    <row r="53" spans="1:8" x14ac:dyDescent="0.3">
      <c r="A53" s="4">
        <v>1969</v>
      </c>
      <c r="B53" s="4">
        <f t="shared" si="7"/>
        <v>29.513014084298252</v>
      </c>
      <c r="D53" s="4">
        <f t="shared" si="4"/>
        <v>21472.996354643539</v>
      </c>
      <c r="E53" s="4">
        <v>19622</v>
      </c>
      <c r="F53" s="4">
        <v>1031</v>
      </c>
      <c r="H53" s="2">
        <f t="shared" si="6"/>
        <v>0.98834942203711162</v>
      </c>
    </row>
    <row r="54" spans="1:8" x14ac:dyDescent="0.3">
      <c r="A54" s="4">
        <v>1968</v>
      </c>
      <c r="B54" s="4">
        <f t="shared" si="7"/>
        <v>31.700184956748647</v>
      </c>
      <c r="D54" s="4">
        <f t="shared" si="4"/>
        <v>22564.685028074797</v>
      </c>
      <c r="E54" s="4">
        <v>20664</v>
      </c>
      <c r="F54" s="4">
        <v>1039</v>
      </c>
      <c r="H54" s="2">
        <f t="shared" si="6"/>
        <v>1.0102343197879755</v>
      </c>
    </row>
    <row r="55" spans="1:8" x14ac:dyDescent="0.3">
      <c r="A55" s="4">
        <v>1967</v>
      </c>
      <c r="B55" s="4">
        <f t="shared" si="7"/>
        <v>31.713186346969831</v>
      </c>
      <c r="D55" s="4">
        <f t="shared" si="4"/>
        <v>22930.660659548892</v>
      </c>
      <c r="E55" s="4">
        <v>20985</v>
      </c>
      <c r="F55" s="4">
        <v>1070</v>
      </c>
      <c r="H55" s="2">
        <f t="shared" si="6"/>
        <v>0.99451860003145254</v>
      </c>
    </row>
    <row r="56" spans="1:8" x14ac:dyDescent="0.3">
      <c r="A56" s="4">
        <v>1966</v>
      </c>
      <c r="B56" s="4">
        <f t="shared" si="7"/>
        <v>31.567691370794819</v>
      </c>
      <c r="D56" s="4">
        <f t="shared" si="4"/>
        <v>22219.503466570819</v>
      </c>
      <c r="E56" s="4">
        <v>20305</v>
      </c>
      <c r="F56" s="4">
        <v>1066</v>
      </c>
      <c r="H56" s="2">
        <f t="shared" si="6"/>
        <v>1.0216404277095239</v>
      </c>
    </row>
    <row r="57" spans="1:8" x14ac:dyDescent="0.3">
      <c r="A57" s="4">
        <v>1965</v>
      </c>
      <c r="B57" s="4">
        <f t="shared" si="7"/>
        <v>29.292949000824574</v>
      </c>
      <c r="D57" s="4">
        <f t="shared" si="4"/>
        <v>21312.882015873623</v>
      </c>
      <c r="E57" s="4">
        <v>19454</v>
      </c>
      <c r="F57" s="4">
        <v>1045</v>
      </c>
      <c r="H57" s="2">
        <f t="shared" si="6"/>
        <v>0.98834942203711162</v>
      </c>
    </row>
    <row r="58" spans="1:8" x14ac:dyDescent="0.3">
      <c r="A58" s="4">
        <v>1964</v>
      </c>
      <c r="B58" s="4">
        <f t="shared" si="7"/>
        <v>28.723408615143626</v>
      </c>
      <c r="D58" s="4">
        <f t="shared" si="4"/>
        <v>20445.769298119656</v>
      </c>
      <c r="E58" s="4">
        <v>18599</v>
      </c>
      <c r="F58" s="4">
        <v>1066</v>
      </c>
      <c r="H58" s="2">
        <f t="shared" si="6"/>
        <v>1.0102343197879755</v>
      </c>
    </row>
    <row r="59" spans="1:8" x14ac:dyDescent="0.3">
      <c r="A59" s="4">
        <v>1963</v>
      </c>
      <c r="B59" s="4">
        <f t="shared" si="7"/>
        <v>28.014872346316633</v>
      </c>
      <c r="D59" s="4">
        <f t="shared" si="4"/>
        <v>20256.543261391573</v>
      </c>
      <c r="E59" s="4">
        <v>18407</v>
      </c>
      <c r="F59" s="4">
        <v>1076</v>
      </c>
      <c r="H59" s="2">
        <f t="shared" ref="H59:H90" si="8">H55</f>
        <v>0.99451860003145254</v>
      </c>
    </row>
    <row r="60" spans="1:8" x14ac:dyDescent="0.3">
      <c r="A60" s="4">
        <v>1962</v>
      </c>
      <c r="B60" s="4">
        <f t="shared" si="7"/>
        <v>27.858624269018311</v>
      </c>
      <c r="D60" s="4">
        <f t="shared" si="4"/>
        <v>19608.80798182236</v>
      </c>
      <c r="E60" s="4">
        <v>17836</v>
      </c>
      <c r="F60" s="4">
        <v>1024</v>
      </c>
      <c r="H60" s="2">
        <f t="shared" si="8"/>
        <v>1.0216404277095239</v>
      </c>
    </row>
    <row r="61" spans="1:8" x14ac:dyDescent="0.3">
      <c r="A61" s="4">
        <v>1961</v>
      </c>
      <c r="B61" s="4">
        <f t="shared" si="7"/>
        <v>26.503552618093245</v>
      </c>
      <c r="D61" s="4">
        <f t="shared" si="4"/>
        <v>19283.380786789996</v>
      </c>
      <c r="E61" s="4">
        <v>17569</v>
      </c>
      <c r="F61" s="4">
        <v>978</v>
      </c>
      <c r="H61" s="2">
        <f t="shared" si="8"/>
        <v>0.98834942203711162</v>
      </c>
    </row>
    <row r="62" spans="1:8" x14ac:dyDescent="0.3">
      <c r="A62" s="4">
        <v>1960</v>
      </c>
      <c r="B62" s="4">
        <f t="shared" si="7"/>
        <v>27.643998548192648</v>
      </c>
      <c r="D62" s="4">
        <f t="shared" si="4"/>
        <v>19677.428412723755</v>
      </c>
      <c r="E62" s="4">
        <v>17910</v>
      </c>
      <c r="F62" s="4">
        <v>1016</v>
      </c>
      <c r="H62" s="2">
        <f t="shared" si="8"/>
        <v>1.0102343197879755</v>
      </c>
    </row>
    <row r="63" spans="1:8" x14ac:dyDescent="0.3">
      <c r="A63" s="4">
        <v>1959</v>
      </c>
      <c r="B63" s="4">
        <f t="shared" si="7"/>
        <v>25.905452968805648</v>
      </c>
      <c r="D63" s="4">
        <f t="shared" si="4"/>
        <v>18731.298229083332</v>
      </c>
      <c r="E63" s="4">
        <v>16978</v>
      </c>
      <c r="F63" s="4">
        <v>1038</v>
      </c>
      <c r="H63" s="2">
        <f t="shared" si="8"/>
        <v>0.99451860003145254</v>
      </c>
    </row>
    <row r="64" spans="1:8" x14ac:dyDescent="0.3">
      <c r="A64" s="4">
        <v>1958</v>
      </c>
      <c r="B64" s="4">
        <f t="shared" si="7"/>
        <v>25.139232578707453</v>
      </c>
      <c r="D64" s="4">
        <f t="shared" si="4"/>
        <v>17694.713841072891</v>
      </c>
      <c r="E64" s="4">
        <v>15849</v>
      </c>
      <c r="F64" s="4">
        <v>1170</v>
      </c>
      <c r="H64" s="2">
        <f t="shared" si="8"/>
        <v>1.0216404277095239</v>
      </c>
    </row>
    <row r="65" spans="1:8" x14ac:dyDescent="0.3">
      <c r="A65" s="4">
        <v>1957</v>
      </c>
      <c r="B65" s="4">
        <f t="shared" si="7"/>
        <v>24.129993503484258</v>
      </c>
      <c r="D65" s="4">
        <f t="shared" si="4"/>
        <v>17556.4332757716</v>
      </c>
      <c r="E65" s="4">
        <v>15702</v>
      </c>
      <c r="F65" s="4">
        <v>1184</v>
      </c>
      <c r="G65" s="4">
        <v>1966335</v>
      </c>
      <c r="H65" s="2">
        <f t="shared" si="8"/>
        <v>0.98834942203711162</v>
      </c>
    </row>
    <row r="66" spans="1:8" x14ac:dyDescent="0.3">
      <c r="A66" s="4">
        <v>1956</v>
      </c>
      <c r="B66" s="4">
        <f t="shared" si="7"/>
        <v>23.149621314081433</v>
      </c>
      <c r="D66" s="4">
        <f t="shared" si="4"/>
        <v>16478.260747820921</v>
      </c>
      <c r="E66" s="4">
        <v>14676</v>
      </c>
      <c r="F66" s="4">
        <v>1173</v>
      </c>
      <c r="G66" s="4">
        <v>2571416</v>
      </c>
      <c r="H66" s="2">
        <f t="shared" si="8"/>
        <v>1.0102343197879755</v>
      </c>
    </row>
    <row r="67" spans="1:8" x14ac:dyDescent="0.3">
      <c r="A67" s="4">
        <v>1955</v>
      </c>
      <c r="B67" s="4">
        <f t="shared" si="7"/>
        <v>23.274070923239801</v>
      </c>
      <c r="D67" s="4">
        <f t="shared" si="4"/>
        <v>16828.640826817431</v>
      </c>
      <c r="E67" s="4">
        <v>15050</v>
      </c>
      <c r="F67" s="4">
        <v>1136</v>
      </c>
      <c r="G67" s="4">
        <v>2189520</v>
      </c>
      <c r="H67" s="2">
        <f t="shared" si="8"/>
        <v>0.99451860003145254</v>
      </c>
    </row>
    <row r="68" spans="1:8" x14ac:dyDescent="0.3">
      <c r="A68" s="4">
        <v>1954</v>
      </c>
      <c r="B68" s="4">
        <f t="shared" ref="B68:B99" si="9">B$35*D68*H68/(D$35*H$35)</f>
        <v>22.247016973260063</v>
      </c>
      <c r="D68" s="4">
        <f t="shared" ref="D68:D78" si="10">D67*(E68+F68)/(E67+F67)</f>
        <v>15658.974390998228</v>
      </c>
      <c r="E68" s="4">
        <v>13866</v>
      </c>
      <c r="F68" s="4">
        <v>1195</v>
      </c>
      <c r="G68" s="4">
        <v>2265309</v>
      </c>
      <c r="H68" s="2">
        <f t="shared" si="8"/>
        <v>1.0216404277095239</v>
      </c>
    </row>
    <row r="69" spans="1:8" x14ac:dyDescent="0.3">
      <c r="A69" s="4">
        <v>1953</v>
      </c>
      <c r="B69" s="4">
        <f t="shared" si="9"/>
        <v>18.932742148979209</v>
      </c>
      <c r="D69" s="4">
        <f t="shared" si="10"/>
        <v>13775.031651705433</v>
      </c>
      <c r="E69" s="4">
        <v>12004</v>
      </c>
      <c r="F69" s="4">
        <v>1245</v>
      </c>
      <c r="G69" s="4">
        <v>2338622</v>
      </c>
      <c r="H69" s="2">
        <f t="shared" si="8"/>
        <v>0.98834942203711162</v>
      </c>
    </row>
    <row r="70" spans="1:8" x14ac:dyDescent="0.3">
      <c r="A70" s="4">
        <v>1952</v>
      </c>
      <c r="B70" s="4">
        <f t="shared" si="9"/>
        <v>18.823217229766385</v>
      </c>
      <c r="D70" s="4">
        <f t="shared" si="10"/>
        <v>13398.658985246275</v>
      </c>
      <c r="E70" s="4">
        <v>11630</v>
      </c>
      <c r="F70" s="4">
        <v>1257</v>
      </c>
      <c r="G70" s="4">
        <v>2274659</v>
      </c>
      <c r="H70" s="2">
        <f t="shared" si="8"/>
        <v>1.0102343197879755</v>
      </c>
    </row>
    <row r="71" spans="1:8" x14ac:dyDescent="0.3">
      <c r="A71" s="4">
        <v>1951</v>
      </c>
      <c r="B71" s="4">
        <f t="shared" si="9"/>
        <v>16.922806171729221</v>
      </c>
      <c r="D71" s="4">
        <f t="shared" si="10"/>
        <v>12236.270473916615</v>
      </c>
      <c r="E71" s="4">
        <v>10534</v>
      </c>
      <c r="F71" s="4">
        <v>1235</v>
      </c>
      <c r="G71" s="4">
        <v>2004568</v>
      </c>
      <c r="H71" s="2">
        <f t="shared" si="8"/>
        <v>0.99451860003145254</v>
      </c>
    </row>
    <row r="72" spans="1:8" x14ac:dyDescent="0.3">
      <c r="A72" s="4">
        <v>1950</v>
      </c>
      <c r="B72" s="4">
        <f t="shared" si="9"/>
        <v>17.019462822249682</v>
      </c>
      <c r="D72" s="4">
        <f t="shared" si="10"/>
        <v>11979.463709785645</v>
      </c>
      <c r="E72" s="4">
        <v>10343</v>
      </c>
      <c r="F72" s="4">
        <v>1179</v>
      </c>
      <c r="G72" s="4">
        <v>2052155</v>
      </c>
      <c r="H72" s="2">
        <f t="shared" si="8"/>
        <v>1.0216404277095239</v>
      </c>
    </row>
    <row r="73" spans="1:8" x14ac:dyDescent="0.3">
      <c r="A73" s="4">
        <v>1949</v>
      </c>
      <c r="B73" s="4">
        <f t="shared" si="9"/>
        <v>15.14447892632513</v>
      </c>
      <c r="D73" s="4">
        <f t="shared" si="10"/>
        <v>11018.777677166139</v>
      </c>
      <c r="E73" s="4">
        <v>9389</v>
      </c>
      <c r="F73" s="4">
        <v>1209</v>
      </c>
      <c r="G73" s="4">
        <v>2219743</v>
      </c>
      <c r="H73" s="2">
        <f t="shared" si="8"/>
        <v>0.98834942203711162</v>
      </c>
    </row>
    <row r="74" spans="1:8" x14ac:dyDescent="0.3">
      <c r="A74" s="4">
        <v>1948</v>
      </c>
      <c r="B74" s="4">
        <f t="shared" si="9"/>
        <v>13.629195310852031</v>
      </c>
      <c r="D74" s="4">
        <f t="shared" si="10"/>
        <v>9701.47334455909</v>
      </c>
      <c r="E74" s="4">
        <v>8188</v>
      </c>
      <c r="F74" s="4">
        <v>1143</v>
      </c>
      <c r="G74" s="4">
        <v>2117572</v>
      </c>
      <c r="H74" s="2">
        <f t="shared" si="8"/>
        <v>1.0102343197879755</v>
      </c>
    </row>
    <row r="75" spans="1:8" x14ac:dyDescent="0.3">
      <c r="A75" s="4">
        <v>1947</v>
      </c>
      <c r="B75" s="4">
        <f t="shared" si="9"/>
        <v>11.316380709619251</v>
      </c>
      <c r="D75" s="4">
        <f t="shared" si="10"/>
        <v>8182.4665332418863</v>
      </c>
      <c r="E75" s="4">
        <v>6803</v>
      </c>
      <c r="F75" s="4">
        <v>1067</v>
      </c>
      <c r="G75" s="4">
        <v>1996449</v>
      </c>
      <c r="H75" s="2">
        <f t="shared" si="8"/>
        <v>0.99451860003145254</v>
      </c>
    </row>
    <row r="76" spans="1:8" x14ac:dyDescent="0.3">
      <c r="A76" s="4">
        <v>1946</v>
      </c>
      <c r="B76" s="4">
        <f t="shared" si="9"/>
        <v>10.412271605106577</v>
      </c>
      <c r="D76" s="4">
        <f t="shared" si="10"/>
        <v>7328.8699609684954</v>
      </c>
      <c r="E76" s="4">
        <v>6055</v>
      </c>
      <c r="F76" s="4">
        <v>994</v>
      </c>
      <c r="G76" s="4">
        <v>1815915</v>
      </c>
      <c r="H76" s="2">
        <f t="shared" si="8"/>
        <v>1.0216404277095239</v>
      </c>
    </row>
    <row r="77" spans="1:8" x14ac:dyDescent="0.3">
      <c r="A77" s="4">
        <v>1945</v>
      </c>
      <c r="B77" s="4">
        <f t="shared" si="9"/>
        <v>9.2513074701857789</v>
      </c>
      <c r="D77" s="4">
        <f t="shared" si="10"/>
        <v>6731.0404493275691</v>
      </c>
      <c r="E77" s="4">
        <v>5446</v>
      </c>
      <c r="F77" s="4">
        <v>1028</v>
      </c>
      <c r="G77" s="4">
        <v>2064773</v>
      </c>
      <c r="H77" s="2">
        <f t="shared" si="8"/>
        <v>0.98834942203711162</v>
      </c>
    </row>
    <row r="78" spans="1:8" x14ac:dyDescent="0.3">
      <c r="A78" s="4">
        <v>1944</v>
      </c>
      <c r="B78" s="4">
        <f t="shared" si="9"/>
        <v>7.8436157774381536</v>
      </c>
      <c r="D78" s="4">
        <f t="shared" si="10"/>
        <v>5583.2077869769919</v>
      </c>
      <c r="E78" s="4">
        <v>4409</v>
      </c>
      <c r="F78" s="4">
        <v>961</v>
      </c>
      <c r="G78" s="4">
        <v>1902312</v>
      </c>
      <c r="H78" s="2">
        <f t="shared" si="8"/>
        <v>1.0102343197879755</v>
      </c>
    </row>
    <row r="79" spans="1:8" x14ac:dyDescent="0.3">
      <c r="A79" s="4">
        <v>1943</v>
      </c>
      <c r="B79" s="4">
        <f t="shared" si="9"/>
        <v>8.3062612150268951</v>
      </c>
      <c r="D79" s="4">
        <f>D80*(D78/D80)^0.5</f>
        <v>6005.9577485361406</v>
      </c>
      <c r="E79" s="4" t="s">
        <v>5</v>
      </c>
      <c r="F79" s="4" t="s">
        <v>5</v>
      </c>
      <c r="G79" s="4">
        <v>1797400</v>
      </c>
      <c r="H79" s="2">
        <f t="shared" si="8"/>
        <v>0.99451860003145254</v>
      </c>
    </row>
    <row r="80" spans="1:8" x14ac:dyDescent="0.3">
      <c r="A80" s="4">
        <v>1942</v>
      </c>
      <c r="B80" s="4">
        <f t="shared" si="9"/>
        <v>9.1788701594740036</v>
      </c>
      <c r="D80" s="4">
        <f>D78*(E80+F80)/(E78+F78)</f>
        <v>6460.717539716019</v>
      </c>
      <c r="E80" s="4">
        <v>5435</v>
      </c>
      <c r="F80" s="4">
        <v>779</v>
      </c>
      <c r="G80" s="4">
        <v>1676573</v>
      </c>
      <c r="H80" s="2">
        <f t="shared" si="8"/>
        <v>1.0216404277095239</v>
      </c>
    </row>
    <row r="81" spans="1:8" x14ac:dyDescent="0.3">
      <c r="A81" s="4">
        <v>1941</v>
      </c>
      <c r="B81" s="4">
        <f t="shared" si="9"/>
        <v>9.8071861550641</v>
      </c>
      <c r="D81" s="4">
        <f t="shared" ref="D81:D96" si="11">D80*(E81+F81)/(E80+F80)</f>
        <v>7135.4851102463845</v>
      </c>
      <c r="E81" s="4">
        <v>6075</v>
      </c>
      <c r="F81" s="4">
        <v>788</v>
      </c>
      <c r="G81" s="4">
        <v>1645254</v>
      </c>
      <c r="H81" s="2">
        <f t="shared" si="8"/>
        <v>0.98834942203711162</v>
      </c>
    </row>
    <row r="82" spans="1:8" x14ac:dyDescent="0.3">
      <c r="A82" s="4">
        <v>1940</v>
      </c>
      <c r="B82" s="4">
        <f t="shared" si="9"/>
        <v>9.1552669819333925</v>
      </c>
      <c r="D82" s="4">
        <f t="shared" si="11"/>
        <v>6516.8615286353397</v>
      </c>
      <c r="E82" s="4">
        <v>5556</v>
      </c>
      <c r="F82" s="4">
        <v>712</v>
      </c>
      <c r="G82" s="4">
        <v>1649548</v>
      </c>
      <c r="H82" s="2">
        <f t="shared" si="8"/>
        <v>1.0102343197879755</v>
      </c>
    </row>
    <row r="83" spans="1:8" x14ac:dyDescent="0.3">
      <c r="A83" s="4">
        <v>1939</v>
      </c>
      <c r="B83" s="4">
        <f t="shared" si="9"/>
        <v>8.44630499216054</v>
      </c>
      <c r="D83" s="4">
        <f t="shared" si="11"/>
        <v>6107.2183502239923</v>
      </c>
      <c r="E83" s="4">
        <v>5181</v>
      </c>
      <c r="F83" s="4">
        <v>693</v>
      </c>
      <c r="G83" s="4">
        <v>1605075</v>
      </c>
      <c r="H83" s="2">
        <f t="shared" si="8"/>
        <v>0.99451860003145254</v>
      </c>
    </row>
    <row r="84" spans="1:8" x14ac:dyDescent="0.3">
      <c r="A84" s="4">
        <v>1938</v>
      </c>
      <c r="B84" s="4">
        <f t="shared" si="9"/>
        <v>8.7770914849685422</v>
      </c>
      <c r="D84" s="4">
        <f t="shared" si="11"/>
        <v>6177.9181881223976</v>
      </c>
      <c r="E84" s="4">
        <v>5272</v>
      </c>
      <c r="F84" s="4">
        <v>670</v>
      </c>
      <c r="G84" s="4">
        <v>1643815</v>
      </c>
      <c r="H84" s="2">
        <f t="shared" si="8"/>
        <v>1.0216404277095239</v>
      </c>
    </row>
    <row r="85" spans="1:8" x14ac:dyDescent="0.3">
      <c r="A85" s="4">
        <v>1937</v>
      </c>
      <c r="B85" s="4">
        <f t="shared" si="9"/>
        <v>8.6325530471721166</v>
      </c>
      <c r="D85" s="4">
        <f t="shared" si="11"/>
        <v>6280.8488344744874</v>
      </c>
      <c r="E85" s="4">
        <v>5356</v>
      </c>
      <c r="F85" s="4">
        <v>685</v>
      </c>
      <c r="G85" s="4">
        <v>1663818</v>
      </c>
      <c r="H85" s="2">
        <f t="shared" si="8"/>
        <v>0.98834942203711162</v>
      </c>
    </row>
    <row r="86" spans="1:8" x14ac:dyDescent="0.3">
      <c r="A86" s="4">
        <v>1936</v>
      </c>
      <c r="B86" s="4">
        <f t="shared" si="9"/>
        <v>7.7296861627937963</v>
      </c>
      <c r="D86" s="4">
        <f t="shared" si="11"/>
        <v>5502.110914093525</v>
      </c>
      <c r="E86" s="4">
        <v>4674</v>
      </c>
      <c r="F86" s="4">
        <v>618</v>
      </c>
      <c r="G86" s="4">
        <v>1647891</v>
      </c>
      <c r="H86" s="2">
        <f t="shared" si="8"/>
        <v>1.0102343197879755</v>
      </c>
    </row>
    <row r="87" spans="1:8" x14ac:dyDescent="0.3">
      <c r="A87" s="4">
        <v>1935</v>
      </c>
      <c r="B87" s="4">
        <f t="shared" si="9"/>
        <v>6.6187166971254641</v>
      </c>
      <c r="D87" s="4">
        <f t="shared" si="11"/>
        <v>4785.7552036229208</v>
      </c>
      <c r="E87" s="4">
        <v>4030</v>
      </c>
      <c r="F87" s="4">
        <v>573</v>
      </c>
      <c r="G87" s="4">
        <v>1617677</v>
      </c>
      <c r="H87" s="2">
        <f t="shared" si="8"/>
        <v>0.99451860003145254</v>
      </c>
    </row>
    <row r="88" spans="1:8" x14ac:dyDescent="0.3">
      <c r="A88" s="4">
        <v>1934</v>
      </c>
      <c r="B88" s="4">
        <f t="shared" si="9"/>
        <v>6.1197391488092672</v>
      </c>
      <c r="D88" s="4">
        <f t="shared" si="11"/>
        <v>4307.4915943101805</v>
      </c>
      <c r="E88" s="4">
        <v>3612</v>
      </c>
      <c r="F88" s="4">
        <v>531</v>
      </c>
      <c r="G88" s="4">
        <v>1580819</v>
      </c>
      <c r="H88" s="2">
        <f t="shared" si="8"/>
        <v>1.0216404277095239</v>
      </c>
    </row>
    <row r="89" spans="1:8" x14ac:dyDescent="0.3">
      <c r="A89" s="4">
        <v>1933</v>
      </c>
      <c r="B89" s="4">
        <f t="shared" si="9"/>
        <v>6.1932602063307307</v>
      </c>
      <c r="D89" s="4">
        <f t="shared" si="11"/>
        <v>4506.0749625248181</v>
      </c>
      <c r="E89" s="4">
        <v>3753</v>
      </c>
      <c r="F89" s="4">
        <v>581</v>
      </c>
      <c r="G89" s="4">
        <v>1644993</v>
      </c>
      <c r="H89" s="2">
        <f t="shared" si="8"/>
        <v>0.98834942203711162</v>
      </c>
    </row>
    <row r="90" spans="1:8" x14ac:dyDescent="0.3">
      <c r="A90" s="4">
        <v>1932</v>
      </c>
      <c r="B90" s="4">
        <f t="shared" si="9"/>
        <v>6.2193884507135273</v>
      </c>
      <c r="D90" s="4">
        <f t="shared" si="11"/>
        <v>4427.0574966383656</v>
      </c>
      <c r="E90" s="4">
        <v>3641</v>
      </c>
      <c r="F90" s="4">
        <v>617</v>
      </c>
      <c r="G90" s="4">
        <v>2384792</v>
      </c>
      <c r="H90" s="2">
        <f t="shared" si="8"/>
        <v>1.0102343197879755</v>
      </c>
    </row>
    <row r="91" spans="1:8" x14ac:dyDescent="0.3">
      <c r="A91" s="4">
        <v>1931</v>
      </c>
      <c r="B91" s="4">
        <f t="shared" si="9"/>
        <v>6.9968879965701714</v>
      </c>
      <c r="D91" s="4">
        <f t="shared" si="11"/>
        <v>5059.1972237299869</v>
      </c>
      <c r="E91" s="4">
        <v>4100</v>
      </c>
      <c r="F91" s="4">
        <v>766</v>
      </c>
      <c r="G91" s="4">
        <v>2847439</v>
      </c>
      <c r="H91" s="2">
        <f t="shared" ref="H91:H122" si="12">H87</f>
        <v>0.99451860003145254</v>
      </c>
    </row>
    <row r="92" spans="1:8" x14ac:dyDescent="0.3">
      <c r="A92" s="4">
        <v>1930</v>
      </c>
      <c r="B92" s="4">
        <f t="shared" si="9"/>
        <v>7.6249320507249436</v>
      </c>
      <c r="D92" s="4">
        <f t="shared" si="11"/>
        <v>5366.94945928775</v>
      </c>
      <c r="E92" s="4">
        <v>4325</v>
      </c>
      <c r="F92" s="4">
        <v>837</v>
      </c>
      <c r="G92" s="4">
        <v>3164127</v>
      </c>
      <c r="H92" s="2">
        <f t="shared" si="12"/>
        <v>1.0216404277095239</v>
      </c>
    </row>
    <row r="93" spans="1:8" x14ac:dyDescent="0.3">
      <c r="A93" s="4">
        <v>1929</v>
      </c>
      <c r="B93" s="4">
        <f t="shared" si="9"/>
        <v>7.3035885820388469</v>
      </c>
      <c r="D93" s="4">
        <f t="shared" si="11"/>
        <v>5313.9245808639462</v>
      </c>
      <c r="E93" s="4">
        <v>4341</v>
      </c>
      <c r="F93" s="4">
        <v>770</v>
      </c>
      <c r="G93" s="4">
        <v>3228586</v>
      </c>
      <c r="H93" s="2">
        <f t="shared" si="12"/>
        <v>0.98834942203711162</v>
      </c>
    </row>
    <row r="94" spans="1:8" x14ac:dyDescent="0.3">
      <c r="A94" s="4">
        <v>1928</v>
      </c>
      <c r="B94" s="4">
        <f t="shared" si="9"/>
        <v>6.7043196309946183</v>
      </c>
      <c r="D94" s="4">
        <f t="shared" si="11"/>
        <v>4772.2390581423424</v>
      </c>
      <c r="E94" s="4">
        <v>3838</v>
      </c>
      <c r="F94" s="4">
        <v>752</v>
      </c>
      <c r="G94" s="4">
        <v>3201458</v>
      </c>
      <c r="H94" s="2">
        <f t="shared" si="12"/>
        <v>1.0102343197879755</v>
      </c>
    </row>
    <row r="95" spans="1:8" x14ac:dyDescent="0.3">
      <c r="A95" s="4">
        <v>1927</v>
      </c>
      <c r="B95" s="4">
        <f t="shared" si="9"/>
        <v>6.9163648301484839</v>
      </c>
      <c r="D95" s="4">
        <f t="shared" si="11"/>
        <v>5000.9738278136529</v>
      </c>
      <c r="E95" s="4">
        <v>4062</v>
      </c>
      <c r="F95" s="4">
        <v>748</v>
      </c>
      <c r="G95" s="4">
        <v>3145946</v>
      </c>
      <c r="H95" s="2">
        <f t="shared" si="12"/>
        <v>0.99451860003145254</v>
      </c>
    </row>
    <row r="96" spans="1:8" x14ac:dyDescent="0.3">
      <c r="A96" s="4">
        <v>1926</v>
      </c>
      <c r="B96" s="4">
        <f t="shared" si="9"/>
        <v>6.989767234411163</v>
      </c>
      <c r="D96" s="4">
        <f t="shared" si="11"/>
        <v>4919.8769549301878</v>
      </c>
      <c r="E96" s="4">
        <v>3962</v>
      </c>
      <c r="F96" s="4">
        <v>770</v>
      </c>
      <c r="G96" s="4">
        <v>3001858</v>
      </c>
      <c r="H96" s="2">
        <f t="shared" si="12"/>
        <v>1.0216404277095239</v>
      </c>
    </row>
    <row r="97" spans="1:8" x14ac:dyDescent="0.3">
      <c r="A97" s="4">
        <v>1925</v>
      </c>
      <c r="B97" s="4">
        <f t="shared" si="9"/>
        <v>6.7514553944243207</v>
      </c>
      <c r="D97" s="4">
        <f>D96*G97/G96</f>
        <v>4912.2050583827731</v>
      </c>
      <c r="G97" s="4">
        <v>2997177</v>
      </c>
      <c r="H97" s="2">
        <f t="shared" si="12"/>
        <v>0.98834942203711162</v>
      </c>
    </row>
    <row r="98" spans="1:8" x14ac:dyDescent="0.3">
      <c r="A98" s="4">
        <v>1924</v>
      </c>
      <c r="B98" s="4">
        <f t="shared" si="9"/>
        <v>6.8256308691444216</v>
      </c>
      <c r="D98" s="4">
        <f t="shared" ref="D98:D122" si="13">D97*G98/G97</f>
        <v>4858.5902855232198</v>
      </c>
      <c r="G98" s="4">
        <v>2964464</v>
      </c>
      <c r="H98" s="2">
        <f t="shared" si="12"/>
        <v>1.0102343197879755</v>
      </c>
    </row>
    <row r="99" spans="1:8" x14ac:dyDescent="0.3">
      <c r="A99" s="4">
        <v>1923</v>
      </c>
      <c r="B99" s="4">
        <f t="shared" si="9"/>
        <v>6.1686731272816537</v>
      </c>
      <c r="D99" s="4">
        <f t="shared" si="13"/>
        <v>4460.3449383410643</v>
      </c>
      <c r="G99" s="4">
        <v>2721475</v>
      </c>
      <c r="H99" s="2">
        <f t="shared" si="12"/>
        <v>0.99451860003145254</v>
      </c>
    </row>
    <row r="100" spans="1:8" x14ac:dyDescent="0.3">
      <c r="A100" s="4">
        <v>1922</v>
      </c>
      <c r="B100" s="4">
        <f t="shared" ref="B100:B122" si="14">B$35*D100*H100/(D$35*H$35)</f>
        <v>5.5053936380598918</v>
      </c>
      <c r="D100" s="4">
        <f t="shared" si="13"/>
        <v>3875.0731432606731</v>
      </c>
      <c r="G100" s="4">
        <v>2364372</v>
      </c>
      <c r="H100" s="2">
        <f t="shared" si="12"/>
        <v>1.0216404277095239</v>
      </c>
    </row>
    <row r="101" spans="1:8" x14ac:dyDescent="0.3">
      <c r="A101" s="4">
        <v>1921</v>
      </c>
      <c r="B101" s="4">
        <f t="shared" si="14"/>
        <v>6.1697359646334471</v>
      </c>
      <c r="D101" s="4">
        <f t="shared" si="13"/>
        <v>4488.9592604562768</v>
      </c>
      <c r="G101" s="4">
        <v>2738934</v>
      </c>
      <c r="H101" s="2">
        <f t="shared" si="12"/>
        <v>0.98834942203711162</v>
      </c>
    </row>
    <row r="102" spans="1:8" x14ac:dyDescent="0.3">
      <c r="A102" s="4">
        <v>1920</v>
      </c>
      <c r="B102" s="4">
        <f t="shared" si="14"/>
        <v>5.4110054342177323</v>
      </c>
      <c r="D102" s="4">
        <f t="shared" si="13"/>
        <v>3851.6378839717431</v>
      </c>
      <c r="G102" s="4">
        <v>2350073</v>
      </c>
      <c r="H102" s="2">
        <f t="shared" si="12"/>
        <v>1.0102343197879755</v>
      </c>
    </row>
    <row r="103" spans="1:8" x14ac:dyDescent="0.3">
      <c r="A103" s="4">
        <v>1919</v>
      </c>
      <c r="B103" s="4">
        <f t="shared" si="14"/>
        <v>4.1817346673226412</v>
      </c>
      <c r="D103" s="4">
        <f t="shared" si="13"/>
        <v>3023.6614377227115</v>
      </c>
      <c r="G103" s="4">
        <v>1844884</v>
      </c>
      <c r="H103" s="2">
        <f t="shared" si="12"/>
        <v>0.99451860003145254</v>
      </c>
    </row>
    <row r="104" spans="1:8" x14ac:dyDescent="0.3">
      <c r="A104" s="4">
        <v>1918</v>
      </c>
      <c r="B104" s="4">
        <f t="shared" si="14"/>
        <v>4.2362205200695264</v>
      </c>
      <c r="D104" s="4">
        <f t="shared" si="13"/>
        <v>2981.7421687645369</v>
      </c>
      <c r="G104" s="4">
        <v>1819307</v>
      </c>
      <c r="H104" s="2">
        <f t="shared" si="12"/>
        <v>1.0216404277095239</v>
      </c>
    </row>
    <row r="105" spans="1:8" x14ac:dyDescent="0.3">
      <c r="A105" s="4">
        <v>1917</v>
      </c>
      <c r="B105" s="4">
        <f t="shared" si="14"/>
        <v>4.8681223246186525</v>
      </c>
      <c r="D105" s="4">
        <f t="shared" si="13"/>
        <v>3541.9348437918347</v>
      </c>
      <c r="G105" s="4">
        <v>2161108</v>
      </c>
      <c r="H105" s="2">
        <f t="shared" si="12"/>
        <v>0.98834942203711162</v>
      </c>
    </row>
    <row r="106" spans="1:8" x14ac:dyDescent="0.3">
      <c r="A106" s="4">
        <v>1916</v>
      </c>
      <c r="B106" s="4">
        <f t="shared" si="14"/>
        <v>4.2683240796791972</v>
      </c>
      <c r="D106" s="4">
        <f t="shared" si="13"/>
        <v>3038.2595113283137</v>
      </c>
      <c r="G106" s="4">
        <v>1853791</v>
      </c>
      <c r="H106" s="2">
        <f t="shared" si="12"/>
        <v>1.0102343197879755</v>
      </c>
    </row>
    <row r="107" spans="1:8" x14ac:dyDescent="0.3">
      <c r="A107" s="4">
        <v>1915</v>
      </c>
      <c r="B107" s="4">
        <f t="shared" si="14"/>
        <v>4.0658627338062088</v>
      </c>
      <c r="D107" s="4">
        <f t="shared" si="13"/>
        <v>2939.8786239000628</v>
      </c>
      <c r="G107" s="4">
        <v>1793764</v>
      </c>
      <c r="H107" s="2">
        <f t="shared" si="12"/>
        <v>0.99451860003145254</v>
      </c>
    </row>
    <row r="108" spans="1:8" x14ac:dyDescent="0.3">
      <c r="A108" s="4">
        <v>1914</v>
      </c>
      <c r="B108" s="4">
        <f t="shared" si="14"/>
        <v>4.3419474968438028</v>
      </c>
      <c r="D108" s="4">
        <f t="shared" si="13"/>
        <v>3056.1600569576367</v>
      </c>
      <c r="G108" s="4">
        <v>1864713</v>
      </c>
      <c r="H108" s="2">
        <f t="shared" si="12"/>
        <v>1.0216404277095239</v>
      </c>
    </row>
    <row r="109" spans="1:8" x14ac:dyDescent="0.3">
      <c r="A109" s="4">
        <v>1913</v>
      </c>
      <c r="B109" s="4">
        <f t="shared" si="14"/>
        <v>3.8851351329686108</v>
      </c>
      <c r="D109" s="4">
        <f t="shared" si="13"/>
        <v>2826.7357684729741</v>
      </c>
      <c r="G109" s="4">
        <v>1724730</v>
      </c>
      <c r="H109" s="2">
        <f t="shared" si="12"/>
        <v>0.98834942203711162</v>
      </c>
    </row>
    <row r="110" spans="1:8" x14ac:dyDescent="0.3">
      <c r="A110" s="4">
        <v>1912</v>
      </c>
      <c r="B110" s="4">
        <f t="shared" si="14"/>
        <v>3.8788197722426583</v>
      </c>
      <c r="D110" s="4">
        <f t="shared" si="13"/>
        <v>2761.0042831214255</v>
      </c>
      <c r="G110" s="4">
        <v>1684624</v>
      </c>
      <c r="H110" s="2">
        <f t="shared" si="12"/>
        <v>1.0102343197879755</v>
      </c>
    </row>
    <row r="111" spans="1:8" x14ac:dyDescent="0.3">
      <c r="A111" s="4">
        <v>1911</v>
      </c>
      <c r="B111" s="4">
        <f t="shared" si="14"/>
        <v>3.832421134414111</v>
      </c>
      <c r="D111" s="4">
        <f t="shared" si="13"/>
        <v>2771.0854272494207</v>
      </c>
      <c r="G111" s="4">
        <v>1690775</v>
      </c>
      <c r="H111" s="2">
        <f t="shared" si="12"/>
        <v>0.99451860003145254</v>
      </c>
    </row>
    <row r="112" spans="1:8" x14ac:dyDescent="0.3">
      <c r="A112" s="4">
        <v>1910</v>
      </c>
      <c r="B112" s="4">
        <f t="shared" si="14"/>
        <v>3.50869616238078</v>
      </c>
      <c r="D112" s="4">
        <f t="shared" si="13"/>
        <v>2469.6606928719016</v>
      </c>
      <c r="G112" s="4">
        <v>1506861</v>
      </c>
      <c r="H112" s="2">
        <f t="shared" si="12"/>
        <v>1.0216404277095239</v>
      </c>
    </row>
    <row r="113" spans="1:8" x14ac:dyDescent="0.3">
      <c r="A113" s="4">
        <v>1909</v>
      </c>
      <c r="B113" s="4">
        <f t="shared" si="14"/>
        <v>3.4005908230522306</v>
      </c>
      <c r="D113" s="4">
        <f t="shared" si="13"/>
        <v>2474.1923728448992</v>
      </c>
      <c r="G113" s="4">
        <v>1509626</v>
      </c>
      <c r="H113" s="2">
        <f t="shared" si="12"/>
        <v>0.98834942203711162</v>
      </c>
    </row>
    <row r="114" spans="1:8" x14ac:dyDescent="0.3">
      <c r="A114" s="4">
        <v>1908</v>
      </c>
      <c r="B114" s="4">
        <f t="shared" si="14"/>
        <v>2.9149493235871926</v>
      </c>
      <c r="D114" s="4">
        <f t="shared" si="13"/>
        <v>2074.9062962656899</v>
      </c>
      <c r="G114" s="4">
        <v>1266002</v>
      </c>
      <c r="H114" s="2">
        <f t="shared" si="12"/>
        <v>1.0102343197879755</v>
      </c>
    </row>
    <row r="115" spans="1:8" x14ac:dyDescent="0.3">
      <c r="A115" s="4">
        <v>1907</v>
      </c>
      <c r="B115" s="4">
        <f t="shared" si="14"/>
        <v>3.2160354880762485</v>
      </c>
      <c r="D115" s="4">
        <f t="shared" si="13"/>
        <v>2325.3992090009428</v>
      </c>
      <c r="G115" s="4">
        <v>1418840</v>
      </c>
      <c r="H115" s="2">
        <f t="shared" si="12"/>
        <v>0.99451860003145254</v>
      </c>
    </row>
    <row r="116" spans="1:8" x14ac:dyDescent="0.3">
      <c r="A116" s="4">
        <v>1906</v>
      </c>
      <c r="B116" s="4">
        <f t="shared" si="14"/>
        <v>2.8646990502288956</v>
      </c>
      <c r="D116" s="4">
        <f t="shared" si="13"/>
        <v>2016.3714137211687</v>
      </c>
      <c r="G116" s="4">
        <v>1230287</v>
      </c>
      <c r="H116" s="2">
        <f t="shared" si="12"/>
        <v>1.0216404277095239</v>
      </c>
    </row>
    <row r="117" spans="1:8" x14ac:dyDescent="0.3">
      <c r="A117" s="4">
        <v>1905</v>
      </c>
      <c r="B117" s="4">
        <f t="shared" si="14"/>
        <v>2.4213654814726682</v>
      </c>
      <c r="D117" s="4">
        <f t="shared" si="13"/>
        <v>1761.7303338930924</v>
      </c>
      <c r="G117" s="4">
        <v>1074918</v>
      </c>
      <c r="H117" s="2">
        <f t="shared" si="12"/>
        <v>0.98834942203711162</v>
      </c>
    </row>
    <row r="118" spans="1:8" x14ac:dyDescent="0.3">
      <c r="A118" s="4">
        <v>1904</v>
      </c>
      <c r="B118" s="4">
        <f t="shared" si="14"/>
        <v>2.3491207929659281</v>
      </c>
      <c r="D118" s="4">
        <f t="shared" si="13"/>
        <v>1672.1407417180633</v>
      </c>
      <c r="G118" s="4">
        <v>1020255</v>
      </c>
      <c r="H118" s="2">
        <f t="shared" si="12"/>
        <v>1.0102343197879755</v>
      </c>
    </row>
    <row r="119" spans="1:8" x14ac:dyDescent="0.3">
      <c r="A119" s="4">
        <v>1903</v>
      </c>
      <c r="B119" s="4">
        <f t="shared" si="14"/>
        <v>2.1502811662382544</v>
      </c>
      <c r="D119" s="4">
        <f t="shared" si="13"/>
        <v>1554.7907172165856</v>
      </c>
      <c r="G119" s="4">
        <v>948654</v>
      </c>
      <c r="H119" s="2">
        <f t="shared" si="12"/>
        <v>0.99451860003145254</v>
      </c>
    </row>
    <row r="120" spans="1:8" x14ac:dyDescent="0.3">
      <c r="A120" s="4">
        <v>1902</v>
      </c>
      <c r="B120" s="4">
        <f t="shared" si="14"/>
        <v>1.9864917464979124</v>
      </c>
      <c r="D120" s="4">
        <f t="shared" si="13"/>
        <v>1398.2289591332046</v>
      </c>
      <c r="G120" s="4">
        <v>853128</v>
      </c>
      <c r="H120" s="2">
        <f t="shared" si="12"/>
        <v>1.0216404277095239</v>
      </c>
    </row>
    <row r="121" spans="1:8" x14ac:dyDescent="0.3">
      <c r="A121" s="4">
        <v>1901</v>
      </c>
      <c r="B121" s="4">
        <f t="shared" si="14"/>
        <v>1.7409008662389642</v>
      </c>
      <c r="D121" s="4">
        <f t="shared" si="13"/>
        <v>1266.6397897473141</v>
      </c>
      <c r="G121" s="4">
        <v>772839</v>
      </c>
      <c r="H121" s="2">
        <f t="shared" si="12"/>
        <v>0.98834942203711162</v>
      </c>
    </row>
    <row r="122" spans="1:8" x14ac:dyDescent="0.3">
      <c r="A122" s="4">
        <v>1900</v>
      </c>
      <c r="B122" s="4">
        <f t="shared" si="14"/>
        <v>1.6291340524349371</v>
      </c>
      <c r="D122" s="4">
        <f t="shared" si="13"/>
        <v>1159.6429740666049</v>
      </c>
      <c r="G122" s="4">
        <v>707555</v>
      </c>
      <c r="H122" s="2">
        <f t="shared" si="12"/>
        <v>1.0102343197879755</v>
      </c>
    </row>
    <row r="123" spans="1:8" x14ac:dyDescent="0.3">
      <c r="G123" s="4">
        <v>628456</v>
      </c>
    </row>
    <row r="124" spans="1:8" x14ac:dyDescent="0.3">
      <c r="G124" s="4">
        <v>606447</v>
      </c>
    </row>
    <row r="125" spans="1:8" x14ac:dyDescent="0.3">
      <c r="G125" s="4">
        <v>585032</v>
      </c>
    </row>
    <row r="126" spans="1:8" x14ac:dyDescent="0.3">
      <c r="G126" s="4">
        <v>616040</v>
      </c>
    </row>
    <row r="127" spans="1:8" x14ac:dyDescent="0.3">
      <c r="G127" s="4">
        <v>598848</v>
      </c>
    </row>
    <row r="128" spans="1:8" x14ac:dyDescent="0.3">
      <c r="G128" s="4">
        <v>571475</v>
      </c>
    </row>
    <row r="129" spans="7:7" x14ac:dyDescent="0.3">
      <c r="G129" s="4">
        <v>636279</v>
      </c>
    </row>
    <row r="130" spans="7:7" x14ac:dyDescent="0.3">
      <c r="G130" s="4">
        <v>593684</v>
      </c>
    </row>
    <row r="131" spans="7:7" x14ac:dyDescent="0.3">
      <c r="G131" s="4">
        <v>556226</v>
      </c>
    </row>
    <row r="132" spans="7:7" x14ac:dyDescent="0.3">
      <c r="G132" s="4">
        <v>513833</v>
      </c>
    </row>
    <row r="133" spans="7:7" x14ac:dyDescent="0.3">
      <c r="G133" s="4">
        <v>451864</v>
      </c>
    </row>
    <row r="134" spans="7:7" x14ac:dyDescent="0.3">
      <c r="G134" s="4">
        <v>433635</v>
      </c>
    </row>
    <row r="135" spans="7:7" x14ac:dyDescent="0.3">
      <c r="G135" s="4">
        <v>381611</v>
      </c>
    </row>
    <row r="136" spans="7:7" x14ac:dyDescent="0.3">
      <c r="G136" s="4">
        <v>354008</v>
      </c>
    </row>
    <row r="137" spans="7:7" x14ac:dyDescent="0.3">
      <c r="G137" s="4">
        <v>322751</v>
      </c>
    </row>
    <row r="138" spans="7:7" x14ac:dyDescent="0.3">
      <c r="G138" s="4">
        <v>322232</v>
      </c>
    </row>
    <row r="139" spans="7:7" x14ac:dyDescent="0.3">
      <c r="G139" s="4">
        <v>259266</v>
      </c>
    </row>
    <row r="140" spans="7:7" x14ac:dyDescent="0.3">
      <c r="G140" s="4">
        <v>256565</v>
      </c>
    </row>
    <row r="141" spans="7:7" x14ac:dyDescent="0.3">
      <c r="G141" s="4">
        <v>227067</v>
      </c>
    </row>
    <row r="142" spans="7:7" x14ac:dyDescent="0.3">
      <c r="G142" s="4">
        <v>207137</v>
      </c>
    </row>
    <row r="143" spans="7:7" x14ac:dyDescent="0.3">
      <c r="G143" s="4">
        <v>177562</v>
      </c>
    </row>
    <row r="144" spans="7:7" x14ac:dyDescent="0.3">
      <c r="G144" s="4">
        <v>133560</v>
      </c>
    </row>
    <row r="145" spans="7:7" x14ac:dyDescent="0.3">
      <c r="G145" s="4">
        <v>170651</v>
      </c>
    </row>
    <row r="146" spans="7:7" x14ac:dyDescent="0.3">
      <c r="G146" s="4">
        <v>165520</v>
      </c>
    </row>
    <row r="147" spans="7:7" x14ac:dyDescent="0.3">
      <c r="G147" s="4">
        <v>149766</v>
      </c>
    </row>
    <row r="148" spans="7:7" x14ac:dyDescent="0.3">
      <c r="G148" s="4">
        <v>136418</v>
      </c>
    </row>
    <row r="149" spans="7:7" x14ac:dyDescent="0.3">
      <c r="G149" s="4">
        <v>131172</v>
      </c>
    </row>
    <row r="150" spans="7:7" x14ac:dyDescent="0.3">
      <c r="G150" s="4">
        <v>113925</v>
      </c>
    </row>
    <row r="151" spans="7:7" x14ac:dyDescent="0.3">
      <c r="G151" s="4">
        <v>104675</v>
      </c>
    </row>
    <row r="152" spans="7:7" x14ac:dyDescent="0.3">
      <c r="G152" s="4">
        <v>86289</v>
      </c>
    </row>
    <row r="153" spans="7:7" x14ac:dyDescent="0.3">
      <c r="G153" s="4">
        <v>81675</v>
      </c>
    </row>
    <row r="154" spans="7:7" x14ac:dyDescent="0.3">
      <c r="G154" s="4">
        <v>73364</v>
      </c>
    </row>
    <row r="155" spans="7:7" x14ac:dyDescent="0.3">
      <c r="G155" s="4">
        <v>63086</v>
      </c>
    </row>
    <row r="156" spans="7:7" x14ac:dyDescent="0.3">
      <c r="G156" s="4">
        <v>39094</v>
      </c>
    </row>
    <row r="157" spans="7:7" x14ac:dyDescent="0.3">
      <c r="G157" s="4">
        <v>26206</v>
      </c>
    </row>
    <row r="158" spans="7:7" x14ac:dyDescent="0.3">
      <c r="G158" s="4">
        <v>28218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A81C-4310-4CCA-AF06-3EB59B49BE67}">
  <dimension ref="A1:N64"/>
  <sheetViews>
    <sheetView workbookViewId="0">
      <selection activeCell="F1" sqref="F1"/>
    </sheetView>
  </sheetViews>
  <sheetFormatPr defaultRowHeight="14.4" x14ac:dyDescent="0.3"/>
  <sheetData>
    <row r="1" spans="1:13" x14ac:dyDescent="0.3">
      <c r="A1" s="22" t="s">
        <v>178</v>
      </c>
    </row>
    <row r="2" spans="1:13" x14ac:dyDescent="0.3">
      <c r="A2" t="s">
        <v>21</v>
      </c>
      <c r="B2" t="s">
        <v>172</v>
      </c>
    </row>
    <row r="3" spans="1:13" x14ac:dyDescent="0.3">
      <c r="A3" t="s">
        <v>24</v>
      </c>
      <c r="B3" t="s">
        <v>173</v>
      </c>
    </row>
    <row r="4" spans="1:13" x14ac:dyDescent="0.3">
      <c r="A4" t="s">
        <v>52</v>
      </c>
      <c r="B4" t="s">
        <v>67</v>
      </c>
    </row>
    <row r="5" spans="1:13" x14ac:dyDescent="0.3">
      <c r="A5" t="s">
        <v>54</v>
      </c>
      <c r="B5" t="s">
        <v>67</v>
      </c>
    </row>
    <row r="6" spans="1:13" x14ac:dyDescent="0.3">
      <c r="A6" t="s">
        <v>30</v>
      </c>
      <c r="B6">
        <v>198512</v>
      </c>
    </row>
    <row r="8" spans="1:13" x14ac:dyDescent="0.3">
      <c r="A8" t="s">
        <v>31</v>
      </c>
    </row>
    <row r="9" spans="1:13" x14ac:dyDescent="0.3">
      <c r="A9" t="s">
        <v>32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</row>
    <row r="10" spans="1:13" x14ac:dyDescent="0.3">
      <c r="A10">
        <v>1985</v>
      </c>
      <c r="M10">
        <v>100</v>
      </c>
    </row>
    <row r="11" spans="1:13" x14ac:dyDescent="0.3">
      <c r="A11">
        <v>1986</v>
      </c>
      <c r="B11">
        <v>100.2</v>
      </c>
      <c r="C11">
        <v>100.7</v>
      </c>
      <c r="D11">
        <v>101</v>
      </c>
      <c r="E11">
        <v>101.2</v>
      </c>
      <c r="F11">
        <v>101.3</v>
      </c>
      <c r="G11">
        <v>101.4</v>
      </c>
      <c r="H11">
        <v>101.9</v>
      </c>
      <c r="I11">
        <v>101.9</v>
      </c>
      <c r="J11">
        <v>101.9</v>
      </c>
      <c r="K11">
        <v>101.9</v>
      </c>
      <c r="L11">
        <v>102</v>
      </c>
      <c r="M11">
        <v>102.1</v>
      </c>
    </row>
    <row r="12" spans="1:13" x14ac:dyDescent="0.3">
      <c r="A12">
        <v>1987</v>
      </c>
      <c r="B12">
        <v>102.3</v>
      </c>
      <c r="C12">
        <v>102.6</v>
      </c>
      <c r="D12">
        <v>102.8</v>
      </c>
      <c r="E12">
        <v>102.9</v>
      </c>
      <c r="F12">
        <v>103</v>
      </c>
      <c r="G12">
        <v>103.1</v>
      </c>
      <c r="H12">
        <v>103.1</v>
      </c>
      <c r="I12">
        <v>103.1</v>
      </c>
      <c r="J12">
        <v>103.1</v>
      </c>
      <c r="K12">
        <v>103.7</v>
      </c>
      <c r="L12">
        <v>103.7</v>
      </c>
      <c r="M12">
        <v>104.8</v>
      </c>
    </row>
    <row r="13" spans="1:13" x14ac:dyDescent="0.3">
      <c r="A13">
        <v>1988</v>
      </c>
      <c r="B13">
        <v>104.9</v>
      </c>
      <c r="C13">
        <v>105.2</v>
      </c>
      <c r="D13">
        <v>105.7</v>
      </c>
      <c r="E13">
        <v>106.4</v>
      </c>
      <c r="F13">
        <v>106.5</v>
      </c>
      <c r="G13">
        <v>106.9</v>
      </c>
      <c r="H13">
        <v>107.5</v>
      </c>
      <c r="I13">
        <v>108</v>
      </c>
      <c r="J13">
        <v>108.2</v>
      </c>
      <c r="K13">
        <v>108.2</v>
      </c>
      <c r="L13">
        <v>108.3</v>
      </c>
      <c r="M13">
        <v>108.4</v>
      </c>
    </row>
    <row r="14" spans="1:13" x14ac:dyDescent="0.3">
      <c r="A14">
        <v>1989</v>
      </c>
      <c r="B14">
        <v>108.8</v>
      </c>
      <c r="C14">
        <v>109</v>
      </c>
      <c r="D14">
        <v>109</v>
      </c>
      <c r="E14">
        <v>109.2</v>
      </c>
      <c r="F14">
        <v>109.5</v>
      </c>
      <c r="G14">
        <v>109.5</v>
      </c>
      <c r="H14">
        <v>109.6</v>
      </c>
      <c r="I14">
        <v>109.6</v>
      </c>
      <c r="J14">
        <v>109.6</v>
      </c>
      <c r="K14">
        <v>109.7</v>
      </c>
      <c r="L14">
        <v>110.1</v>
      </c>
      <c r="M14">
        <v>110.8</v>
      </c>
    </row>
    <row r="15" spans="1:13" x14ac:dyDescent="0.3">
      <c r="A15">
        <v>1990</v>
      </c>
      <c r="B15">
        <v>111.9</v>
      </c>
      <c r="C15">
        <v>112</v>
      </c>
      <c r="D15">
        <v>111.7</v>
      </c>
      <c r="E15">
        <v>111.6</v>
      </c>
      <c r="F15">
        <v>112</v>
      </c>
      <c r="G15">
        <v>112.4</v>
      </c>
      <c r="H15">
        <v>112.4</v>
      </c>
      <c r="I15">
        <v>112.4</v>
      </c>
      <c r="J15">
        <v>112.8</v>
      </c>
      <c r="K15">
        <v>113.3</v>
      </c>
      <c r="L15">
        <v>113.4</v>
      </c>
      <c r="M15">
        <v>113.6</v>
      </c>
    </row>
    <row r="16" spans="1:13" x14ac:dyDescent="0.3">
      <c r="A16">
        <v>1991</v>
      </c>
      <c r="B16">
        <v>114.6</v>
      </c>
      <c r="C16">
        <v>114.5</v>
      </c>
      <c r="D16">
        <v>114.8</v>
      </c>
      <c r="E16">
        <v>115.1</v>
      </c>
      <c r="F16">
        <v>115.1</v>
      </c>
      <c r="G16">
        <v>115.1</v>
      </c>
      <c r="H16">
        <v>115.1</v>
      </c>
      <c r="I16">
        <v>115.1</v>
      </c>
      <c r="J16">
        <v>115.2</v>
      </c>
      <c r="K16">
        <v>115.6</v>
      </c>
      <c r="L16">
        <v>115.8</v>
      </c>
      <c r="M16">
        <v>115.8</v>
      </c>
    </row>
    <row r="17" spans="1:13" x14ac:dyDescent="0.3">
      <c r="A17">
        <v>1992</v>
      </c>
      <c r="B17">
        <v>116.7</v>
      </c>
      <c r="C17">
        <v>116.7</v>
      </c>
      <c r="D17">
        <v>117.2</v>
      </c>
      <c r="E17">
        <v>117.7</v>
      </c>
      <c r="F17">
        <v>117.7</v>
      </c>
      <c r="G17">
        <v>118</v>
      </c>
      <c r="H17">
        <v>118</v>
      </c>
      <c r="I17">
        <v>118.6</v>
      </c>
      <c r="J17">
        <v>118.8</v>
      </c>
      <c r="K17">
        <v>118.8</v>
      </c>
      <c r="L17">
        <v>119.5</v>
      </c>
      <c r="M17">
        <v>119.7</v>
      </c>
    </row>
    <row r="18" spans="1:13" x14ac:dyDescent="0.3">
      <c r="A18">
        <v>1993</v>
      </c>
      <c r="B18">
        <v>120.6</v>
      </c>
      <c r="C18">
        <v>120.9</v>
      </c>
      <c r="D18">
        <v>120.9</v>
      </c>
      <c r="E18">
        <v>122.7</v>
      </c>
      <c r="F18">
        <v>123</v>
      </c>
      <c r="G18">
        <v>123.1</v>
      </c>
      <c r="H18">
        <v>123.4</v>
      </c>
      <c r="I18">
        <v>123.5</v>
      </c>
      <c r="J18">
        <v>123.9</v>
      </c>
      <c r="K18">
        <v>123.7</v>
      </c>
      <c r="L18">
        <v>123.8</v>
      </c>
      <c r="M18">
        <v>124</v>
      </c>
    </row>
    <row r="19" spans="1:13" x14ac:dyDescent="0.3">
      <c r="A19">
        <v>1994</v>
      </c>
      <c r="B19">
        <v>124.1</v>
      </c>
      <c r="C19">
        <v>124.5</v>
      </c>
      <c r="D19">
        <v>124.3</v>
      </c>
      <c r="E19">
        <v>125.5</v>
      </c>
      <c r="F19">
        <v>126</v>
      </c>
      <c r="G19">
        <v>126.2</v>
      </c>
      <c r="H19">
        <v>126.3</v>
      </c>
      <c r="I19">
        <v>126.3</v>
      </c>
      <c r="J19">
        <v>126.8</v>
      </c>
      <c r="K19">
        <v>126.9</v>
      </c>
      <c r="L19">
        <v>127.4</v>
      </c>
      <c r="M19">
        <v>127.8</v>
      </c>
    </row>
    <row r="20" spans="1:13" x14ac:dyDescent="0.3">
      <c r="A20">
        <v>1995</v>
      </c>
      <c r="B20">
        <v>128.6</v>
      </c>
      <c r="C20">
        <v>128.6</v>
      </c>
      <c r="D20">
        <v>128.80000000000001</v>
      </c>
      <c r="E20">
        <v>129.1</v>
      </c>
      <c r="F20">
        <v>129.19999999999999</v>
      </c>
      <c r="G20">
        <v>129.69999999999999</v>
      </c>
      <c r="H20">
        <v>129.9</v>
      </c>
      <c r="I20">
        <v>130</v>
      </c>
      <c r="J20">
        <v>130</v>
      </c>
      <c r="K20">
        <v>130.30000000000001</v>
      </c>
      <c r="L20">
        <v>130.4</v>
      </c>
      <c r="M20">
        <v>130.5</v>
      </c>
    </row>
    <row r="21" spans="1:13" x14ac:dyDescent="0.3">
      <c r="A21">
        <v>1996</v>
      </c>
      <c r="B21">
        <v>130.80000000000001</v>
      </c>
      <c r="C21">
        <v>130.9</v>
      </c>
      <c r="D21">
        <v>131.19999999999999</v>
      </c>
      <c r="E21">
        <v>131.5</v>
      </c>
      <c r="F21">
        <v>131.9</v>
      </c>
      <c r="G21">
        <v>132</v>
      </c>
      <c r="H21">
        <v>132</v>
      </c>
      <c r="I21">
        <v>132.19999999999999</v>
      </c>
      <c r="J21">
        <v>132.5</v>
      </c>
      <c r="K21">
        <v>133.4</v>
      </c>
      <c r="L21">
        <v>133.30000000000001</v>
      </c>
      <c r="M21">
        <v>133.19999999999999</v>
      </c>
    </row>
    <row r="22" spans="1:13" x14ac:dyDescent="0.3">
      <c r="A22">
        <v>1997</v>
      </c>
      <c r="B22">
        <v>133.6</v>
      </c>
      <c r="C22">
        <v>133.80000000000001</v>
      </c>
      <c r="D22">
        <v>133.69999999999999</v>
      </c>
      <c r="E22">
        <v>133.9</v>
      </c>
      <c r="F22">
        <v>134.1</v>
      </c>
      <c r="G22">
        <v>134.19999999999999</v>
      </c>
      <c r="H22">
        <v>134.19999999999999</v>
      </c>
      <c r="I22">
        <v>134.5</v>
      </c>
      <c r="J22">
        <v>134.9</v>
      </c>
      <c r="K22">
        <v>135</v>
      </c>
      <c r="L22">
        <v>135</v>
      </c>
      <c r="M22">
        <v>135.1</v>
      </c>
    </row>
    <row r="23" spans="1:13" x14ac:dyDescent="0.3">
      <c r="A23">
        <v>1998</v>
      </c>
      <c r="B23">
        <v>135.4</v>
      </c>
      <c r="C23">
        <v>136</v>
      </c>
      <c r="D23">
        <v>136.69999999999999</v>
      </c>
      <c r="E23">
        <v>136.19999999999999</v>
      </c>
      <c r="F23">
        <v>136.19999999999999</v>
      </c>
      <c r="G23">
        <v>136.19999999999999</v>
      </c>
      <c r="H23">
        <v>136.19999999999999</v>
      </c>
      <c r="I23">
        <v>136.19999999999999</v>
      </c>
      <c r="J23">
        <v>137</v>
      </c>
      <c r="K23">
        <v>136.9</v>
      </c>
      <c r="L23">
        <v>136.5</v>
      </c>
      <c r="M23">
        <v>137</v>
      </c>
    </row>
    <row r="24" spans="1:13" x14ac:dyDescent="0.3">
      <c r="A24">
        <v>1999</v>
      </c>
      <c r="B24">
        <v>138.5</v>
      </c>
      <c r="C24">
        <v>138.5</v>
      </c>
      <c r="D24">
        <v>139.4</v>
      </c>
      <c r="E24">
        <v>139.4</v>
      </c>
      <c r="F24">
        <v>139.6</v>
      </c>
      <c r="G24">
        <v>139.6</v>
      </c>
      <c r="H24">
        <v>139.6</v>
      </c>
      <c r="I24">
        <v>138.6</v>
      </c>
      <c r="J24">
        <v>138.6</v>
      </c>
      <c r="K24">
        <v>138.6</v>
      </c>
      <c r="L24">
        <v>138.6</v>
      </c>
      <c r="M24">
        <v>140.1</v>
      </c>
    </row>
    <row r="25" spans="1:13" x14ac:dyDescent="0.3">
      <c r="A25">
        <v>2000</v>
      </c>
      <c r="B25">
        <v>140.6</v>
      </c>
      <c r="C25">
        <v>140.5</v>
      </c>
      <c r="D25">
        <v>140.1</v>
      </c>
      <c r="E25">
        <v>140.5</v>
      </c>
      <c r="F25">
        <v>140.30000000000001</v>
      </c>
      <c r="G25">
        <v>140.30000000000001</v>
      </c>
      <c r="H25">
        <v>140.30000000000001</v>
      </c>
      <c r="I25">
        <v>141</v>
      </c>
      <c r="J25">
        <v>140.80000000000001</v>
      </c>
      <c r="K25">
        <v>140.80000000000001</v>
      </c>
      <c r="L25">
        <v>141.9</v>
      </c>
      <c r="M25">
        <v>141.80000000000001</v>
      </c>
    </row>
    <row r="26" spans="1:13" x14ac:dyDescent="0.3">
      <c r="A26">
        <v>2001</v>
      </c>
      <c r="B26">
        <v>143.69999999999999</v>
      </c>
      <c r="C26">
        <v>144.30000000000001</v>
      </c>
      <c r="D26">
        <v>144</v>
      </c>
      <c r="E26">
        <v>145.69999999999999</v>
      </c>
      <c r="F26">
        <v>145.6</v>
      </c>
      <c r="G26">
        <v>145.9</v>
      </c>
      <c r="H26">
        <v>145.5</v>
      </c>
      <c r="I26">
        <v>145.9</v>
      </c>
      <c r="J26">
        <v>145</v>
      </c>
      <c r="K26">
        <v>144.69999999999999</v>
      </c>
      <c r="L26">
        <v>144.6</v>
      </c>
      <c r="M26">
        <v>144.69999999999999</v>
      </c>
    </row>
    <row r="27" spans="1:13" x14ac:dyDescent="0.3">
      <c r="A27">
        <v>2002</v>
      </c>
      <c r="B27">
        <v>144.69999999999999</v>
      </c>
      <c r="C27">
        <v>145.19999999999999</v>
      </c>
      <c r="D27">
        <v>145.4</v>
      </c>
      <c r="E27">
        <v>146.1</v>
      </c>
      <c r="F27">
        <v>146.5</v>
      </c>
      <c r="G27">
        <v>146.5</v>
      </c>
      <c r="H27">
        <v>146.5</v>
      </c>
      <c r="I27">
        <v>146.4</v>
      </c>
      <c r="J27">
        <v>146.4</v>
      </c>
      <c r="K27">
        <v>146.4</v>
      </c>
      <c r="L27">
        <v>146.80000000000001</v>
      </c>
      <c r="M27">
        <v>146.9</v>
      </c>
    </row>
    <row r="28" spans="1:13" x14ac:dyDescent="0.3">
      <c r="A28">
        <v>2003</v>
      </c>
      <c r="B28">
        <v>145.9</v>
      </c>
      <c r="C28">
        <v>145.9</v>
      </c>
      <c r="D28">
        <v>145.9</v>
      </c>
      <c r="E28">
        <v>146.19999999999999</v>
      </c>
      <c r="F28">
        <v>145.6</v>
      </c>
      <c r="G28">
        <v>145.6</v>
      </c>
      <c r="H28">
        <v>145.6</v>
      </c>
      <c r="I28">
        <v>145.6</v>
      </c>
      <c r="J28">
        <v>145.5</v>
      </c>
      <c r="K28">
        <v>145.4</v>
      </c>
      <c r="L28">
        <v>145.4</v>
      </c>
      <c r="M28">
        <v>145.4</v>
      </c>
    </row>
    <row r="29" spans="1:13" x14ac:dyDescent="0.3">
      <c r="A29">
        <v>2004</v>
      </c>
      <c r="B29">
        <v>145.30000000000001</v>
      </c>
      <c r="C29">
        <v>145.19999999999999</v>
      </c>
      <c r="D29">
        <v>145.80000000000001</v>
      </c>
      <c r="E29">
        <v>146.80000000000001</v>
      </c>
      <c r="F29">
        <v>147</v>
      </c>
      <c r="G29">
        <v>147.1</v>
      </c>
      <c r="H29">
        <v>147.1</v>
      </c>
      <c r="I29">
        <v>147.1</v>
      </c>
      <c r="J29">
        <v>147.4</v>
      </c>
      <c r="K29">
        <v>147.1</v>
      </c>
      <c r="L29">
        <v>147.1</v>
      </c>
      <c r="M29">
        <v>147.19999999999999</v>
      </c>
    </row>
    <row r="30" spans="1:13" x14ac:dyDescent="0.3">
      <c r="A30">
        <v>2005</v>
      </c>
      <c r="B30">
        <v>149.6</v>
      </c>
      <c r="C30">
        <v>150.4</v>
      </c>
      <c r="D30">
        <v>150.6</v>
      </c>
      <c r="E30">
        <v>150.6</v>
      </c>
      <c r="F30">
        <v>151.80000000000001</v>
      </c>
      <c r="G30">
        <v>152.80000000000001</v>
      </c>
      <c r="H30">
        <v>152.80000000000001</v>
      </c>
      <c r="I30">
        <v>152.69999999999999</v>
      </c>
      <c r="J30">
        <v>152.9</v>
      </c>
      <c r="K30">
        <v>153.6</v>
      </c>
      <c r="L30">
        <v>153.6</v>
      </c>
      <c r="M30">
        <v>153.6</v>
      </c>
    </row>
    <row r="31" spans="1:13" x14ac:dyDescent="0.3">
      <c r="A31">
        <v>2006</v>
      </c>
      <c r="B31">
        <v>153.80000000000001</v>
      </c>
      <c r="C31">
        <v>153.9</v>
      </c>
      <c r="D31">
        <v>153.9</v>
      </c>
      <c r="E31">
        <v>154</v>
      </c>
      <c r="F31">
        <v>154.19999999999999</v>
      </c>
      <c r="G31">
        <v>155.30000000000001</v>
      </c>
      <c r="H31">
        <v>155.9</v>
      </c>
      <c r="I31">
        <v>156.5</v>
      </c>
      <c r="J31">
        <v>156.4</v>
      </c>
      <c r="K31">
        <v>156.4</v>
      </c>
      <c r="L31">
        <v>156.9</v>
      </c>
      <c r="M31">
        <v>156.9</v>
      </c>
    </row>
    <row r="32" spans="1:13" x14ac:dyDescent="0.3">
      <c r="A32">
        <v>2007</v>
      </c>
      <c r="B32">
        <v>157.1</v>
      </c>
      <c r="C32">
        <v>158.80000000000001</v>
      </c>
      <c r="D32">
        <v>158.80000000000001</v>
      </c>
      <c r="E32">
        <v>159</v>
      </c>
      <c r="F32">
        <v>159.1</v>
      </c>
      <c r="G32">
        <v>159.1</v>
      </c>
      <c r="H32">
        <v>157.5</v>
      </c>
      <c r="I32">
        <v>158.6</v>
      </c>
      <c r="J32">
        <v>159</v>
      </c>
      <c r="K32">
        <v>158.80000000000001</v>
      </c>
      <c r="L32">
        <v>158.80000000000001</v>
      </c>
      <c r="M32">
        <v>158.9</v>
      </c>
    </row>
    <row r="33" spans="1:13" x14ac:dyDescent="0.3">
      <c r="A33">
        <v>2008</v>
      </c>
      <c r="B33">
        <v>159.69999999999999</v>
      </c>
      <c r="C33">
        <v>159.69999999999999</v>
      </c>
      <c r="D33">
        <v>159.80000000000001</v>
      </c>
      <c r="E33">
        <v>158.80000000000001</v>
      </c>
      <c r="F33">
        <v>159</v>
      </c>
      <c r="G33">
        <v>159.30000000000001</v>
      </c>
      <c r="H33">
        <v>162.30000000000001</v>
      </c>
      <c r="I33">
        <v>164.1</v>
      </c>
      <c r="J33">
        <v>164.3</v>
      </c>
      <c r="K33">
        <v>164.3</v>
      </c>
      <c r="L33">
        <v>164.4</v>
      </c>
      <c r="M33">
        <v>164.2</v>
      </c>
    </row>
    <row r="34" spans="1:13" x14ac:dyDescent="0.3">
      <c r="A34">
        <v>2009</v>
      </c>
      <c r="B34">
        <v>164.2</v>
      </c>
      <c r="C34">
        <v>162.6</v>
      </c>
      <c r="D34">
        <v>162.19999999999999</v>
      </c>
      <c r="E34">
        <v>162.30000000000001</v>
      </c>
      <c r="F34">
        <v>162.1</v>
      </c>
      <c r="G34">
        <v>161.9</v>
      </c>
      <c r="H34">
        <v>161.69999999999999</v>
      </c>
      <c r="I34">
        <v>161.6</v>
      </c>
      <c r="J34">
        <v>162</v>
      </c>
      <c r="K34">
        <v>161.69999999999999</v>
      </c>
      <c r="L34">
        <v>161.80000000000001</v>
      </c>
      <c r="M34">
        <v>161.80000000000001</v>
      </c>
    </row>
    <row r="35" spans="1:13" x14ac:dyDescent="0.3">
      <c r="A35">
        <v>2010</v>
      </c>
      <c r="B35">
        <v>162.4</v>
      </c>
      <c r="C35">
        <v>162.1</v>
      </c>
      <c r="D35">
        <v>162.1</v>
      </c>
      <c r="E35">
        <v>162.30000000000001</v>
      </c>
      <c r="F35">
        <v>162.4</v>
      </c>
      <c r="G35">
        <v>162.6</v>
      </c>
      <c r="H35">
        <v>163.5</v>
      </c>
      <c r="I35">
        <v>163.19999999999999</v>
      </c>
      <c r="J35">
        <v>163.30000000000001</v>
      </c>
      <c r="K35">
        <v>163.4</v>
      </c>
      <c r="L35">
        <v>163.5</v>
      </c>
      <c r="M35">
        <v>163.4</v>
      </c>
    </row>
    <row r="36" spans="1:13" x14ac:dyDescent="0.3">
      <c r="A36">
        <v>2011</v>
      </c>
      <c r="B36">
        <v>163.69999999999999</v>
      </c>
      <c r="C36">
        <v>163.6</v>
      </c>
      <c r="D36">
        <v>163.69999999999999</v>
      </c>
      <c r="E36">
        <v>163.80000000000001</v>
      </c>
      <c r="F36">
        <v>163.5</v>
      </c>
      <c r="G36">
        <v>163.9</v>
      </c>
      <c r="H36">
        <v>164.2</v>
      </c>
      <c r="I36">
        <v>164</v>
      </c>
      <c r="J36">
        <v>164.5</v>
      </c>
      <c r="K36">
        <v>164.3</v>
      </c>
      <c r="L36">
        <v>164.2</v>
      </c>
      <c r="M36">
        <v>164.1</v>
      </c>
    </row>
    <row r="37" spans="1:13" x14ac:dyDescent="0.3">
      <c r="A37">
        <v>2012</v>
      </c>
      <c r="B37">
        <v>164.5</v>
      </c>
      <c r="C37">
        <v>165.5</v>
      </c>
      <c r="D37">
        <v>164.7</v>
      </c>
      <c r="E37">
        <v>165.3</v>
      </c>
      <c r="F37">
        <v>165.4</v>
      </c>
      <c r="G37">
        <v>165.2</v>
      </c>
      <c r="H37">
        <v>165.5</v>
      </c>
      <c r="I37">
        <v>166</v>
      </c>
      <c r="J37">
        <v>166.2</v>
      </c>
      <c r="K37">
        <v>165.8</v>
      </c>
      <c r="L37">
        <v>166.5</v>
      </c>
      <c r="M37">
        <v>166.1</v>
      </c>
    </row>
    <row r="38" spans="1:13" x14ac:dyDescent="0.3">
      <c r="A38">
        <v>2013</v>
      </c>
      <c r="B38">
        <v>166.6</v>
      </c>
      <c r="C38">
        <v>166.6</v>
      </c>
      <c r="D38">
        <v>166.1</v>
      </c>
      <c r="E38">
        <v>166.1</v>
      </c>
      <c r="F38">
        <v>168</v>
      </c>
      <c r="G38">
        <v>168.3</v>
      </c>
      <c r="H38">
        <v>168.2</v>
      </c>
      <c r="I38">
        <v>168.1</v>
      </c>
      <c r="J38">
        <v>169</v>
      </c>
      <c r="K38">
        <v>169</v>
      </c>
      <c r="L38">
        <v>169</v>
      </c>
      <c r="M38">
        <v>168.9</v>
      </c>
    </row>
    <row r="39" spans="1:13" x14ac:dyDescent="0.3">
      <c r="A39">
        <v>2014</v>
      </c>
      <c r="B39">
        <v>168.8</v>
      </c>
      <c r="C39">
        <v>168.9</v>
      </c>
      <c r="D39">
        <v>169.6</v>
      </c>
      <c r="E39">
        <v>169.6</v>
      </c>
      <c r="F39">
        <v>169.7</v>
      </c>
      <c r="G39">
        <v>170.3</v>
      </c>
      <c r="H39">
        <v>170.3</v>
      </c>
      <c r="I39">
        <v>170.3</v>
      </c>
      <c r="J39">
        <v>170.3</v>
      </c>
      <c r="K39">
        <v>169.8</v>
      </c>
      <c r="L39">
        <v>169.9</v>
      </c>
      <c r="M39">
        <v>170.4</v>
      </c>
    </row>
    <row r="40" spans="1:13" x14ac:dyDescent="0.3">
      <c r="A40">
        <v>2015</v>
      </c>
      <c r="B40">
        <v>170.4</v>
      </c>
      <c r="C40">
        <v>170.4</v>
      </c>
      <c r="D40">
        <v>170.5</v>
      </c>
      <c r="E40">
        <v>171.1</v>
      </c>
      <c r="F40">
        <v>171.1</v>
      </c>
      <c r="G40">
        <v>171.1</v>
      </c>
      <c r="H40">
        <v>170.9</v>
      </c>
      <c r="I40">
        <v>169.5</v>
      </c>
      <c r="J40">
        <v>169.3</v>
      </c>
      <c r="K40">
        <v>169.3</v>
      </c>
      <c r="L40">
        <v>169.5</v>
      </c>
      <c r="M40">
        <v>169.5</v>
      </c>
    </row>
    <row r="41" spans="1:13" x14ac:dyDescent="0.3">
      <c r="A41">
        <v>2016</v>
      </c>
      <c r="B41">
        <v>169.8</v>
      </c>
      <c r="C41">
        <v>169.8</v>
      </c>
      <c r="D41">
        <v>169.9</v>
      </c>
      <c r="E41">
        <v>169.9</v>
      </c>
      <c r="F41">
        <v>170</v>
      </c>
      <c r="G41">
        <v>170.4</v>
      </c>
      <c r="H41">
        <v>170.4</v>
      </c>
      <c r="I41">
        <v>170.8</v>
      </c>
      <c r="J41">
        <v>170.9</v>
      </c>
      <c r="K41">
        <v>170.9</v>
      </c>
      <c r="L41">
        <v>170.9</v>
      </c>
      <c r="M41">
        <v>171.1</v>
      </c>
    </row>
    <row r="42" spans="1:13" x14ac:dyDescent="0.3">
      <c r="A42">
        <v>2017</v>
      </c>
      <c r="B42">
        <v>171.3</v>
      </c>
      <c r="C42">
        <v>175.4</v>
      </c>
      <c r="D42">
        <v>175.7</v>
      </c>
      <c r="E42">
        <v>175.7</v>
      </c>
      <c r="F42">
        <v>175.9</v>
      </c>
      <c r="G42">
        <v>175.9</v>
      </c>
      <c r="H42">
        <v>177.1</v>
      </c>
      <c r="I42">
        <v>176.8</v>
      </c>
      <c r="J42">
        <v>174.1</v>
      </c>
      <c r="K42">
        <v>174.1</v>
      </c>
      <c r="L42">
        <v>175.7</v>
      </c>
      <c r="M42">
        <v>175.7</v>
      </c>
    </row>
    <row r="43" spans="1:13" x14ac:dyDescent="0.3">
      <c r="A43">
        <v>2018</v>
      </c>
      <c r="B43">
        <v>176</v>
      </c>
      <c r="C43">
        <v>177.5</v>
      </c>
      <c r="D43">
        <v>178</v>
      </c>
      <c r="E43">
        <v>178.7</v>
      </c>
      <c r="F43">
        <v>180.5</v>
      </c>
      <c r="G43">
        <v>181.3</v>
      </c>
      <c r="H43">
        <v>181.4</v>
      </c>
      <c r="I43">
        <v>181.4</v>
      </c>
      <c r="J43">
        <v>182.4</v>
      </c>
      <c r="K43">
        <v>182.6</v>
      </c>
      <c r="L43">
        <v>183.1</v>
      </c>
      <c r="M43">
        <v>183.1</v>
      </c>
    </row>
    <row r="44" spans="1:13" x14ac:dyDescent="0.3">
      <c r="A44">
        <v>2019</v>
      </c>
      <c r="B44">
        <v>183.4</v>
      </c>
      <c r="C44">
        <v>183.2</v>
      </c>
      <c r="D44">
        <v>183.5</v>
      </c>
      <c r="E44">
        <v>181.7</v>
      </c>
      <c r="F44">
        <v>181.7</v>
      </c>
      <c r="G44">
        <v>181.6</v>
      </c>
      <c r="H44">
        <v>181.6</v>
      </c>
      <c r="I44">
        <v>184.9</v>
      </c>
      <c r="J44">
        <v>185</v>
      </c>
      <c r="K44">
        <v>185</v>
      </c>
      <c r="L44">
        <v>185</v>
      </c>
      <c r="M44">
        <v>185.4</v>
      </c>
    </row>
    <row r="45" spans="1:13" x14ac:dyDescent="0.3">
      <c r="A45">
        <v>2020</v>
      </c>
      <c r="B45">
        <v>186.2</v>
      </c>
      <c r="C45">
        <v>186.2</v>
      </c>
      <c r="D45">
        <v>186.3</v>
      </c>
      <c r="E45">
        <v>186.3</v>
      </c>
      <c r="F45">
        <v>186.3</v>
      </c>
      <c r="G45">
        <v>186.3</v>
      </c>
      <c r="H45">
        <v>186.3</v>
      </c>
      <c r="I45">
        <v>187.3</v>
      </c>
      <c r="J45">
        <v>187.3</v>
      </c>
      <c r="K45">
        <v>187.3</v>
      </c>
      <c r="L45">
        <v>187.3</v>
      </c>
      <c r="M45">
        <v>187.3</v>
      </c>
    </row>
    <row r="46" spans="1:13" x14ac:dyDescent="0.3">
      <c r="A46">
        <v>2021</v>
      </c>
      <c r="B46">
        <v>187.6</v>
      </c>
      <c r="C46">
        <v>188</v>
      </c>
      <c r="D46">
        <v>189.3</v>
      </c>
      <c r="E46">
        <v>189.5</v>
      </c>
      <c r="F46">
        <v>191.2</v>
      </c>
      <c r="G46">
        <v>196.3</v>
      </c>
      <c r="H46">
        <v>197.36199999999999</v>
      </c>
      <c r="I46">
        <v>194.15600000000001</v>
      </c>
      <c r="J46">
        <v>193.602</v>
      </c>
      <c r="K46">
        <v>194.946</v>
      </c>
      <c r="L46">
        <v>196.79599999999999</v>
      </c>
      <c r="M46">
        <v>198.06899999999999</v>
      </c>
    </row>
    <row r="47" spans="1:13" x14ac:dyDescent="0.3">
      <c r="A47">
        <v>2022</v>
      </c>
      <c r="B47">
        <v>206.71899999999999</v>
      </c>
      <c r="C47">
        <v>207.036</v>
      </c>
      <c r="D47">
        <v>210.10599999999999</v>
      </c>
      <c r="E47">
        <v>212.48400000000001</v>
      </c>
      <c r="F47">
        <v>213.84899999999999</v>
      </c>
      <c r="G47">
        <v>215.24199999999999</v>
      </c>
      <c r="H47">
        <v>218.38200000000001</v>
      </c>
      <c r="I47">
        <v>225.68600000000001</v>
      </c>
      <c r="J47">
        <v>225.428</v>
      </c>
      <c r="K47">
        <v>226.32499999999999</v>
      </c>
      <c r="L47">
        <v>226.68600000000001</v>
      </c>
      <c r="M47">
        <v>227.60900000000001</v>
      </c>
    </row>
    <row r="48" spans="1:13" x14ac:dyDescent="0.3">
      <c r="A48">
        <v>2023</v>
      </c>
      <c r="B48">
        <v>229.51</v>
      </c>
      <c r="C48">
        <v>228.11699999999999</v>
      </c>
      <c r="D48">
        <v>228.16399999999999</v>
      </c>
      <c r="E48" t="s">
        <v>174</v>
      </c>
      <c r="F48" t="s">
        <v>175</v>
      </c>
      <c r="G48" t="s">
        <v>176</v>
      </c>
      <c r="H48" t="s">
        <v>177</v>
      </c>
    </row>
    <row r="49" spans="1:14" x14ac:dyDescent="0.3">
      <c r="A49" t="s">
        <v>46</v>
      </c>
    </row>
    <row r="50" spans="1:14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3">
      <c r="A51" s="4"/>
    </row>
    <row r="52" spans="1:14" x14ac:dyDescent="0.3">
      <c r="A52" s="4"/>
      <c r="B52" s="4" t="s">
        <v>112</v>
      </c>
      <c r="C52" s="4"/>
      <c r="D52" s="4"/>
    </row>
    <row r="53" spans="1:14" x14ac:dyDescent="0.3">
      <c r="A53" s="4" t="s">
        <v>114</v>
      </c>
      <c r="B53" s="4" t="s">
        <v>218</v>
      </c>
      <c r="C53" s="3">
        <v>3993</v>
      </c>
      <c r="D53" s="19" t="s">
        <v>116</v>
      </c>
    </row>
    <row r="54" spans="1:14" x14ac:dyDescent="0.3">
      <c r="A54">
        <v>1977</v>
      </c>
      <c r="B54">
        <f>'[5]72SIC_SHIP_C_Price Indexes'!$D$445</f>
        <v>57.465000000000003</v>
      </c>
    </row>
    <row r="55" spans="1:14" x14ac:dyDescent="0.3">
      <c r="A55">
        <v>1978</v>
      </c>
      <c r="B55" s="4">
        <f>'[5]72SIC_SHIP_C_Price Indexes'!$E$445</f>
        <v>61.917999999999999</v>
      </c>
    </row>
    <row r="56" spans="1:14" x14ac:dyDescent="0.3">
      <c r="A56">
        <v>1979</v>
      </c>
      <c r="B56" s="4">
        <f>'[5]72SIC_SHIP_C_Price Indexes'!$F$445</f>
        <v>69.305000000000007</v>
      </c>
    </row>
    <row r="57" spans="1:14" x14ac:dyDescent="0.3">
      <c r="A57">
        <v>1980</v>
      </c>
      <c r="B57" s="4">
        <f>'[5]72SIC_SHIP_C_Price Indexes'!$G$445</f>
        <v>79.076999999999998</v>
      </c>
    </row>
    <row r="58" spans="1:14" x14ac:dyDescent="0.3">
      <c r="A58">
        <v>1981</v>
      </c>
      <c r="B58" s="4">
        <f>'[5]72SIC_SHIP_C_Price Indexes'!$H$445</f>
        <v>86.39</v>
      </c>
    </row>
    <row r="59" spans="1:14" x14ac:dyDescent="0.3">
      <c r="A59">
        <v>1982</v>
      </c>
      <c r="B59" s="4">
        <f>'[5]72SIC_SHIP_C_Price Indexes'!$I$445</f>
        <v>89.605000000000004</v>
      </c>
    </row>
    <row r="60" spans="1:14" x14ac:dyDescent="0.3">
      <c r="A60">
        <v>1983</v>
      </c>
      <c r="B60" s="4">
        <f>'[5]72SIC_SHIP_C_Price Indexes'!$J$445</f>
        <v>92.57</v>
      </c>
    </row>
    <row r="61" spans="1:14" x14ac:dyDescent="0.3">
      <c r="A61">
        <v>1984</v>
      </c>
      <c r="B61" s="4">
        <f>'[5]72SIC_SHIP_C_Price Indexes'!$K$445</f>
        <v>96.13</v>
      </c>
    </row>
    <row r="62" spans="1:14" x14ac:dyDescent="0.3">
      <c r="A62">
        <v>1985</v>
      </c>
      <c r="B62" s="4">
        <f>'[5]72SIC_SHIP_C_Price Indexes'!$L$445</f>
        <v>96.739000000000004</v>
      </c>
    </row>
    <row r="63" spans="1:14" x14ac:dyDescent="0.3">
      <c r="A63">
        <v>1986</v>
      </c>
      <c r="B63" s="4">
        <f>'[5]72SIC_SHIP_C_Price Indexes'!$M$445</f>
        <v>98.409000000000006</v>
      </c>
    </row>
    <row r="64" spans="1:14" x14ac:dyDescent="0.3">
      <c r="A64">
        <v>1987</v>
      </c>
      <c r="B64" s="4">
        <f>'[5]72SIC_SHIP_C_Price Indexes'!$N$445</f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367-F7E7-4E11-A188-2E8C6B4BB123}">
  <dimension ref="A1:N143"/>
  <sheetViews>
    <sheetView workbookViewId="0">
      <selection sqref="A1:XFD1"/>
    </sheetView>
  </sheetViews>
  <sheetFormatPr defaultRowHeight="14.4" x14ac:dyDescent="0.3"/>
  <cols>
    <col min="1" max="16384" width="8.88671875" style="4"/>
  </cols>
  <sheetData>
    <row r="1" spans="1:14" x14ac:dyDescent="0.3">
      <c r="A1" t="s">
        <v>21</v>
      </c>
      <c r="B1" t="s">
        <v>47</v>
      </c>
      <c r="C1"/>
      <c r="D1"/>
      <c r="E1"/>
      <c r="F1"/>
      <c r="G1"/>
      <c r="H1"/>
      <c r="I1"/>
      <c r="J1"/>
      <c r="K1"/>
      <c r="L1"/>
      <c r="M1"/>
      <c r="N1"/>
    </row>
    <row r="2" spans="1:14" x14ac:dyDescent="0.3">
      <c r="A2" t="s">
        <v>23</v>
      </c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3">
      <c r="A3" t="s">
        <v>24</v>
      </c>
      <c r="B3" t="s">
        <v>48</v>
      </c>
      <c r="C3"/>
      <c r="D3"/>
      <c r="E3"/>
      <c r="F3"/>
      <c r="G3"/>
      <c r="H3"/>
      <c r="I3"/>
      <c r="J3"/>
      <c r="K3"/>
      <c r="L3"/>
      <c r="M3"/>
      <c r="N3"/>
    </row>
    <row r="4" spans="1:14" x14ac:dyDescent="0.3">
      <c r="A4" t="s">
        <v>26</v>
      </c>
      <c r="B4" t="s">
        <v>27</v>
      </c>
      <c r="C4"/>
      <c r="D4"/>
      <c r="E4"/>
      <c r="F4"/>
      <c r="G4"/>
      <c r="H4"/>
      <c r="I4"/>
      <c r="J4"/>
      <c r="K4"/>
      <c r="L4"/>
      <c r="M4"/>
      <c r="N4"/>
    </row>
    <row r="5" spans="1:14" x14ac:dyDescent="0.3">
      <c r="A5" t="s">
        <v>28</v>
      </c>
      <c r="B5" t="s">
        <v>49</v>
      </c>
      <c r="C5"/>
      <c r="D5"/>
      <c r="E5"/>
      <c r="F5"/>
      <c r="G5"/>
      <c r="H5"/>
      <c r="I5"/>
      <c r="J5"/>
      <c r="K5"/>
      <c r="L5"/>
      <c r="M5"/>
      <c r="N5"/>
    </row>
    <row r="6" spans="1:14" x14ac:dyDescent="0.3">
      <c r="A6" t="s">
        <v>30</v>
      </c>
      <c r="B6">
        <v>198200</v>
      </c>
      <c r="C6"/>
      <c r="D6"/>
      <c r="E6"/>
      <c r="F6"/>
      <c r="G6"/>
      <c r="H6"/>
      <c r="I6"/>
      <c r="J6"/>
      <c r="K6"/>
      <c r="L6"/>
      <c r="M6"/>
      <c r="N6"/>
    </row>
    <row r="7" spans="1:14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3">
      <c r="A8" t="s">
        <v>31</v>
      </c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3">
      <c r="A9" t="s">
        <v>32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M9" t="s">
        <v>44</v>
      </c>
      <c r="N9"/>
    </row>
    <row r="10" spans="1:14" x14ac:dyDescent="0.3">
      <c r="A10">
        <v>1980</v>
      </c>
      <c r="B10"/>
      <c r="C10"/>
      <c r="D10"/>
      <c r="E10"/>
      <c r="F10"/>
      <c r="G10"/>
      <c r="H10"/>
      <c r="I10"/>
      <c r="J10"/>
      <c r="K10"/>
      <c r="L10"/>
      <c r="M10">
        <v>82.6</v>
      </c>
      <c r="N10"/>
    </row>
    <row r="11" spans="1:14" x14ac:dyDescent="0.3">
      <c r="A11">
        <v>1981</v>
      </c>
      <c r="B11">
        <v>88.3</v>
      </c>
      <c r="C11">
        <v>88.8</v>
      </c>
      <c r="D11">
        <v>89.8</v>
      </c>
      <c r="E11">
        <v>90.7</v>
      </c>
      <c r="F11">
        <v>90.3</v>
      </c>
      <c r="G11">
        <v>90.5</v>
      </c>
      <c r="H11">
        <v>91.3</v>
      </c>
      <c r="I11">
        <v>91.5</v>
      </c>
      <c r="J11">
        <v>92.1</v>
      </c>
      <c r="K11">
        <v>92.4</v>
      </c>
      <c r="L11">
        <v>93</v>
      </c>
      <c r="M11">
        <v>93.4</v>
      </c>
      <c r="N11"/>
    </row>
    <row r="12" spans="1:14" x14ac:dyDescent="0.3">
      <c r="A12">
        <v>1982</v>
      </c>
      <c r="B12">
        <v>96.3</v>
      </c>
      <c r="C12">
        <v>96.5</v>
      </c>
      <c r="D12">
        <v>97.3</v>
      </c>
      <c r="E12">
        <v>98.9</v>
      </c>
      <c r="F12">
        <v>100.3</v>
      </c>
      <c r="G12">
        <v>100.4</v>
      </c>
      <c r="H12">
        <v>100.6</v>
      </c>
      <c r="I12">
        <v>100.8</v>
      </c>
      <c r="J12">
        <v>101</v>
      </c>
      <c r="K12">
        <v>101.7</v>
      </c>
      <c r="L12">
        <v>102.2</v>
      </c>
      <c r="M12">
        <v>103.9</v>
      </c>
      <c r="N12"/>
    </row>
    <row r="13" spans="1:14" x14ac:dyDescent="0.3">
      <c r="A13">
        <v>1983</v>
      </c>
      <c r="B13">
        <v>108.2</v>
      </c>
      <c r="C13">
        <v>109</v>
      </c>
      <c r="D13">
        <v>109.4</v>
      </c>
      <c r="E13">
        <v>109.9</v>
      </c>
      <c r="F13">
        <v>110.3</v>
      </c>
      <c r="G13">
        <v>110.8</v>
      </c>
      <c r="H13">
        <v>111.1</v>
      </c>
      <c r="I13">
        <v>111.6</v>
      </c>
      <c r="J13">
        <v>111.7</v>
      </c>
      <c r="K13">
        <v>112.4</v>
      </c>
      <c r="L13">
        <v>112.9</v>
      </c>
      <c r="M13">
        <v>112.9</v>
      </c>
      <c r="N13"/>
    </row>
    <row r="14" spans="1:14" x14ac:dyDescent="0.3">
      <c r="A14">
        <v>1984</v>
      </c>
      <c r="B14">
        <v>118.1</v>
      </c>
      <c r="C14">
        <v>118.5</v>
      </c>
      <c r="D14">
        <v>118.8</v>
      </c>
      <c r="E14">
        <v>118.9</v>
      </c>
      <c r="F14">
        <v>119.3</v>
      </c>
      <c r="G14">
        <v>119.4</v>
      </c>
      <c r="H14">
        <v>119.5</v>
      </c>
      <c r="I14">
        <v>119.8</v>
      </c>
      <c r="J14">
        <v>120.1</v>
      </c>
      <c r="K14">
        <v>120.2</v>
      </c>
      <c r="L14">
        <v>122</v>
      </c>
      <c r="M14">
        <v>122</v>
      </c>
      <c r="N14"/>
    </row>
    <row r="15" spans="1:14" x14ac:dyDescent="0.3">
      <c r="A15">
        <v>1985</v>
      </c>
      <c r="B15">
        <v>126.6</v>
      </c>
      <c r="C15">
        <v>127.9</v>
      </c>
      <c r="D15">
        <v>127.9</v>
      </c>
      <c r="E15">
        <v>128.19999999999999</v>
      </c>
      <c r="F15">
        <v>128.69999999999999</v>
      </c>
      <c r="G15">
        <v>128.69999999999999</v>
      </c>
      <c r="H15">
        <v>129.5</v>
      </c>
      <c r="I15">
        <v>129.5</v>
      </c>
      <c r="J15">
        <v>128.4</v>
      </c>
      <c r="K15">
        <v>129.1</v>
      </c>
      <c r="L15">
        <v>129.4</v>
      </c>
      <c r="M15">
        <v>129.5</v>
      </c>
      <c r="N15"/>
    </row>
    <row r="16" spans="1:14" x14ac:dyDescent="0.3">
      <c r="A16">
        <v>1986</v>
      </c>
      <c r="B16">
        <v>134.6</v>
      </c>
      <c r="C16">
        <v>134.69999999999999</v>
      </c>
      <c r="D16">
        <v>133.80000000000001</v>
      </c>
      <c r="E16">
        <v>135.19999999999999</v>
      </c>
      <c r="F16">
        <v>135.69999999999999</v>
      </c>
      <c r="G16">
        <v>135.69999999999999</v>
      </c>
      <c r="H16">
        <v>136</v>
      </c>
      <c r="I16">
        <v>136.19999999999999</v>
      </c>
      <c r="J16">
        <v>136.5</v>
      </c>
      <c r="K16">
        <v>137.1</v>
      </c>
      <c r="L16">
        <v>137.30000000000001</v>
      </c>
      <c r="M16">
        <v>137.5</v>
      </c>
      <c r="N16"/>
    </row>
    <row r="17" spans="1:14" x14ac:dyDescent="0.3">
      <c r="A17">
        <v>1987</v>
      </c>
      <c r="B17">
        <v>141.69999999999999</v>
      </c>
      <c r="C17">
        <v>143.1</v>
      </c>
      <c r="D17">
        <v>143.4</v>
      </c>
      <c r="E17">
        <v>143.6</v>
      </c>
      <c r="F17">
        <v>143.4</v>
      </c>
      <c r="G17">
        <v>143.6</v>
      </c>
      <c r="H17">
        <v>144.19999999999999</v>
      </c>
      <c r="I17">
        <v>144.6</v>
      </c>
      <c r="J17">
        <v>145.1</v>
      </c>
      <c r="K17">
        <v>145.5</v>
      </c>
      <c r="L17">
        <v>146</v>
      </c>
      <c r="M17">
        <v>146.1</v>
      </c>
      <c r="N17"/>
    </row>
    <row r="18" spans="1:14" x14ac:dyDescent="0.3">
      <c r="A18">
        <v>1988</v>
      </c>
      <c r="B18">
        <v>150.69999999999999</v>
      </c>
      <c r="C18">
        <v>151.80000000000001</v>
      </c>
      <c r="D18">
        <v>152.6</v>
      </c>
      <c r="E18">
        <v>153.1</v>
      </c>
      <c r="F18">
        <v>153.19999999999999</v>
      </c>
      <c r="G18">
        <v>153.19999999999999</v>
      </c>
      <c r="H18">
        <v>154</v>
      </c>
      <c r="I18">
        <v>154.5</v>
      </c>
      <c r="J18">
        <v>155.30000000000001</v>
      </c>
      <c r="K18">
        <v>156.1</v>
      </c>
      <c r="L18">
        <v>156.5</v>
      </c>
      <c r="M18">
        <v>156.6</v>
      </c>
      <c r="N18"/>
    </row>
    <row r="19" spans="1:14" x14ac:dyDescent="0.3">
      <c r="A19">
        <v>1989</v>
      </c>
      <c r="B19">
        <v>163.4</v>
      </c>
      <c r="C19">
        <v>164</v>
      </c>
      <c r="D19">
        <v>164.5</v>
      </c>
      <c r="E19">
        <v>164.7</v>
      </c>
      <c r="F19">
        <v>164.8</v>
      </c>
      <c r="G19">
        <v>165.4</v>
      </c>
      <c r="H19">
        <v>165.9</v>
      </c>
      <c r="I19">
        <v>166.5</v>
      </c>
      <c r="J19">
        <v>167.4</v>
      </c>
      <c r="K19">
        <v>167.8</v>
      </c>
      <c r="L19">
        <v>168.1</v>
      </c>
      <c r="M19">
        <v>167.9</v>
      </c>
      <c r="N19"/>
    </row>
    <row r="20" spans="1:14" x14ac:dyDescent="0.3">
      <c r="A20">
        <v>1990</v>
      </c>
      <c r="B20">
        <v>173.3</v>
      </c>
      <c r="C20">
        <v>174.2</v>
      </c>
      <c r="D20">
        <v>175</v>
      </c>
      <c r="E20">
        <v>175.2</v>
      </c>
      <c r="F20">
        <v>175.4</v>
      </c>
      <c r="G20">
        <v>175.5</v>
      </c>
      <c r="H20">
        <v>176.6</v>
      </c>
      <c r="I20">
        <v>177.8</v>
      </c>
      <c r="J20">
        <v>178.2</v>
      </c>
      <c r="K20">
        <v>179.2</v>
      </c>
      <c r="L20">
        <v>180</v>
      </c>
      <c r="M20">
        <v>180</v>
      </c>
      <c r="N20"/>
    </row>
    <row r="21" spans="1:14" x14ac:dyDescent="0.3">
      <c r="A21">
        <v>1991</v>
      </c>
      <c r="B21">
        <v>185.8</v>
      </c>
      <c r="C21">
        <v>187.9</v>
      </c>
      <c r="D21">
        <v>188.2</v>
      </c>
      <c r="E21">
        <v>187.6</v>
      </c>
      <c r="F21">
        <v>187.7</v>
      </c>
      <c r="G21">
        <v>188</v>
      </c>
      <c r="H21">
        <v>188.4</v>
      </c>
      <c r="I21">
        <v>189.2</v>
      </c>
      <c r="J21">
        <v>189.8</v>
      </c>
      <c r="K21">
        <v>190.7</v>
      </c>
      <c r="L21">
        <v>191.1</v>
      </c>
      <c r="M21">
        <v>191.3</v>
      </c>
      <c r="N21"/>
    </row>
    <row r="22" spans="1:14" x14ac:dyDescent="0.3">
      <c r="A22">
        <v>1992</v>
      </c>
      <c r="B22">
        <v>195.9</v>
      </c>
      <c r="C22">
        <v>197.2</v>
      </c>
      <c r="D22">
        <v>197.5</v>
      </c>
      <c r="E22">
        <v>197.5</v>
      </c>
      <c r="F22">
        <v>197.5</v>
      </c>
      <c r="G22">
        <v>197.6</v>
      </c>
      <c r="H22">
        <v>198.1</v>
      </c>
      <c r="I22">
        <v>198.9</v>
      </c>
      <c r="J22">
        <v>199.6</v>
      </c>
      <c r="K22">
        <v>199.8</v>
      </c>
      <c r="L22">
        <v>199.9</v>
      </c>
      <c r="M22">
        <v>200</v>
      </c>
      <c r="N22"/>
    </row>
    <row r="23" spans="1:14" x14ac:dyDescent="0.3">
      <c r="A23">
        <v>1993</v>
      </c>
      <c r="B23">
        <v>206.5</v>
      </c>
      <c r="C23">
        <v>207.1</v>
      </c>
      <c r="D23">
        <v>207.3</v>
      </c>
      <c r="E23">
        <v>207.4</v>
      </c>
      <c r="F23">
        <v>207.4</v>
      </c>
      <c r="G23">
        <v>207.6</v>
      </c>
      <c r="H23">
        <v>208</v>
      </c>
      <c r="I23">
        <v>209</v>
      </c>
      <c r="J23">
        <v>209.9</v>
      </c>
      <c r="K23">
        <v>210.2</v>
      </c>
      <c r="L23">
        <v>210.3</v>
      </c>
      <c r="M23">
        <v>210.8</v>
      </c>
      <c r="N23"/>
    </row>
    <row r="24" spans="1:14" x14ac:dyDescent="0.3">
      <c r="A24">
        <v>1994</v>
      </c>
      <c r="B24">
        <v>215.4</v>
      </c>
      <c r="C24">
        <v>215.3</v>
      </c>
      <c r="D24">
        <v>216.3</v>
      </c>
      <c r="E24">
        <v>216.4</v>
      </c>
      <c r="F24">
        <v>216.5</v>
      </c>
      <c r="G24">
        <v>216.6</v>
      </c>
      <c r="H24">
        <v>216.9</v>
      </c>
      <c r="I24">
        <v>217.6</v>
      </c>
      <c r="J24">
        <v>217.9</v>
      </c>
      <c r="K24">
        <v>219.1</v>
      </c>
      <c r="L24">
        <v>219.2</v>
      </c>
      <c r="M24">
        <v>219.3</v>
      </c>
      <c r="N24"/>
    </row>
    <row r="25" spans="1:14" x14ac:dyDescent="0.3">
      <c r="A25">
        <v>1995</v>
      </c>
      <c r="B25">
        <v>225.5</v>
      </c>
      <c r="C25">
        <v>226.8</v>
      </c>
      <c r="D25">
        <v>227.8</v>
      </c>
      <c r="E25">
        <v>228</v>
      </c>
      <c r="F25">
        <v>228.7</v>
      </c>
      <c r="G25">
        <v>230.3</v>
      </c>
      <c r="H25">
        <v>231.1</v>
      </c>
      <c r="I25">
        <v>231.2</v>
      </c>
      <c r="J25">
        <v>232</v>
      </c>
      <c r="K25">
        <v>236</v>
      </c>
      <c r="L25">
        <v>237.7</v>
      </c>
      <c r="M25">
        <v>238</v>
      </c>
      <c r="N25"/>
    </row>
    <row r="26" spans="1:14" x14ac:dyDescent="0.3">
      <c r="A26">
        <v>1996</v>
      </c>
      <c r="B26">
        <v>245</v>
      </c>
      <c r="C26">
        <v>246.1</v>
      </c>
      <c r="D26">
        <v>246.2</v>
      </c>
      <c r="E26">
        <v>246.4</v>
      </c>
      <c r="F26">
        <v>246.4</v>
      </c>
      <c r="G26">
        <v>246.6</v>
      </c>
      <c r="H26">
        <v>247.2</v>
      </c>
      <c r="I26">
        <v>247.3</v>
      </c>
      <c r="J26">
        <v>247.8</v>
      </c>
      <c r="K26">
        <v>251.3</v>
      </c>
      <c r="L26">
        <v>251.6</v>
      </c>
      <c r="M26">
        <v>251.6</v>
      </c>
      <c r="N26"/>
    </row>
    <row r="27" spans="1:14" x14ac:dyDescent="0.3">
      <c r="A27">
        <v>1997</v>
      </c>
      <c r="B27">
        <v>257.2</v>
      </c>
      <c r="C27">
        <v>257.5</v>
      </c>
      <c r="D27">
        <v>257.7</v>
      </c>
      <c r="E27">
        <v>257.89999999999998</v>
      </c>
      <c r="F27">
        <v>257.89999999999998</v>
      </c>
      <c r="G27">
        <v>258</v>
      </c>
      <c r="H27">
        <v>258.5</v>
      </c>
      <c r="I27">
        <v>258.7</v>
      </c>
      <c r="J27">
        <v>259.10000000000002</v>
      </c>
      <c r="K27">
        <v>259.5</v>
      </c>
      <c r="L27">
        <v>260.2</v>
      </c>
      <c r="M27">
        <v>260.39999999999998</v>
      </c>
      <c r="N27"/>
    </row>
    <row r="28" spans="1:14" x14ac:dyDescent="0.3">
      <c r="A28">
        <v>1998</v>
      </c>
      <c r="B28">
        <v>267.39999999999998</v>
      </c>
      <c r="C28">
        <v>268.10000000000002</v>
      </c>
      <c r="D28">
        <v>268.8</v>
      </c>
      <c r="E28">
        <v>269.3</v>
      </c>
      <c r="F28">
        <v>268.89999999999998</v>
      </c>
      <c r="G28">
        <v>269</v>
      </c>
      <c r="H28">
        <v>269</v>
      </c>
      <c r="I28">
        <v>269.10000000000002</v>
      </c>
      <c r="J28">
        <v>269.5</v>
      </c>
      <c r="K28">
        <v>270.60000000000002</v>
      </c>
      <c r="L28">
        <v>271.3</v>
      </c>
      <c r="M28">
        <v>271.2</v>
      </c>
      <c r="N28"/>
    </row>
    <row r="29" spans="1:14" x14ac:dyDescent="0.3">
      <c r="A29">
        <v>1999</v>
      </c>
      <c r="B29">
        <v>277.39999999999998</v>
      </c>
      <c r="C29">
        <v>277.60000000000002</v>
      </c>
      <c r="D29">
        <v>278.3</v>
      </c>
      <c r="E29">
        <v>278.39999999999998</v>
      </c>
      <c r="F29">
        <v>278.39999999999998</v>
      </c>
      <c r="G29">
        <v>278.8</v>
      </c>
      <c r="H29">
        <v>278.8</v>
      </c>
      <c r="I29">
        <v>278.8</v>
      </c>
      <c r="J29">
        <v>280.8</v>
      </c>
      <c r="K29">
        <v>280.89999999999998</v>
      </c>
      <c r="L29">
        <v>282.10000000000002</v>
      </c>
      <c r="M29">
        <v>282.10000000000002</v>
      </c>
      <c r="N29"/>
    </row>
    <row r="30" spans="1:14" x14ac:dyDescent="0.3">
      <c r="A30">
        <v>2000</v>
      </c>
      <c r="B30">
        <v>288.60000000000002</v>
      </c>
      <c r="C30">
        <v>288.7</v>
      </c>
      <c r="D30">
        <v>289.5</v>
      </c>
      <c r="E30">
        <v>289.7</v>
      </c>
      <c r="F30">
        <v>290.3</v>
      </c>
      <c r="G30">
        <v>290.3</v>
      </c>
      <c r="H30">
        <v>290.7</v>
      </c>
      <c r="I30">
        <v>291.89999999999998</v>
      </c>
      <c r="J30">
        <v>292.5</v>
      </c>
      <c r="K30">
        <v>294.2</v>
      </c>
      <c r="L30">
        <v>294.89999999999998</v>
      </c>
      <c r="M30">
        <v>296.2</v>
      </c>
      <c r="N30"/>
    </row>
    <row r="31" spans="1:14" x14ac:dyDescent="0.3">
      <c r="A31">
        <v>2001</v>
      </c>
      <c r="B31">
        <v>302.39999999999998</v>
      </c>
      <c r="C31">
        <v>303.60000000000002</v>
      </c>
      <c r="D31">
        <v>304.3</v>
      </c>
      <c r="E31">
        <v>305.3</v>
      </c>
      <c r="F31">
        <v>305.7</v>
      </c>
      <c r="G31">
        <v>305.39999999999998</v>
      </c>
      <c r="H31">
        <v>305.5</v>
      </c>
      <c r="I31">
        <v>306</v>
      </c>
      <c r="J31">
        <v>307.39999999999998</v>
      </c>
      <c r="K31">
        <v>309.8</v>
      </c>
      <c r="L31">
        <v>309.89999999999998</v>
      </c>
      <c r="M31">
        <v>309.8</v>
      </c>
      <c r="N31"/>
    </row>
    <row r="32" spans="1:14" x14ac:dyDescent="0.3">
      <c r="A32">
        <v>2002</v>
      </c>
      <c r="B32">
        <v>316.3</v>
      </c>
      <c r="C32">
        <v>317.60000000000002</v>
      </c>
      <c r="D32">
        <v>317.60000000000002</v>
      </c>
      <c r="E32">
        <v>318.10000000000002</v>
      </c>
      <c r="F32">
        <v>318.7</v>
      </c>
      <c r="G32">
        <v>319.2</v>
      </c>
      <c r="H32">
        <v>319.5</v>
      </c>
      <c r="I32">
        <v>319.7</v>
      </c>
      <c r="J32">
        <v>321.10000000000002</v>
      </c>
      <c r="K32">
        <v>321.89999999999998</v>
      </c>
      <c r="L32">
        <v>322.60000000000002</v>
      </c>
      <c r="M32">
        <v>322.5</v>
      </c>
      <c r="N32"/>
    </row>
    <row r="33" spans="1:14" x14ac:dyDescent="0.3">
      <c r="A33">
        <v>2003</v>
      </c>
      <c r="B33">
        <v>330.7</v>
      </c>
      <c r="C33">
        <v>330.9</v>
      </c>
      <c r="D33">
        <v>330.7</v>
      </c>
      <c r="E33">
        <v>331.5</v>
      </c>
      <c r="F33">
        <v>331.5</v>
      </c>
      <c r="G33">
        <v>333</v>
      </c>
      <c r="H33">
        <v>332.9</v>
      </c>
      <c r="I33">
        <v>333.8</v>
      </c>
      <c r="J33">
        <v>334</v>
      </c>
      <c r="K33">
        <v>335.6</v>
      </c>
      <c r="L33">
        <v>335.9</v>
      </c>
      <c r="M33">
        <v>336.5</v>
      </c>
      <c r="N33"/>
    </row>
    <row r="34" spans="1:14" x14ac:dyDescent="0.3">
      <c r="A34">
        <v>2004</v>
      </c>
      <c r="B34">
        <v>344.8</v>
      </c>
      <c r="C34">
        <v>345.2</v>
      </c>
      <c r="D34">
        <v>345.2</v>
      </c>
      <c r="E34">
        <v>345.9</v>
      </c>
      <c r="F34">
        <v>346.4</v>
      </c>
      <c r="G34">
        <v>346.4</v>
      </c>
      <c r="H34">
        <v>346.9</v>
      </c>
      <c r="I34">
        <v>346.9</v>
      </c>
      <c r="J34">
        <v>347.8</v>
      </c>
      <c r="K34">
        <v>346.9</v>
      </c>
      <c r="L34">
        <v>347.8</v>
      </c>
      <c r="M34">
        <v>347.8</v>
      </c>
      <c r="N34"/>
    </row>
    <row r="35" spans="1:14" x14ac:dyDescent="0.3">
      <c r="A35">
        <v>2005</v>
      </c>
      <c r="B35">
        <v>357.1</v>
      </c>
      <c r="C35">
        <v>358.1</v>
      </c>
      <c r="D35">
        <v>358.1</v>
      </c>
      <c r="E35">
        <v>358.1</v>
      </c>
      <c r="F35">
        <v>358.1</v>
      </c>
      <c r="G35">
        <v>358.1</v>
      </c>
      <c r="H35">
        <v>363</v>
      </c>
      <c r="I35">
        <v>364.2</v>
      </c>
      <c r="J35">
        <v>364.4</v>
      </c>
      <c r="K35">
        <v>366.4</v>
      </c>
      <c r="L35">
        <v>366.9</v>
      </c>
      <c r="M35">
        <v>367.1</v>
      </c>
      <c r="N35"/>
    </row>
    <row r="36" spans="1:14" x14ac:dyDescent="0.3">
      <c r="A36">
        <v>2006</v>
      </c>
      <c r="B36">
        <v>366.7</v>
      </c>
      <c r="C36">
        <v>370.1</v>
      </c>
      <c r="D36">
        <v>369.5</v>
      </c>
      <c r="E36">
        <v>369.8</v>
      </c>
      <c r="F36">
        <v>373</v>
      </c>
      <c r="G36">
        <v>372.1</v>
      </c>
      <c r="H36">
        <v>376.2</v>
      </c>
      <c r="I36">
        <v>377.7</v>
      </c>
      <c r="J36">
        <v>380.7</v>
      </c>
      <c r="K36">
        <v>380.6</v>
      </c>
      <c r="L36">
        <v>382.4</v>
      </c>
      <c r="M36">
        <v>380.4</v>
      </c>
      <c r="N36"/>
    </row>
    <row r="37" spans="1:14" x14ac:dyDescent="0.3">
      <c r="A37">
        <v>2007</v>
      </c>
      <c r="B37">
        <v>383.8</v>
      </c>
      <c r="C37">
        <v>384</v>
      </c>
      <c r="D37">
        <v>386.2</v>
      </c>
      <c r="E37">
        <v>384.7</v>
      </c>
      <c r="F37">
        <v>385.9</v>
      </c>
      <c r="G37">
        <v>386.6</v>
      </c>
      <c r="H37">
        <v>387.6</v>
      </c>
      <c r="I37">
        <v>386.8</v>
      </c>
      <c r="J37">
        <v>387.4</v>
      </c>
      <c r="K37">
        <v>388.9</v>
      </c>
      <c r="L37">
        <v>389.5</v>
      </c>
      <c r="M37">
        <v>389.4</v>
      </c>
      <c r="N37"/>
    </row>
    <row r="38" spans="1:14" x14ac:dyDescent="0.3">
      <c r="A38">
        <v>2008</v>
      </c>
      <c r="B38">
        <v>392.9</v>
      </c>
      <c r="C38">
        <v>393.9</v>
      </c>
      <c r="D38">
        <v>393.6</v>
      </c>
      <c r="E38">
        <v>393.5</v>
      </c>
      <c r="F38">
        <v>393.9</v>
      </c>
      <c r="G38">
        <v>393.4</v>
      </c>
      <c r="H38">
        <v>393.4</v>
      </c>
      <c r="I38">
        <v>394.1</v>
      </c>
      <c r="J38">
        <v>394.1</v>
      </c>
      <c r="K38">
        <v>395.8</v>
      </c>
      <c r="L38">
        <v>394.8</v>
      </c>
      <c r="M38">
        <v>394</v>
      </c>
      <c r="N38"/>
    </row>
    <row r="39" spans="1:14" x14ac:dyDescent="0.3">
      <c r="A39">
        <v>2009</v>
      </c>
      <c r="B39">
        <v>394.8</v>
      </c>
      <c r="C39">
        <v>394.3</v>
      </c>
      <c r="D39">
        <v>395</v>
      </c>
      <c r="E39">
        <v>395.2</v>
      </c>
      <c r="F39">
        <v>394.5</v>
      </c>
      <c r="G39">
        <v>395.2</v>
      </c>
      <c r="H39">
        <v>395</v>
      </c>
      <c r="I39">
        <v>395.7</v>
      </c>
      <c r="J39">
        <v>394.1</v>
      </c>
      <c r="K39">
        <v>395.7</v>
      </c>
      <c r="L39">
        <v>394.7</v>
      </c>
      <c r="M39">
        <v>394.7</v>
      </c>
      <c r="N39"/>
    </row>
    <row r="40" spans="1:14" x14ac:dyDescent="0.3">
      <c r="A40">
        <v>2010</v>
      </c>
      <c r="B40">
        <v>396.6</v>
      </c>
      <c r="C40">
        <v>395.5</v>
      </c>
      <c r="D40">
        <v>395.4</v>
      </c>
      <c r="E40">
        <v>395.9</v>
      </c>
      <c r="F40">
        <v>395.5</v>
      </c>
      <c r="G40">
        <v>395.3</v>
      </c>
      <c r="H40">
        <v>395.1</v>
      </c>
      <c r="I40">
        <v>395.7</v>
      </c>
      <c r="J40">
        <v>396.2</v>
      </c>
      <c r="K40">
        <v>396.5</v>
      </c>
      <c r="L40">
        <v>397.5</v>
      </c>
      <c r="M40">
        <v>397.2</v>
      </c>
      <c r="N40"/>
    </row>
    <row r="41" spans="1:14" x14ac:dyDescent="0.3">
      <c r="A41">
        <v>2011</v>
      </c>
      <c r="B41">
        <v>394.7</v>
      </c>
      <c r="C41">
        <v>397.2</v>
      </c>
      <c r="D41">
        <v>393</v>
      </c>
      <c r="E41">
        <v>394.4</v>
      </c>
      <c r="F41">
        <v>395.2</v>
      </c>
      <c r="G41">
        <v>395.5</v>
      </c>
      <c r="H41">
        <v>394.7</v>
      </c>
      <c r="I41">
        <v>393.1</v>
      </c>
      <c r="J41">
        <v>394.5</v>
      </c>
      <c r="K41">
        <v>394.4</v>
      </c>
      <c r="L41">
        <v>393.8</v>
      </c>
      <c r="M41">
        <v>394</v>
      </c>
      <c r="N41"/>
    </row>
    <row r="42" spans="1:14" x14ac:dyDescent="0.3">
      <c r="A42">
        <v>2012</v>
      </c>
      <c r="B42">
        <v>397.1</v>
      </c>
      <c r="C42">
        <v>395.5</v>
      </c>
      <c r="D42">
        <v>394.8</v>
      </c>
      <c r="E42">
        <v>392.5</v>
      </c>
      <c r="F42">
        <v>393.5</v>
      </c>
      <c r="G42">
        <v>394</v>
      </c>
      <c r="H42">
        <v>396</v>
      </c>
      <c r="I42">
        <v>391.4</v>
      </c>
      <c r="J42">
        <v>392.1</v>
      </c>
      <c r="K42">
        <v>392.7</v>
      </c>
      <c r="L42">
        <v>393.2</v>
      </c>
      <c r="M42">
        <v>394.6</v>
      </c>
      <c r="N42"/>
    </row>
    <row r="43" spans="1:14" x14ac:dyDescent="0.3">
      <c r="A43">
        <v>2013</v>
      </c>
      <c r="B43">
        <v>393.7</v>
      </c>
      <c r="C43">
        <v>394.7</v>
      </c>
      <c r="D43">
        <v>394.1</v>
      </c>
      <c r="E43">
        <v>394.7</v>
      </c>
      <c r="F43">
        <v>392.6</v>
      </c>
      <c r="G43">
        <v>392.7</v>
      </c>
      <c r="H43">
        <v>393.3</v>
      </c>
      <c r="I43">
        <v>394.7</v>
      </c>
      <c r="J43">
        <v>396.3</v>
      </c>
      <c r="K43">
        <v>396.3</v>
      </c>
      <c r="L43">
        <v>398.2</v>
      </c>
      <c r="M43">
        <v>394.7</v>
      </c>
      <c r="N43"/>
    </row>
    <row r="44" spans="1:14" x14ac:dyDescent="0.3">
      <c r="A44">
        <v>2014</v>
      </c>
      <c r="B44">
        <v>397.7</v>
      </c>
      <c r="C44">
        <v>400.8</v>
      </c>
      <c r="D44">
        <v>402.9</v>
      </c>
      <c r="E44">
        <v>404.6</v>
      </c>
      <c r="F44">
        <v>402.9</v>
      </c>
      <c r="G44">
        <v>403.9</v>
      </c>
      <c r="H44">
        <v>406.2</v>
      </c>
      <c r="I44">
        <v>402.9</v>
      </c>
      <c r="J44">
        <v>403.5</v>
      </c>
      <c r="K44">
        <v>402.9</v>
      </c>
      <c r="L44">
        <v>405.7</v>
      </c>
      <c r="M44">
        <v>405.8</v>
      </c>
      <c r="N44"/>
    </row>
    <row r="45" spans="1:14" x14ac:dyDescent="0.3">
      <c r="A45">
        <v>2015</v>
      </c>
      <c r="B45">
        <v>404.5</v>
      </c>
      <c r="C45">
        <v>406.6</v>
      </c>
      <c r="D45">
        <v>404.6</v>
      </c>
      <c r="E45">
        <v>404.5</v>
      </c>
      <c r="F45">
        <v>403.6</v>
      </c>
      <c r="G45">
        <v>405</v>
      </c>
      <c r="H45">
        <v>405.9</v>
      </c>
      <c r="I45">
        <v>405.9</v>
      </c>
      <c r="J45">
        <v>405.9</v>
      </c>
      <c r="K45">
        <v>400.4</v>
      </c>
      <c r="L45">
        <v>404.3</v>
      </c>
      <c r="M45">
        <v>403.9</v>
      </c>
      <c r="N45"/>
    </row>
    <row r="46" spans="1:14" x14ac:dyDescent="0.3">
      <c r="A46">
        <v>2016</v>
      </c>
      <c r="B46">
        <v>401.5</v>
      </c>
      <c r="C46">
        <v>400.7</v>
      </c>
      <c r="D46">
        <v>403.7</v>
      </c>
      <c r="E46">
        <v>406.3</v>
      </c>
      <c r="F46">
        <v>404.6</v>
      </c>
      <c r="G46">
        <v>400.3</v>
      </c>
      <c r="H46">
        <v>399.6</v>
      </c>
      <c r="I46">
        <v>398.5</v>
      </c>
      <c r="J46">
        <v>399.2</v>
      </c>
      <c r="K46">
        <v>410.1</v>
      </c>
      <c r="L46">
        <v>431.8</v>
      </c>
      <c r="M46">
        <v>403.3</v>
      </c>
      <c r="N46"/>
    </row>
    <row r="47" spans="1:14" x14ac:dyDescent="0.3">
      <c r="A47">
        <v>2017</v>
      </c>
      <c r="B47">
        <v>399.8</v>
      </c>
      <c r="C47">
        <v>400.5</v>
      </c>
      <c r="D47">
        <v>401.7</v>
      </c>
      <c r="E47">
        <v>395.2</v>
      </c>
      <c r="F47">
        <v>396.6</v>
      </c>
      <c r="G47">
        <v>394.4</v>
      </c>
      <c r="H47">
        <v>392.5</v>
      </c>
      <c r="I47">
        <v>392.8</v>
      </c>
      <c r="J47">
        <v>392.8</v>
      </c>
      <c r="K47">
        <v>402</v>
      </c>
      <c r="L47">
        <v>397.8</v>
      </c>
      <c r="M47">
        <v>401.3</v>
      </c>
      <c r="N47"/>
    </row>
    <row r="48" spans="1:14" x14ac:dyDescent="0.3">
      <c r="A48">
        <v>2018</v>
      </c>
      <c r="B48">
        <v>386.2</v>
      </c>
      <c r="C48">
        <v>387.7</v>
      </c>
      <c r="D48">
        <v>385.1</v>
      </c>
      <c r="E48">
        <v>388.8</v>
      </c>
      <c r="F48">
        <v>387.8</v>
      </c>
      <c r="G48">
        <v>386.5</v>
      </c>
      <c r="H48">
        <v>385.5</v>
      </c>
      <c r="I48">
        <v>384.9</v>
      </c>
      <c r="J48">
        <v>380.2</v>
      </c>
      <c r="K48">
        <v>383.4</v>
      </c>
      <c r="L48">
        <v>387.4</v>
      </c>
      <c r="M48">
        <v>388.3</v>
      </c>
      <c r="N48"/>
    </row>
    <row r="49" spans="1:14" x14ac:dyDescent="0.3">
      <c r="A49">
        <v>2019</v>
      </c>
      <c r="B49">
        <v>385.3</v>
      </c>
      <c r="C49">
        <v>382</v>
      </c>
      <c r="D49">
        <v>379.4</v>
      </c>
      <c r="E49">
        <v>378.5</v>
      </c>
      <c r="F49">
        <v>377</v>
      </c>
      <c r="G49">
        <v>380.9</v>
      </c>
      <c r="H49">
        <v>374.8</v>
      </c>
      <c r="I49">
        <v>369.3</v>
      </c>
      <c r="J49">
        <v>371.5</v>
      </c>
      <c r="K49">
        <v>373.8</v>
      </c>
      <c r="L49">
        <v>375.7</v>
      </c>
      <c r="M49">
        <v>380.2</v>
      </c>
      <c r="N49"/>
    </row>
    <row r="50" spans="1:14" x14ac:dyDescent="0.3">
      <c r="A50">
        <v>2020</v>
      </c>
      <c r="B50">
        <v>376.3</v>
      </c>
      <c r="C50">
        <v>372.8</v>
      </c>
      <c r="D50">
        <v>365.3</v>
      </c>
      <c r="E50">
        <v>361.6</v>
      </c>
      <c r="F50">
        <v>360</v>
      </c>
      <c r="G50">
        <v>356.4</v>
      </c>
      <c r="H50">
        <v>369.5</v>
      </c>
      <c r="I50">
        <v>373.7</v>
      </c>
      <c r="J50">
        <v>374.9</v>
      </c>
      <c r="K50">
        <v>374.7</v>
      </c>
      <c r="L50">
        <v>376.2</v>
      </c>
      <c r="M50">
        <v>375.9</v>
      </c>
      <c r="N50"/>
    </row>
    <row r="51" spans="1:14" x14ac:dyDescent="0.3">
      <c r="A51">
        <v>2021</v>
      </c>
      <c r="B51">
        <v>368.2</v>
      </c>
      <c r="C51">
        <v>367.2</v>
      </c>
      <c r="D51">
        <v>372</v>
      </c>
      <c r="E51">
        <v>368.7</v>
      </c>
      <c r="F51">
        <v>369.4</v>
      </c>
      <c r="G51">
        <v>367.4</v>
      </c>
      <c r="H51">
        <v>364.34100000000001</v>
      </c>
      <c r="I51">
        <v>363.36799999999999</v>
      </c>
      <c r="J51">
        <v>362.97899999999998</v>
      </c>
      <c r="K51">
        <v>366.899</v>
      </c>
      <c r="L51">
        <v>366.9</v>
      </c>
      <c r="M51">
        <v>367.68099999999998</v>
      </c>
      <c r="N51"/>
    </row>
    <row r="52" spans="1:14" x14ac:dyDescent="0.3">
      <c r="A52">
        <v>2022</v>
      </c>
      <c r="B52">
        <v>373.02</v>
      </c>
      <c r="C52">
        <v>356.339</v>
      </c>
      <c r="D52">
        <v>368.238</v>
      </c>
      <c r="E52">
        <v>359.77699999999999</v>
      </c>
      <c r="F52">
        <v>363.66699999999997</v>
      </c>
      <c r="G52">
        <v>366.49900000000002</v>
      </c>
      <c r="H52">
        <v>360.21</v>
      </c>
      <c r="I52">
        <v>361.81400000000002</v>
      </c>
      <c r="J52">
        <v>357.28899999999999</v>
      </c>
      <c r="K52">
        <v>361.78100000000001</v>
      </c>
      <c r="L52">
        <v>359.01299999999998</v>
      </c>
      <c r="M52">
        <v>366.95800000000003</v>
      </c>
      <c r="N52"/>
    </row>
    <row r="53" spans="1:14" x14ac:dyDescent="0.3">
      <c r="A53">
        <v>2023</v>
      </c>
      <c r="B53">
        <v>357.67899999999997</v>
      </c>
      <c r="C53">
        <v>362.34899999999999</v>
      </c>
      <c r="D53">
        <v>361.91</v>
      </c>
      <c r="E53" t="s">
        <v>50</v>
      </c>
      <c r="F53" t="s">
        <v>50</v>
      </c>
      <c r="G53" t="s">
        <v>50</v>
      </c>
      <c r="H53" t="s">
        <v>50</v>
      </c>
      <c r="I53"/>
      <c r="J53"/>
      <c r="K53"/>
      <c r="L53"/>
      <c r="M53"/>
      <c r="N53"/>
    </row>
    <row r="54" spans="1:14" x14ac:dyDescent="0.3">
      <c r="A54" t="s">
        <v>46</v>
      </c>
      <c r="B54"/>
      <c r="C54"/>
      <c r="D54"/>
      <c r="E54"/>
      <c r="F54"/>
      <c r="G54"/>
      <c r="H54"/>
      <c r="J54"/>
      <c r="K54"/>
      <c r="L54"/>
      <c r="M54"/>
      <c r="N54"/>
    </row>
    <row r="55" spans="1:14" x14ac:dyDescent="0.3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3">
      <c r="A56" t="s">
        <v>21</v>
      </c>
      <c r="B56" t="s">
        <v>51</v>
      </c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3">
      <c r="A57" t="s">
        <v>52</v>
      </c>
      <c r="B57" t="s">
        <v>53</v>
      </c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3">
      <c r="A58" t="s">
        <v>54</v>
      </c>
      <c r="B58" t="s">
        <v>12</v>
      </c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3">
      <c r="A59" t="s">
        <v>30</v>
      </c>
      <c r="B59">
        <v>7912</v>
      </c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3">
      <c r="A61" t="s">
        <v>31</v>
      </c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3">
      <c r="A62" t="s">
        <v>32</v>
      </c>
      <c r="B62" t="s">
        <v>33</v>
      </c>
      <c r="C62" t="s">
        <v>34</v>
      </c>
      <c r="D62" t="s">
        <v>35</v>
      </c>
      <c r="E62" t="s">
        <v>36</v>
      </c>
      <c r="F62" t="s">
        <v>37</v>
      </c>
      <c r="G62" t="s">
        <v>38</v>
      </c>
      <c r="H62" t="s">
        <v>39</v>
      </c>
      <c r="I62" t="s">
        <v>40</v>
      </c>
      <c r="J62" t="s">
        <v>41</v>
      </c>
      <c r="K62" t="s">
        <v>42</v>
      </c>
      <c r="L62" t="s">
        <v>43</v>
      </c>
      <c r="M62" t="s">
        <v>44</v>
      </c>
      <c r="N62"/>
    </row>
    <row r="63" spans="1:14" x14ac:dyDescent="0.3">
      <c r="A63">
        <v>1979</v>
      </c>
      <c r="B63"/>
      <c r="C63"/>
      <c r="D63"/>
      <c r="E63"/>
      <c r="F63"/>
      <c r="G63"/>
      <c r="H63"/>
      <c r="I63"/>
      <c r="J63"/>
      <c r="K63"/>
      <c r="L63"/>
      <c r="M63">
        <v>100</v>
      </c>
      <c r="N63"/>
    </row>
    <row r="64" spans="1:14" x14ac:dyDescent="0.3">
      <c r="A64">
        <v>1980</v>
      </c>
      <c r="B64">
        <v>103.1</v>
      </c>
      <c r="C64">
        <v>104.3</v>
      </c>
      <c r="D64">
        <v>105.8</v>
      </c>
      <c r="E64">
        <v>106.4</v>
      </c>
      <c r="F64">
        <v>106.9</v>
      </c>
      <c r="G64">
        <v>107.5</v>
      </c>
      <c r="H64">
        <v>107.9</v>
      </c>
      <c r="I64">
        <v>108.1</v>
      </c>
      <c r="J64">
        <v>109</v>
      </c>
      <c r="K64">
        <v>109.1</v>
      </c>
      <c r="L64">
        <v>109.5</v>
      </c>
      <c r="M64">
        <v>109.5</v>
      </c>
      <c r="N64"/>
    </row>
    <row r="65" spans="1:14" x14ac:dyDescent="0.3">
      <c r="A65">
        <v>1981</v>
      </c>
      <c r="B65">
        <v>117</v>
      </c>
      <c r="C65">
        <v>117.7</v>
      </c>
      <c r="D65">
        <v>119</v>
      </c>
      <c r="E65">
        <v>120.2</v>
      </c>
      <c r="F65">
        <v>119.7</v>
      </c>
      <c r="G65">
        <v>120</v>
      </c>
      <c r="H65">
        <v>121.1</v>
      </c>
      <c r="I65">
        <v>121.3</v>
      </c>
      <c r="J65">
        <v>122.1</v>
      </c>
      <c r="K65">
        <v>122.6</v>
      </c>
      <c r="L65">
        <v>123.3</v>
      </c>
      <c r="M65">
        <v>123.9</v>
      </c>
      <c r="N65"/>
    </row>
    <row r="66" spans="1:14" x14ac:dyDescent="0.3">
      <c r="A66">
        <v>1982</v>
      </c>
      <c r="B66">
        <v>127.8</v>
      </c>
      <c r="C66">
        <v>128</v>
      </c>
      <c r="D66">
        <v>129.1</v>
      </c>
      <c r="E66">
        <v>131.30000000000001</v>
      </c>
      <c r="F66">
        <v>133.1</v>
      </c>
      <c r="G66">
        <v>133.30000000000001</v>
      </c>
      <c r="H66">
        <v>133.5</v>
      </c>
      <c r="I66">
        <v>133.80000000000001</v>
      </c>
      <c r="J66">
        <v>134</v>
      </c>
      <c r="K66">
        <v>135</v>
      </c>
      <c r="L66">
        <v>135.5</v>
      </c>
      <c r="M66">
        <v>137.9</v>
      </c>
      <c r="N66"/>
    </row>
    <row r="67" spans="1:14" x14ac:dyDescent="0.3">
      <c r="A67">
        <v>1983</v>
      </c>
      <c r="B67">
        <v>143.5</v>
      </c>
      <c r="C67">
        <v>144.6</v>
      </c>
      <c r="D67">
        <v>145.1</v>
      </c>
      <c r="E67">
        <v>145.80000000000001</v>
      </c>
      <c r="F67">
        <v>146.4</v>
      </c>
      <c r="G67">
        <v>147</v>
      </c>
      <c r="H67">
        <v>147.4</v>
      </c>
      <c r="I67">
        <v>148</v>
      </c>
      <c r="J67">
        <v>148.30000000000001</v>
      </c>
      <c r="K67">
        <v>149.19999999999999</v>
      </c>
      <c r="L67">
        <v>149.80000000000001</v>
      </c>
      <c r="M67">
        <v>149.80000000000001</v>
      </c>
      <c r="N67"/>
    </row>
    <row r="68" spans="1:14" x14ac:dyDescent="0.3">
      <c r="A68">
        <v>1984</v>
      </c>
      <c r="B68">
        <v>156.69999999999999</v>
      </c>
      <c r="C68">
        <v>157.19999999999999</v>
      </c>
      <c r="D68">
        <v>157.69999999999999</v>
      </c>
      <c r="E68">
        <v>157.80000000000001</v>
      </c>
      <c r="F68">
        <v>158.30000000000001</v>
      </c>
      <c r="G68">
        <v>158.4</v>
      </c>
      <c r="H68">
        <v>158.6</v>
      </c>
      <c r="I68">
        <v>158.9</v>
      </c>
      <c r="J68">
        <v>159.4</v>
      </c>
      <c r="K68">
        <v>159.4</v>
      </c>
      <c r="L68">
        <v>161.9</v>
      </c>
      <c r="M68">
        <v>161.9</v>
      </c>
      <c r="N68"/>
    </row>
    <row r="69" spans="1:14" x14ac:dyDescent="0.3">
      <c r="A69">
        <v>1985</v>
      </c>
      <c r="B69">
        <v>168</v>
      </c>
      <c r="C69">
        <v>169.7</v>
      </c>
      <c r="D69">
        <v>169.6</v>
      </c>
      <c r="E69">
        <v>170.2</v>
      </c>
      <c r="F69">
        <v>170.7</v>
      </c>
      <c r="G69">
        <v>170.7</v>
      </c>
      <c r="H69">
        <v>171.8</v>
      </c>
      <c r="I69">
        <v>171.8</v>
      </c>
      <c r="J69">
        <v>170.4</v>
      </c>
      <c r="K69">
        <v>171.3</v>
      </c>
      <c r="L69">
        <v>171.6</v>
      </c>
      <c r="M69">
        <v>171.8</v>
      </c>
      <c r="N69"/>
    </row>
    <row r="70" spans="1:14" x14ac:dyDescent="0.3">
      <c r="A70">
        <v>1986</v>
      </c>
      <c r="B70">
        <v>178.6</v>
      </c>
      <c r="C70">
        <v>178.8</v>
      </c>
      <c r="D70">
        <v>177.6</v>
      </c>
      <c r="E70">
        <v>179.5</v>
      </c>
      <c r="F70">
        <v>180.1</v>
      </c>
      <c r="G70">
        <v>180.1</v>
      </c>
      <c r="H70">
        <v>180.4</v>
      </c>
      <c r="I70">
        <v>180.7</v>
      </c>
      <c r="J70">
        <v>181.1</v>
      </c>
      <c r="K70">
        <v>181.9</v>
      </c>
      <c r="L70">
        <v>182.2</v>
      </c>
      <c r="M70">
        <v>182.5</v>
      </c>
      <c r="N70"/>
    </row>
    <row r="71" spans="1:14" x14ac:dyDescent="0.3">
      <c r="A71">
        <v>1987</v>
      </c>
      <c r="B71">
        <v>188</v>
      </c>
      <c r="C71">
        <v>189.9</v>
      </c>
      <c r="D71">
        <v>190.3</v>
      </c>
      <c r="E71">
        <v>190.5</v>
      </c>
      <c r="F71">
        <v>190.3</v>
      </c>
      <c r="G71">
        <v>190.6</v>
      </c>
      <c r="H71">
        <v>191.3</v>
      </c>
      <c r="I71">
        <v>191.8</v>
      </c>
      <c r="J71">
        <v>192.5</v>
      </c>
      <c r="K71">
        <v>193.1</v>
      </c>
      <c r="L71">
        <v>193.7</v>
      </c>
      <c r="M71">
        <v>193.9</v>
      </c>
      <c r="N71"/>
    </row>
    <row r="72" spans="1:14" x14ac:dyDescent="0.3">
      <c r="A72">
        <v>1988</v>
      </c>
      <c r="B72">
        <v>199.9</v>
      </c>
      <c r="C72">
        <v>201.4</v>
      </c>
      <c r="D72">
        <v>202.5</v>
      </c>
      <c r="E72">
        <v>203</v>
      </c>
      <c r="F72">
        <v>203.3</v>
      </c>
      <c r="G72">
        <v>203.2</v>
      </c>
      <c r="H72">
        <v>204.3</v>
      </c>
      <c r="I72">
        <v>204.9</v>
      </c>
      <c r="J72">
        <v>206</v>
      </c>
      <c r="K72">
        <v>207</v>
      </c>
      <c r="L72">
        <v>207.6</v>
      </c>
      <c r="M72">
        <v>207.7</v>
      </c>
      <c r="N72"/>
    </row>
    <row r="73" spans="1:14" x14ac:dyDescent="0.3">
      <c r="A73">
        <v>1989</v>
      </c>
      <c r="B73">
        <v>216.7</v>
      </c>
      <c r="C73">
        <v>217.5</v>
      </c>
      <c r="D73">
        <v>218.2</v>
      </c>
      <c r="E73">
        <v>218.4</v>
      </c>
      <c r="F73">
        <v>218.6</v>
      </c>
      <c r="G73">
        <v>219.3</v>
      </c>
      <c r="H73">
        <v>220.1</v>
      </c>
      <c r="I73">
        <v>220.8</v>
      </c>
      <c r="J73">
        <v>222</v>
      </c>
      <c r="K73">
        <v>222.6</v>
      </c>
      <c r="L73">
        <v>223</v>
      </c>
      <c r="M73">
        <v>222.7</v>
      </c>
      <c r="N73"/>
    </row>
    <row r="74" spans="1:14" x14ac:dyDescent="0.3">
      <c r="A74">
        <v>1990</v>
      </c>
      <c r="B74">
        <v>229.9</v>
      </c>
      <c r="C74">
        <v>231.1</v>
      </c>
      <c r="D74">
        <v>232.1</v>
      </c>
      <c r="E74">
        <v>232.3</v>
      </c>
      <c r="F74">
        <v>232.6</v>
      </c>
      <c r="G74">
        <v>232.8</v>
      </c>
      <c r="H74">
        <v>234.2</v>
      </c>
      <c r="I74">
        <v>235.7</v>
      </c>
      <c r="J74">
        <v>236.2</v>
      </c>
      <c r="K74">
        <v>237.7</v>
      </c>
      <c r="L74">
        <v>238.7</v>
      </c>
      <c r="M74">
        <v>238.7</v>
      </c>
      <c r="N74"/>
    </row>
    <row r="75" spans="1:14" x14ac:dyDescent="0.3">
      <c r="A75">
        <v>1991</v>
      </c>
      <c r="B75">
        <v>246.4</v>
      </c>
      <c r="C75">
        <v>249.1</v>
      </c>
      <c r="D75">
        <v>249.5</v>
      </c>
      <c r="E75">
        <v>248.8</v>
      </c>
      <c r="F75">
        <v>248.9</v>
      </c>
      <c r="G75">
        <v>249.2</v>
      </c>
      <c r="H75">
        <v>249.8</v>
      </c>
      <c r="I75">
        <v>250.9</v>
      </c>
      <c r="J75">
        <v>251.6</v>
      </c>
      <c r="K75">
        <v>252.8</v>
      </c>
      <c r="L75">
        <v>253.3</v>
      </c>
      <c r="M75">
        <v>253.6</v>
      </c>
      <c r="N75"/>
    </row>
    <row r="76" spans="1:14" x14ac:dyDescent="0.3">
      <c r="A76">
        <v>1992</v>
      </c>
      <c r="B76">
        <v>259.8</v>
      </c>
      <c r="C76">
        <v>261.5</v>
      </c>
      <c r="D76">
        <v>261.89999999999998</v>
      </c>
      <c r="E76">
        <v>262</v>
      </c>
      <c r="F76">
        <v>262</v>
      </c>
      <c r="G76">
        <v>262.10000000000002</v>
      </c>
      <c r="H76">
        <v>262.7</v>
      </c>
      <c r="I76">
        <v>263.7</v>
      </c>
      <c r="J76">
        <v>264.7</v>
      </c>
      <c r="K76">
        <v>264.89999999999998</v>
      </c>
      <c r="L76">
        <v>265</v>
      </c>
      <c r="M76">
        <v>265.10000000000002</v>
      </c>
      <c r="N76"/>
    </row>
    <row r="77" spans="1:14" x14ac:dyDescent="0.3">
      <c r="A77">
        <v>1993</v>
      </c>
      <c r="B77">
        <v>273.89999999999998</v>
      </c>
      <c r="C77">
        <v>274.7</v>
      </c>
      <c r="D77">
        <v>275</v>
      </c>
      <c r="E77">
        <v>275</v>
      </c>
      <c r="F77">
        <v>275</v>
      </c>
      <c r="G77">
        <v>275.3</v>
      </c>
      <c r="H77">
        <v>275.8</v>
      </c>
      <c r="I77">
        <v>277.2</v>
      </c>
      <c r="J77">
        <v>278.3</v>
      </c>
      <c r="K77">
        <v>278.8</v>
      </c>
      <c r="L77">
        <v>278.8</v>
      </c>
      <c r="M77">
        <v>279.39999999999998</v>
      </c>
      <c r="N77"/>
    </row>
    <row r="78" spans="1:14" x14ac:dyDescent="0.3">
      <c r="A78">
        <v>1994</v>
      </c>
      <c r="B78">
        <v>285.5</v>
      </c>
      <c r="C78">
        <v>285.3</v>
      </c>
      <c r="D78">
        <v>286.8</v>
      </c>
      <c r="E78">
        <v>286.89999999999998</v>
      </c>
      <c r="F78">
        <v>287</v>
      </c>
      <c r="G78">
        <v>287.2</v>
      </c>
      <c r="H78">
        <v>287.60000000000002</v>
      </c>
      <c r="I78">
        <v>288.5</v>
      </c>
      <c r="J78">
        <v>288.8</v>
      </c>
      <c r="K78">
        <v>290.39999999999998</v>
      </c>
      <c r="L78">
        <v>290.5</v>
      </c>
      <c r="M78">
        <v>290.60000000000002</v>
      </c>
      <c r="N78"/>
    </row>
    <row r="79" spans="1:14" x14ac:dyDescent="0.3">
      <c r="A79">
        <v>1995</v>
      </c>
      <c r="B79">
        <v>298.89999999999998</v>
      </c>
      <c r="C79">
        <v>300.7</v>
      </c>
      <c r="D79">
        <v>302</v>
      </c>
      <c r="E79">
        <v>302.3</v>
      </c>
      <c r="F79">
        <v>303.2</v>
      </c>
      <c r="G79">
        <v>305.2</v>
      </c>
      <c r="H79">
        <v>306.2</v>
      </c>
      <c r="I79">
        <v>306.39999999999998</v>
      </c>
      <c r="J79">
        <v>307.5</v>
      </c>
      <c r="K79">
        <v>312.8</v>
      </c>
      <c r="L79">
        <v>315.10000000000002</v>
      </c>
      <c r="M79">
        <v>315.39999999999998</v>
      </c>
      <c r="N79"/>
    </row>
    <row r="80" spans="1:14" x14ac:dyDescent="0.3">
      <c r="A80">
        <v>1996</v>
      </c>
      <c r="B80">
        <v>325</v>
      </c>
      <c r="C80">
        <v>326.5</v>
      </c>
      <c r="D80">
        <v>326.60000000000002</v>
      </c>
      <c r="E80">
        <v>326.89999999999998</v>
      </c>
      <c r="F80">
        <v>326.8</v>
      </c>
      <c r="G80">
        <v>327.10000000000002</v>
      </c>
      <c r="H80">
        <v>328</v>
      </c>
      <c r="I80">
        <v>328</v>
      </c>
      <c r="J80">
        <v>328.8</v>
      </c>
      <c r="K80">
        <v>333.4</v>
      </c>
      <c r="L80">
        <v>333.9</v>
      </c>
      <c r="M80">
        <v>333.8</v>
      </c>
      <c r="N80"/>
    </row>
    <row r="81" spans="1:14" x14ac:dyDescent="0.3">
      <c r="A81">
        <v>1997</v>
      </c>
      <c r="B81">
        <v>341.5</v>
      </c>
      <c r="C81">
        <v>341.9</v>
      </c>
      <c r="D81">
        <v>342.2</v>
      </c>
      <c r="E81">
        <v>342.4</v>
      </c>
      <c r="F81">
        <v>342.4</v>
      </c>
      <c r="G81">
        <v>342.6</v>
      </c>
      <c r="H81">
        <v>343.2</v>
      </c>
      <c r="I81">
        <v>343.5</v>
      </c>
      <c r="J81">
        <v>344.1</v>
      </c>
      <c r="K81">
        <v>344.6</v>
      </c>
      <c r="L81">
        <v>345.6</v>
      </c>
      <c r="M81">
        <v>345.9</v>
      </c>
      <c r="N81"/>
    </row>
    <row r="82" spans="1:14" x14ac:dyDescent="0.3">
      <c r="A82">
        <v>1998</v>
      </c>
      <c r="B82">
        <v>355.2</v>
      </c>
      <c r="C82">
        <v>356.2</v>
      </c>
      <c r="D82">
        <v>357.1</v>
      </c>
      <c r="E82">
        <v>357.8</v>
      </c>
      <c r="F82">
        <v>357.3</v>
      </c>
      <c r="G82">
        <v>357.4</v>
      </c>
      <c r="H82">
        <v>357.4</v>
      </c>
      <c r="I82">
        <v>357.5</v>
      </c>
      <c r="J82">
        <v>358.1</v>
      </c>
      <c r="K82">
        <v>359.5</v>
      </c>
      <c r="L82">
        <v>360.4</v>
      </c>
      <c r="M82">
        <v>360.4</v>
      </c>
      <c r="N82"/>
    </row>
    <row r="83" spans="1:14" x14ac:dyDescent="0.3">
      <c r="A83">
        <v>1999</v>
      </c>
      <c r="B83">
        <v>368.8</v>
      </c>
      <c r="C83">
        <v>369.1</v>
      </c>
      <c r="D83">
        <v>369.9</v>
      </c>
      <c r="E83">
        <v>370.2</v>
      </c>
      <c r="F83">
        <v>370.2</v>
      </c>
      <c r="G83">
        <v>370.7</v>
      </c>
      <c r="H83"/>
      <c r="I83"/>
      <c r="J83"/>
      <c r="K83"/>
      <c r="L83"/>
      <c r="M83"/>
      <c r="N83"/>
    </row>
    <row r="84" spans="1:14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3">
      <c r="A85" t="s">
        <v>21</v>
      </c>
      <c r="B85" t="s">
        <v>55</v>
      </c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3">
      <c r="A86" t="s">
        <v>52</v>
      </c>
      <c r="B86" t="s">
        <v>53</v>
      </c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3">
      <c r="A87" t="s">
        <v>54</v>
      </c>
      <c r="B87" t="s">
        <v>56</v>
      </c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3">
      <c r="A88" t="s">
        <v>30</v>
      </c>
      <c r="B88">
        <v>7912</v>
      </c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3">
      <c r="A90" t="s">
        <v>31</v>
      </c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3">
      <c r="A91" t="s">
        <v>32</v>
      </c>
      <c r="B91" t="s">
        <v>33</v>
      </c>
      <c r="C91" t="s">
        <v>34</v>
      </c>
      <c r="D91" t="s">
        <v>35</v>
      </c>
      <c r="E91" t="s">
        <v>36</v>
      </c>
      <c r="F91" t="s">
        <v>37</v>
      </c>
      <c r="G91" t="s">
        <v>38</v>
      </c>
      <c r="H91" t="s">
        <v>39</v>
      </c>
      <c r="I91" t="s">
        <v>40</v>
      </c>
      <c r="J91" t="s">
        <v>41</v>
      </c>
      <c r="K91" t="s">
        <v>42</v>
      </c>
      <c r="L91" t="s">
        <v>43</v>
      </c>
      <c r="M91" t="s">
        <v>44</v>
      </c>
      <c r="N91"/>
    </row>
    <row r="92" spans="1:14" x14ac:dyDescent="0.3">
      <c r="A92">
        <v>1977</v>
      </c>
      <c r="B92"/>
      <c r="C92"/>
      <c r="D92"/>
      <c r="E92"/>
      <c r="F92"/>
      <c r="G92"/>
      <c r="H92"/>
      <c r="I92"/>
      <c r="J92"/>
      <c r="K92"/>
      <c r="L92"/>
      <c r="M92">
        <v>86.6</v>
      </c>
      <c r="N92"/>
    </row>
    <row r="93" spans="1:14" x14ac:dyDescent="0.3">
      <c r="A93">
        <v>1978</v>
      </c>
      <c r="B93">
        <v>89.1</v>
      </c>
      <c r="C93">
        <v>90.6</v>
      </c>
      <c r="D93">
        <v>88.6</v>
      </c>
      <c r="E93">
        <v>89.3</v>
      </c>
      <c r="F93">
        <v>89.3</v>
      </c>
      <c r="G93">
        <v>90</v>
      </c>
      <c r="H93">
        <v>90.7</v>
      </c>
      <c r="I93">
        <v>90.7</v>
      </c>
      <c r="J93">
        <v>90.9</v>
      </c>
      <c r="K93">
        <v>91.9</v>
      </c>
      <c r="L93">
        <v>92</v>
      </c>
      <c r="M93">
        <v>92</v>
      </c>
      <c r="N93"/>
    </row>
    <row r="94" spans="1:14" x14ac:dyDescent="0.3">
      <c r="A94">
        <v>1979</v>
      </c>
      <c r="B94">
        <v>96.5</v>
      </c>
      <c r="C94">
        <v>96</v>
      </c>
      <c r="D94">
        <v>96.9</v>
      </c>
      <c r="E94">
        <v>97.2</v>
      </c>
      <c r="F94">
        <v>97.7</v>
      </c>
      <c r="G94">
        <v>97.7</v>
      </c>
      <c r="H94">
        <v>98.9</v>
      </c>
      <c r="I94">
        <v>99.2</v>
      </c>
      <c r="J94">
        <v>98.9</v>
      </c>
      <c r="K94">
        <v>99.8</v>
      </c>
      <c r="L94">
        <v>100</v>
      </c>
      <c r="M94">
        <v>100</v>
      </c>
      <c r="N94"/>
    </row>
    <row r="95" spans="1:14" x14ac:dyDescent="0.3">
      <c r="A95">
        <v>1980</v>
      </c>
      <c r="B95">
        <v>104.8</v>
      </c>
      <c r="C95">
        <v>104.7</v>
      </c>
      <c r="D95">
        <v>105.8</v>
      </c>
      <c r="E95">
        <v>106.7</v>
      </c>
      <c r="F95">
        <v>106.7</v>
      </c>
      <c r="G95">
        <v>106.7</v>
      </c>
      <c r="H95">
        <v>107.6</v>
      </c>
      <c r="I95">
        <v>106.6</v>
      </c>
      <c r="J95">
        <v>109.7</v>
      </c>
      <c r="K95">
        <v>110.2</v>
      </c>
      <c r="L95">
        <v>111.8</v>
      </c>
      <c r="M95">
        <v>111.8</v>
      </c>
      <c r="N95"/>
    </row>
    <row r="96" spans="1:14" x14ac:dyDescent="0.3">
      <c r="A96">
        <v>1981</v>
      </c>
      <c r="B96">
        <v>116.4</v>
      </c>
      <c r="C96">
        <v>116.3</v>
      </c>
      <c r="D96">
        <v>116.3</v>
      </c>
      <c r="E96">
        <v>116.3</v>
      </c>
      <c r="F96">
        <v>117.6</v>
      </c>
      <c r="G96">
        <v>119</v>
      </c>
      <c r="H96">
        <v>122.1</v>
      </c>
      <c r="I96">
        <v>123.4</v>
      </c>
      <c r="J96">
        <v>125.4</v>
      </c>
      <c r="K96">
        <v>126.3</v>
      </c>
      <c r="L96">
        <v>126.3</v>
      </c>
      <c r="M96">
        <v>126.8</v>
      </c>
      <c r="N96"/>
    </row>
    <row r="97" spans="1:14" x14ac:dyDescent="0.3">
      <c r="A97">
        <v>1982</v>
      </c>
      <c r="B97">
        <v>137.6</v>
      </c>
      <c r="C97">
        <v>138.1</v>
      </c>
      <c r="D97">
        <v>139.5</v>
      </c>
      <c r="E97">
        <v>142</v>
      </c>
      <c r="F97">
        <v>144</v>
      </c>
      <c r="G97">
        <v>144</v>
      </c>
      <c r="H97">
        <v>145.9</v>
      </c>
      <c r="I97">
        <v>146.5</v>
      </c>
      <c r="J97">
        <v>147.69999999999999</v>
      </c>
      <c r="K97">
        <v>148.9</v>
      </c>
      <c r="L97">
        <v>148.9</v>
      </c>
      <c r="M97">
        <v>156.1</v>
      </c>
      <c r="N97"/>
    </row>
    <row r="98" spans="1:14" x14ac:dyDescent="0.3">
      <c r="A98">
        <v>1983</v>
      </c>
      <c r="B98">
        <v>167</v>
      </c>
      <c r="C98">
        <v>167</v>
      </c>
      <c r="D98">
        <v>167</v>
      </c>
      <c r="E98">
        <v>167</v>
      </c>
      <c r="F98">
        <v>167.8</v>
      </c>
      <c r="G98">
        <v>167.8</v>
      </c>
      <c r="H98">
        <v>170</v>
      </c>
      <c r="I98">
        <v>171.4</v>
      </c>
      <c r="J98">
        <v>172.7</v>
      </c>
      <c r="K98">
        <v>172.7</v>
      </c>
      <c r="L98">
        <v>172.6</v>
      </c>
      <c r="M98">
        <v>172.6</v>
      </c>
      <c r="N98"/>
    </row>
    <row r="99" spans="1:14" x14ac:dyDescent="0.3">
      <c r="A99">
        <v>1984</v>
      </c>
      <c r="B99">
        <v>181.9</v>
      </c>
      <c r="C99">
        <v>180.9</v>
      </c>
      <c r="D99">
        <v>180.9</v>
      </c>
      <c r="E99">
        <v>180.9</v>
      </c>
      <c r="F99">
        <v>180.9</v>
      </c>
      <c r="G99">
        <v>180.9</v>
      </c>
      <c r="H99">
        <v>183.1</v>
      </c>
      <c r="I99">
        <v>182.5</v>
      </c>
      <c r="J99">
        <v>182.5</v>
      </c>
      <c r="K99">
        <v>182.4</v>
      </c>
      <c r="L99">
        <v>183.4</v>
      </c>
      <c r="M99">
        <v>183.4</v>
      </c>
      <c r="N99"/>
    </row>
    <row r="100" spans="1:14" x14ac:dyDescent="0.3">
      <c r="A100">
        <v>1985</v>
      </c>
      <c r="B100">
        <v>192.6</v>
      </c>
      <c r="C100">
        <v>196.1</v>
      </c>
      <c r="D100">
        <v>196.1</v>
      </c>
      <c r="E100">
        <v>198.3</v>
      </c>
      <c r="F100">
        <v>200</v>
      </c>
      <c r="G100">
        <v>200</v>
      </c>
      <c r="H100">
        <v>200</v>
      </c>
      <c r="I100">
        <v>200</v>
      </c>
      <c r="J100">
        <v>200</v>
      </c>
      <c r="K100">
        <v>202.9</v>
      </c>
      <c r="L100">
        <v>203.3</v>
      </c>
      <c r="M100">
        <v>203.1</v>
      </c>
      <c r="N100"/>
    </row>
    <row r="101" spans="1:14" x14ac:dyDescent="0.3">
      <c r="A101">
        <v>1986</v>
      </c>
      <c r="B101">
        <v>210.9</v>
      </c>
      <c r="C101">
        <v>210.9</v>
      </c>
      <c r="D101">
        <v>210.9</v>
      </c>
      <c r="E101">
        <v>213.4</v>
      </c>
      <c r="F101">
        <v>215.2</v>
      </c>
      <c r="G101">
        <v>215.2</v>
      </c>
      <c r="H101">
        <v>215.2</v>
      </c>
      <c r="I101">
        <v>215.2</v>
      </c>
      <c r="J101">
        <v>215.2</v>
      </c>
      <c r="K101">
        <v>215.9</v>
      </c>
      <c r="L101">
        <v>216.1</v>
      </c>
      <c r="M101">
        <v>216.1</v>
      </c>
      <c r="N101"/>
    </row>
    <row r="102" spans="1:14" x14ac:dyDescent="0.3">
      <c r="A102">
        <v>1987</v>
      </c>
      <c r="B102">
        <v>227.9</v>
      </c>
      <c r="C102">
        <v>227.9</v>
      </c>
      <c r="D102">
        <v>227.9</v>
      </c>
      <c r="E102">
        <v>227.9</v>
      </c>
      <c r="F102">
        <v>227.9</v>
      </c>
      <c r="G102">
        <v>227.9</v>
      </c>
      <c r="H102">
        <v>228.3</v>
      </c>
      <c r="I102">
        <v>228.3</v>
      </c>
      <c r="J102">
        <v>228.3</v>
      </c>
      <c r="K102">
        <v>229.2</v>
      </c>
      <c r="L102">
        <v>230.2</v>
      </c>
      <c r="M102">
        <v>230.2</v>
      </c>
      <c r="N102"/>
    </row>
    <row r="103" spans="1:14" x14ac:dyDescent="0.3">
      <c r="A103">
        <v>1988</v>
      </c>
      <c r="B103">
        <v>242.5</v>
      </c>
      <c r="C103">
        <v>242.5</v>
      </c>
      <c r="D103">
        <v>242.5</v>
      </c>
      <c r="E103">
        <v>243</v>
      </c>
      <c r="F103">
        <v>243</v>
      </c>
      <c r="G103">
        <v>243</v>
      </c>
      <c r="H103">
        <v>243</v>
      </c>
      <c r="I103">
        <v>243</v>
      </c>
      <c r="J103">
        <v>243.9</v>
      </c>
      <c r="K103">
        <v>245.3</v>
      </c>
      <c r="L103">
        <v>245.3</v>
      </c>
      <c r="M103">
        <v>245.3</v>
      </c>
      <c r="N103"/>
    </row>
    <row r="104" spans="1:14" x14ac:dyDescent="0.3">
      <c r="A104">
        <v>1989</v>
      </c>
      <c r="B104">
        <v>257.8</v>
      </c>
      <c r="C104">
        <v>257.8</v>
      </c>
      <c r="D104">
        <v>257.8</v>
      </c>
      <c r="E104">
        <v>257.8</v>
      </c>
      <c r="F104">
        <v>258.8</v>
      </c>
      <c r="G104">
        <v>259</v>
      </c>
      <c r="H104">
        <v>259</v>
      </c>
      <c r="I104">
        <v>259</v>
      </c>
      <c r="J104">
        <v>260</v>
      </c>
      <c r="K104">
        <v>261.39999999999998</v>
      </c>
      <c r="L104">
        <v>261.39999999999998</v>
      </c>
      <c r="M104">
        <v>261.39999999999998</v>
      </c>
      <c r="N104"/>
    </row>
    <row r="105" spans="1:14" x14ac:dyDescent="0.3">
      <c r="A105">
        <v>1990</v>
      </c>
      <c r="B105">
        <v>272.39999999999998</v>
      </c>
      <c r="C105">
        <v>272.39999999999998</v>
      </c>
      <c r="D105">
        <v>272.39999999999998</v>
      </c>
      <c r="E105">
        <v>272.8</v>
      </c>
      <c r="F105">
        <v>273.60000000000002</v>
      </c>
      <c r="G105">
        <v>273.60000000000002</v>
      </c>
      <c r="H105">
        <v>273.5</v>
      </c>
      <c r="I105">
        <v>273.5</v>
      </c>
      <c r="J105">
        <v>273.5</v>
      </c>
      <c r="K105">
        <v>275.5</v>
      </c>
      <c r="L105">
        <v>275.5</v>
      </c>
      <c r="M105">
        <v>275.5</v>
      </c>
      <c r="N105"/>
    </row>
    <row r="106" spans="1:14" x14ac:dyDescent="0.3">
      <c r="A106">
        <v>1991</v>
      </c>
      <c r="B106">
        <v>282.5</v>
      </c>
      <c r="C106">
        <v>282.8</v>
      </c>
      <c r="D106">
        <v>282.8</v>
      </c>
      <c r="E106">
        <v>275.5</v>
      </c>
      <c r="F106">
        <v>276.60000000000002</v>
      </c>
      <c r="G106">
        <v>276.60000000000002</v>
      </c>
      <c r="H106">
        <v>276.60000000000002</v>
      </c>
      <c r="I106">
        <v>277.89999999999998</v>
      </c>
      <c r="J106">
        <v>277.89999999999998</v>
      </c>
      <c r="K106">
        <v>278.39999999999998</v>
      </c>
      <c r="L106">
        <v>278.39999999999998</v>
      </c>
      <c r="M106">
        <v>279.5</v>
      </c>
      <c r="N106"/>
    </row>
    <row r="107" spans="1:14" x14ac:dyDescent="0.3">
      <c r="A107">
        <v>1992</v>
      </c>
      <c r="B107">
        <v>289.10000000000002</v>
      </c>
      <c r="C107">
        <v>289.10000000000002</v>
      </c>
      <c r="D107">
        <v>289.10000000000002</v>
      </c>
      <c r="E107">
        <v>289.10000000000002</v>
      </c>
      <c r="F107">
        <v>289.7</v>
      </c>
      <c r="G107">
        <v>289.7</v>
      </c>
      <c r="H107">
        <v>289.7</v>
      </c>
      <c r="I107">
        <v>289.7</v>
      </c>
      <c r="J107">
        <v>289.7</v>
      </c>
      <c r="K107">
        <v>290</v>
      </c>
      <c r="L107">
        <v>290</v>
      </c>
      <c r="M107">
        <v>290</v>
      </c>
      <c r="N107"/>
    </row>
    <row r="108" spans="1:14" x14ac:dyDescent="0.3">
      <c r="A108">
        <v>1993</v>
      </c>
      <c r="B108">
        <v>306.2</v>
      </c>
      <c r="C108">
        <v>306.2</v>
      </c>
      <c r="D108">
        <v>306.2</v>
      </c>
      <c r="E108">
        <v>302.8</v>
      </c>
      <c r="F108">
        <v>303.7</v>
      </c>
      <c r="G108">
        <v>303.7</v>
      </c>
      <c r="H108">
        <v>303.7</v>
      </c>
      <c r="I108">
        <v>303.7</v>
      </c>
      <c r="J108">
        <v>301.7</v>
      </c>
      <c r="K108">
        <v>302</v>
      </c>
      <c r="L108">
        <v>299.2</v>
      </c>
      <c r="M108">
        <v>299.2</v>
      </c>
      <c r="N108"/>
    </row>
    <row r="109" spans="1:14" x14ac:dyDescent="0.3">
      <c r="A109">
        <v>1994</v>
      </c>
      <c r="B109">
        <v>302.60000000000002</v>
      </c>
      <c r="C109">
        <v>302.60000000000002</v>
      </c>
      <c r="D109">
        <v>305</v>
      </c>
      <c r="E109">
        <v>305</v>
      </c>
      <c r="F109">
        <v>305</v>
      </c>
      <c r="G109">
        <v>305.60000000000002</v>
      </c>
      <c r="H109">
        <v>305.60000000000002</v>
      </c>
      <c r="I109">
        <v>305.60000000000002</v>
      </c>
      <c r="J109">
        <v>305.60000000000002</v>
      </c>
      <c r="K109">
        <v>305.89999999999998</v>
      </c>
      <c r="L109">
        <v>305.89999999999998</v>
      </c>
      <c r="M109">
        <v>305.89999999999998</v>
      </c>
      <c r="N109"/>
    </row>
    <row r="110" spans="1:14" x14ac:dyDescent="0.3">
      <c r="A110">
        <v>1995</v>
      </c>
      <c r="B110">
        <v>320.10000000000002</v>
      </c>
      <c r="C110">
        <v>321.39999999999998</v>
      </c>
      <c r="D110">
        <v>321.39999999999998</v>
      </c>
      <c r="E110">
        <v>321.39999999999998</v>
      </c>
      <c r="F110">
        <v>323.8</v>
      </c>
      <c r="G110">
        <v>323.8</v>
      </c>
      <c r="H110">
        <v>327.8</v>
      </c>
      <c r="I110">
        <v>324.3</v>
      </c>
      <c r="J110">
        <v>324.3</v>
      </c>
      <c r="K110">
        <v>324.3</v>
      </c>
      <c r="L110">
        <v>324.3</v>
      </c>
      <c r="M110">
        <v>324.3</v>
      </c>
      <c r="N110"/>
    </row>
    <row r="111" spans="1:14" x14ac:dyDescent="0.3">
      <c r="A111">
        <v>1996</v>
      </c>
      <c r="B111">
        <v>350.2</v>
      </c>
      <c r="C111">
        <v>350.2</v>
      </c>
      <c r="D111">
        <v>350.2</v>
      </c>
      <c r="E111">
        <v>350.2</v>
      </c>
      <c r="F111">
        <v>350.2</v>
      </c>
      <c r="G111">
        <v>350.2</v>
      </c>
      <c r="H111">
        <v>350.2</v>
      </c>
      <c r="I111">
        <v>351.4</v>
      </c>
      <c r="J111">
        <v>351.4</v>
      </c>
      <c r="K111">
        <v>351.4</v>
      </c>
      <c r="L111">
        <v>351.4</v>
      </c>
      <c r="M111">
        <v>351.4</v>
      </c>
      <c r="N111"/>
    </row>
    <row r="112" spans="1:14" x14ac:dyDescent="0.3">
      <c r="A112">
        <v>1997</v>
      </c>
      <c r="B112">
        <v>364.8</v>
      </c>
      <c r="C112">
        <v>365.1</v>
      </c>
      <c r="D112">
        <v>365.3</v>
      </c>
      <c r="E112">
        <v>365.3</v>
      </c>
      <c r="F112">
        <v>365.3</v>
      </c>
      <c r="G112">
        <v>365.3</v>
      </c>
      <c r="H112">
        <v>365.3</v>
      </c>
      <c r="I112">
        <v>366.9</v>
      </c>
      <c r="J112">
        <v>366.9</v>
      </c>
      <c r="K112">
        <v>366.9</v>
      </c>
      <c r="L112">
        <v>369.6</v>
      </c>
      <c r="M112">
        <v>369.6</v>
      </c>
      <c r="N112"/>
    </row>
    <row r="113" spans="1:14" x14ac:dyDescent="0.3">
      <c r="A113">
        <v>1998</v>
      </c>
      <c r="B113">
        <v>383.8</v>
      </c>
      <c r="C113">
        <v>385.2</v>
      </c>
      <c r="D113">
        <v>385.2</v>
      </c>
      <c r="E113">
        <v>385.2</v>
      </c>
      <c r="F113">
        <v>385.2</v>
      </c>
      <c r="G113">
        <v>385.2</v>
      </c>
      <c r="H113">
        <v>385.2</v>
      </c>
      <c r="I113">
        <v>385.2</v>
      </c>
      <c r="J113">
        <v>387.6</v>
      </c>
      <c r="K113">
        <v>387.6</v>
      </c>
      <c r="L113">
        <v>387.6</v>
      </c>
      <c r="M113">
        <v>387.6</v>
      </c>
      <c r="N113"/>
    </row>
    <row r="114" spans="1:14" x14ac:dyDescent="0.3">
      <c r="A114">
        <v>1999</v>
      </c>
      <c r="B114">
        <v>402.6</v>
      </c>
      <c r="C114">
        <v>404.1</v>
      </c>
      <c r="D114">
        <v>404.1</v>
      </c>
      <c r="E114">
        <v>404.1</v>
      </c>
      <c r="F114">
        <v>404.1</v>
      </c>
      <c r="G114">
        <v>404.1</v>
      </c>
      <c r="H114"/>
      <c r="I114"/>
      <c r="J114"/>
      <c r="K114"/>
      <c r="L114"/>
      <c r="M114"/>
      <c r="N114"/>
    </row>
    <row r="115" spans="1:14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3">
      <c r="A116" s="4" t="s">
        <v>82</v>
      </c>
      <c r="B116" s="9" t="s">
        <v>83</v>
      </c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3">
      <c r="B117" s="4" t="s">
        <v>84</v>
      </c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3">
      <c r="A118" s="4">
        <v>1963</v>
      </c>
      <c r="B118" s="4">
        <v>76.2</v>
      </c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3">
      <c r="A119" s="4">
        <v>1964</v>
      </c>
      <c r="B119" s="4">
        <v>76.2</v>
      </c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3">
      <c r="A120" s="4">
        <v>1965</v>
      </c>
      <c r="B120" s="4">
        <v>76.900000000000006</v>
      </c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3">
      <c r="A121" s="4">
        <v>1966</v>
      </c>
      <c r="B121" s="4">
        <v>81.900000000000006</v>
      </c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3">
      <c r="A122" s="4">
        <v>1967</v>
      </c>
      <c r="B122" s="4">
        <v>81.900000000000006</v>
      </c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3">
      <c r="A123" s="4">
        <v>1968</v>
      </c>
      <c r="B123" s="4">
        <v>84.8</v>
      </c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3">
      <c r="A124" s="4">
        <v>1969</v>
      </c>
      <c r="B124" s="4">
        <v>89</v>
      </c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3">
      <c r="A125" s="4">
        <v>1970</v>
      </c>
      <c r="B125" s="4">
        <v>94.1</v>
      </c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3">
      <c r="A126" s="4">
        <v>1971</v>
      </c>
      <c r="B126" s="4">
        <v>97.5</v>
      </c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3">
      <c r="A127" s="4">
        <v>1972</v>
      </c>
      <c r="B127" s="4">
        <v>100</v>
      </c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3">
      <c r="A128" s="4">
        <v>1973</v>
      </c>
      <c r="B128" s="4">
        <v>105.9</v>
      </c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">
      <c r="A129" s="4">
        <v>1974</v>
      </c>
      <c r="B129" s="4">
        <v>111.9</v>
      </c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">
      <c r="A130" s="4">
        <v>1975</v>
      </c>
      <c r="B130" s="4">
        <v>132.19999999999999</v>
      </c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">
      <c r="A131" s="4">
        <v>1976</v>
      </c>
      <c r="B131" s="4">
        <v>146.6</v>
      </c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">
      <c r="A132" s="4">
        <v>1977</v>
      </c>
      <c r="B132" s="4">
        <v>159.4</v>
      </c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">
      <c r="A133" s="4">
        <v>1978</v>
      </c>
      <c r="B133" s="4">
        <v>170.8</v>
      </c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</row>
  </sheetData>
  <hyperlinks>
    <hyperlink ref="B116" r:id="rId1" xr:uid="{F1284023-798D-451F-B8F0-351F03A3CA7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263A-D1AF-4D73-B599-AA265B288A58}">
  <dimension ref="A1:M125"/>
  <sheetViews>
    <sheetView topLeftCell="A97" workbookViewId="0">
      <selection activeCell="J1" sqref="J1"/>
    </sheetView>
  </sheetViews>
  <sheetFormatPr defaultRowHeight="14.4" x14ac:dyDescent="0.3"/>
  <cols>
    <col min="1" max="8" width="8.88671875" style="4"/>
    <col min="9" max="9" width="12" style="4" bestFit="1" customWidth="1"/>
    <col min="10" max="10" width="12" style="4" customWidth="1"/>
    <col min="11" max="13" width="9.109375" style="4"/>
  </cols>
  <sheetData>
    <row r="1" spans="1:12" x14ac:dyDescent="0.3">
      <c r="B1" s="4" t="s">
        <v>267</v>
      </c>
      <c r="C1" s="4" t="s">
        <v>8</v>
      </c>
      <c r="D1" s="4" t="s">
        <v>268</v>
      </c>
      <c r="E1" s="4" t="s">
        <v>269</v>
      </c>
      <c r="F1" s="4" t="s">
        <v>94</v>
      </c>
      <c r="G1" s="4" t="s">
        <v>14</v>
      </c>
      <c r="H1" s="4" t="s">
        <v>275</v>
      </c>
      <c r="I1" s="4" t="s">
        <v>272</v>
      </c>
      <c r="J1" s="4" t="s">
        <v>273</v>
      </c>
      <c r="K1" s="4" t="s">
        <v>254</v>
      </c>
      <c r="L1" s="4" t="s">
        <v>255</v>
      </c>
    </row>
    <row r="2" spans="1:12" x14ac:dyDescent="0.3">
      <c r="A2" s="4">
        <v>2020</v>
      </c>
      <c r="B2" s="4">
        <f t="shared" ref="B2:B7" si="0">B3*C2/C3</f>
        <v>55.853368401638555</v>
      </c>
      <c r="C2" s="1">
        <f t="shared" ref="C2:C7" si="1">C3*(D2*0.5+E2*0.5)/(D3*0.5+E3*0.5)</f>
        <v>24833.792327003706</v>
      </c>
      <c r="D2" s="4">
        <v>24299333</v>
      </c>
      <c r="E2" s="4">
        <v>25785036</v>
      </c>
      <c r="K2" s="4">
        <v>331.44928099999998</v>
      </c>
      <c r="L2" s="4">
        <v>18.402334630350193</v>
      </c>
    </row>
    <row r="3" spans="1:12" x14ac:dyDescent="0.3">
      <c r="A3" s="4">
        <v>2019</v>
      </c>
      <c r="B3" s="4">
        <f t="shared" si="0"/>
        <v>59.48673350154386</v>
      </c>
      <c r="C3" s="1">
        <f t="shared" si="1"/>
        <v>26449.276530040319</v>
      </c>
      <c r="D3" s="4">
        <v>25952584</v>
      </c>
      <c r="E3" s="4">
        <v>27389866</v>
      </c>
      <c r="K3" s="4">
        <v>329.10572873903209</v>
      </c>
      <c r="L3" s="4">
        <v>18.554737751424618</v>
      </c>
    </row>
    <row r="4" spans="1:12" x14ac:dyDescent="0.3">
      <c r="A4" s="4">
        <v>2018</v>
      </c>
      <c r="B4" s="4">
        <f t="shared" si="0"/>
        <v>66.210230018420773</v>
      </c>
      <c r="C4" s="1">
        <f t="shared" si="1"/>
        <v>29438.709772647682</v>
      </c>
      <c r="D4" s="4">
        <v>28554137</v>
      </c>
      <c r="E4" s="4">
        <v>30817351</v>
      </c>
      <c r="K4" s="4">
        <v>326.77874684799622</v>
      </c>
      <c r="L4" s="4">
        <v>18.708403033620428</v>
      </c>
    </row>
    <row r="5" spans="1:12" x14ac:dyDescent="0.3">
      <c r="A5" s="4">
        <v>2017</v>
      </c>
      <c r="B5" s="4">
        <f t="shared" si="0"/>
        <v>72.397977978286448</v>
      </c>
      <c r="C5" s="1">
        <f t="shared" si="1"/>
        <v>32189.93592434809</v>
      </c>
      <c r="D5" s="4">
        <v>30948419</v>
      </c>
      <c r="E5" s="4">
        <v>33971695</v>
      </c>
      <c r="K5" s="4">
        <v>324.46821816408612</v>
      </c>
      <c r="L5" s="4">
        <v>18.863340929812118</v>
      </c>
    </row>
    <row r="6" spans="1:12" x14ac:dyDescent="0.3">
      <c r="A6" s="4">
        <v>2016</v>
      </c>
      <c r="B6" s="4">
        <f t="shared" si="0"/>
        <v>80.805332303525262</v>
      </c>
      <c r="C6" s="1">
        <f t="shared" si="1"/>
        <v>35928.054095326508</v>
      </c>
      <c r="D6" s="4">
        <v>34657199</v>
      </c>
      <c r="E6" s="4">
        <v>37801888</v>
      </c>
      <c r="K6" s="4">
        <v>322.17402635290921</v>
      </c>
      <c r="L6" s="4">
        <v>19.019561979442035</v>
      </c>
    </row>
    <row r="7" spans="1:12" x14ac:dyDescent="0.3">
      <c r="A7" s="4">
        <v>2015</v>
      </c>
      <c r="B7" s="4">
        <f t="shared" si="0"/>
        <v>87.728662278301883</v>
      </c>
      <c r="C7" s="1">
        <f t="shared" si="1"/>
        <v>39006.33824765488</v>
      </c>
      <c r="D7" s="4">
        <v>37711860</v>
      </c>
      <c r="E7" s="4">
        <v>40955458</v>
      </c>
      <c r="K7" s="4">
        <v>319.89605590262937</v>
      </c>
      <c r="L7" s="4">
        <v>19.177076809237313</v>
      </c>
    </row>
    <row r="8" spans="1:12" x14ac:dyDescent="0.3">
      <c r="A8" s="4">
        <v>2014</v>
      </c>
      <c r="B8" s="4">
        <f t="shared" ref="B8:B15" si="2">F8*K8*(100-L8)/(F$10*K$10*(1-L$10*0.01))</f>
        <v>92.751103709276663</v>
      </c>
      <c r="C8" s="1">
        <f>'[7]Printed Newspapers'!$W7</f>
        <v>41239.440225936065</v>
      </c>
      <c r="D8" s="4">
        <v>40420000</v>
      </c>
      <c r="E8" s="4">
        <v>42751000</v>
      </c>
      <c r="F8" s="4">
        <v>2.012588638891498</v>
      </c>
      <c r="K8" s="4">
        <v>317.63419211815091</v>
      </c>
      <c r="L8" s="4">
        <v>19.335896133932749</v>
      </c>
    </row>
    <row r="9" spans="1:12" x14ac:dyDescent="0.3">
      <c r="A9" s="4">
        <v>2013</v>
      </c>
      <c r="B9" s="4">
        <f t="shared" si="2"/>
        <v>97.847558671564613</v>
      </c>
      <c r="C9" s="1">
        <f>'[7]Printed Newspapers'!$W8</f>
        <v>41618.973737844295</v>
      </c>
      <c r="F9" s="4">
        <v>2.142548114867592</v>
      </c>
      <c r="K9" s="4">
        <v>315.38832111534367</v>
      </c>
      <c r="L9" s="4">
        <v>19.496030756999655</v>
      </c>
    </row>
    <row r="10" spans="1:12" x14ac:dyDescent="0.3">
      <c r="A10" s="4">
        <v>2012</v>
      </c>
      <c r="B10" s="4">
        <f t="shared" si="2"/>
        <v>100</v>
      </c>
      <c r="C10" s="1">
        <f>'[7]Printed Newspapers'!$W9</f>
        <v>43920.937809351897</v>
      </c>
      <c r="F10" s="4">
        <v>2.2097041693725199</v>
      </c>
      <c r="H10" s="4">
        <v>29</v>
      </c>
      <c r="K10" s="4">
        <v>313.158329815309</v>
      </c>
      <c r="L10" s="4">
        <v>19.657491571380746</v>
      </c>
    </row>
    <row r="11" spans="1:12" x14ac:dyDescent="0.3">
      <c r="A11" s="4">
        <v>2011</v>
      </c>
      <c r="B11" s="4">
        <f t="shared" si="2"/>
        <v>97.660996333901451</v>
      </c>
      <c r="C11" s="1">
        <f>'[7]Printed Newspapers'!$W10</f>
        <v>45858.447912420663</v>
      </c>
      <c r="F11" s="4">
        <v>2.1777991722271102</v>
      </c>
      <c r="H11" s="4">
        <v>29.983328701129899</v>
      </c>
      <c r="K11" s="4">
        <v>310.94410593868639</v>
      </c>
      <c r="L11" s="4">
        <v>19.820289560231117</v>
      </c>
    </row>
    <row r="12" spans="1:12" x14ac:dyDescent="0.3">
      <c r="A12" s="4">
        <v>2010</v>
      </c>
      <c r="B12" s="4">
        <f t="shared" si="2"/>
        <v>103.84413454719092</v>
      </c>
      <c r="C12" s="1">
        <f>'[7]Printed Newspapers'!$W11</f>
        <v>46181.53541209727</v>
      </c>
      <c r="F12" s="4">
        <v>2.3369547308804002</v>
      </c>
      <c r="G12" s="4">
        <v>31.28973897252515</v>
      </c>
      <c r="H12" s="4">
        <v>31</v>
      </c>
      <c r="K12" s="4">
        <v>308.74553800000001</v>
      </c>
      <c r="L12" s="4">
        <v>19.984435797665366</v>
      </c>
    </row>
    <row r="13" spans="1:12" x14ac:dyDescent="0.3">
      <c r="A13" s="4">
        <v>2009</v>
      </c>
      <c r="B13" s="4">
        <f t="shared" si="2"/>
        <v>116.26232215568973</v>
      </c>
      <c r="C13" s="1">
        <f>'[7]Printed Newspapers'!$W12</f>
        <v>45832.637046526528</v>
      </c>
      <c r="F13" s="4">
        <v>2.6453132691279699</v>
      </c>
      <c r="G13" s="4">
        <v>32.865374538359461</v>
      </c>
      <c r="H13" s="4">
        <v>32.465366161495851</v>
      </c>
      <c r="K13" s="4">
        <v>305.89784037524367</v>
      </c>
      <c r="L13" s="4">
        <v>20.121672673259901</v>
      </c>
    </row>
    <row r="14" spans="1:12" x14ac:dyDescent="0.3">
      <c r="A14" s="4">
        <v>2008</v>
      </c>
      <c r="B14" s="4">
        <f t="shared" si="2"/>
        <v>114.82050371820301</v>
      </c>
      <c r="C14" s="1">
        <f>'[7]Printed Newspapers'!$W13</f>
        <v>48779.097827985795</v>
      </c>
      <c r="F14" s="4">
        <v>2.64139753776647</v>
      </c>
      <c r="G14" s="4">
        <v>34.868708798133483</v>
      </c>
      <c r="H14" s="4">
        <v>34</v>
      </c>
      <c r="K14" s="4">
        <v>303.07640833416031</v>
      </c>
      <c r="L14" s="4">
        <v>20.259851980265246</v>
      </c>
    </row>
    <row r="15" spans="1:12" x14ac:dyDescent="0.3">
      <c r="A15" s="4">
        <v>2007</v>
      </c>
      <c r="B15" s="4">
        <f t="shared" si="2"/>
        <v>118.37729213913471</v>
      </c>
      <c r="C15" s="1">
        <f>'[7]Printed Newspapers'!$W14</f>
        <v>50919.176265067261</v>
      </c>
      <c r="F15" s="4">
        <v>2.7533752672021001</v>
      </c>
      <c r="G15" s="4">
        <v>36.866269410901154</v>
      </c>
      <c r="H15" s="4">
        <v>36.878177829171548</v>
      </c>
      <c r="K15" s="4">
        <v>300.28099961757209</v>
      </c>
      <c r="L15" s="4">
        <v>20.398980190534971</v>
      </c>
    </row>
    <row r="16" spans="1:12" x14ac:dyDescent="0.3">
      <c r="A16" s="4">
        <v>2006</v>
      </c>
      <c r="B16" s="4">
        <f t="shared" ref="B16:B61" si="3">B$15*G16*K16*(100-L16)/(G$15*K$15*(100-L$15))</f>
        <v>123.1350179719268</v>
      </c>
      <c r="C16" s="1">
        <f>'[7]Printed Newspapers'!$W15</f>
        <v>52627.809177196767</v>
      </c>
      <c r="G16" s="4">
        <v>38.773196178601992</v>
      </c>
      <c r="H16" s="4">
        <v>40</v>
      </c>
      <c r="K16" s="4">
        <v>297.51137420076537</v>
      </c>
      <c r="L16" s="4">
        <v>20.539063820366088</v>
      </c>
    </row>
    <row r="17" spans="1:12" x14ac:dyDescent="0.3">
      <c r="A17" s="4">
        <v>2005</v>
      </c>
      <c r="B17" s="4">
        <f t="shared" si="3"/>
        <v>126.49219435055389</v>
      </c>
      <c r="C17" s="1">
        <f>'[7]Printed Newspapers'!$W16</f>
        <v>54021.714901298554</v>
      </c>
      <c r="G17" s="4">
        <v>40.272593747100565</v>
      </c>
      <c r="H17" s="4">
        <v>40.987803063838392</v>
      </c>
      <c r="K17" s="4">
        <v>294.76729427288137</v>
      </c>
      <c r="L17" s="4">
        <v>20.680109430804247</v>
      </c>
    </row>
    <row r="18" spans="1:12" x14ac:dyDescent="0.3">
      <c r="A18" s="4">
        <v>2004</v>
      </c>
      <c r="B18" s="4">
        <f t="shared" si="3"/>
        <v>127.66188948408484</v>
      </c>
      <c r="C18" s="1">
        <f>'[7]Printed Newspapers'!$W17</f>
        <v>55725.617772084093</v>
      </c>
      <c r="G18" s="4">
        <v>41.096958181266253</v>
      </c>
      <c r="H18" s="4">
        <v>42</v>
      </c>
      <c r="K18" s="4">
        <v>292.04852421649667</v>
      </c>
      <c r="L18" s="4">
        <v>20.822123627951022</v>
      </c>
    </row>
    <row r="19" spans="1:12" x14ac:dyDescent="0.3">
      <c r="A19" s="4">
        <v>2003</v>
      </c>
      <c r="B19" s="4">
        <f t="shared" si="3"/>
        <v>128.65079216272051</v>
      </c>
      <c r="C19" s="1">
        <f>'[7]Printed Newspapers'!$W18</f>
        <v>56348.598090025043</v>
      </c>
      <c r="G19" s="4">
        <v>41.876479808325442</v>
      </c>
      <c r="H19" s="4">
        <v>41.496987842492864</v>
      </c>
      <c r="K19" s="4">
        <v>289.35483058739248</v>
      </c>
      <c r="L19" s="4">
        <v>20.965113063273336</v>
      </c>
    </row>
    <row r="20" spans="1:12" x14ac:dyDescent="0.3">
      <c r="A20" s="4">
        <v>2002</v>
      </c>
      <c r="B20" s="4">
        <f t="shared" si="3"/>
        <v>130.88533148784524</v>
      </c>
      <c r="C20" s="1">
        <f>'[7]Printed Newspapers'!$W19</f>
        <v>56449.435509229603</v>
      </c>
      <c r="G20" s="4">
        <v>43.078919195557759</v>
      </c>
      <c r="H20" s="4">
        <v>41</v>
      </c>
      <c r="K20" s="4">
        <v>286.68598209450988</v>
      </c>
      <c r="L20" s="4">
        <v>21.109084433914983</v>
      </c>
    </row>
    <row r="21" spans="1:12" x14ac:dyDescent="0.3">
      <c r="A21" s="4">
        <v>2001</v>
      </c>
      <c r="B21" s="4">
        <f t="shared" si="3"/>
        <v>132.59438992618843</v>
      </c>
      <c r="C21" s="1">
        <f>'[7]Printed Newspapers'!$W20</f>
        <v>56812.609212135329</v>
      </c>
      <c r="G21" s="4">
        <v>44.128786919499717</v>
      </c>
      <c r="H21" s="4">
        <v>43.89760813529594</v>
      </c>
      <c r="K21" s="4">
        <v>284.04174958009048</v>
      </c>
      <c r="L21" s="4">
        <v>21.254044483010301</v>
      </c>
    </row>
    <row r="22" spans="1:12" x14ac:dyDescent="0.3">
      <c r="A22" s="4">
        <v>2000</v>
      </c>
      <c r="B22" s="4">
        <f t="shared" si="3"/>
        <v>134.6954851377125</v>
      </c>
      <c r="C22" s="1">
        <f>'[7]Printed Newspapers'!$W21</f>
        <v>57055.418680486815</v>
      </c>
      <c r="G22" s="4">
        <v>45.329389351001147</v>
      </c>
      <c r="H22" s="4">
        <v>47</v>
      </c>
      <c r="K22" s="4">
        <v>281.42190599999998</v>
      </c>
      <c r="L22" s="4">
        <v>21.4</v>
      </c>
    </row>
    <row r="23" spans="1:12" x14ac:dyDescent="0.3">
      <c r="A23" s="4">
        <v>1999</v>
      </c>
      <c r="B23" s="4">
        <f t="shared" si="3"/>
        <v>138.3067429825187</v>
      </c>
      <c r="C23" s="1">
        <f>'[7]Printed Newspapers'!$W22</f>
        <v>57355.279916147447</v>
      </c>
      <c r="G23" s="4">
        <v>47.129389351001144</v>
      </c>
      <c r="H23" s="4">
        <v>47.249338619709796</v>
      </c>
      <c r="K23" s="4">
        <v>277.96583047179496</v>
      </c>
      <c r="L23" s="4">
        <v>21.40997903398506</v>
      </c>
    </row>
    <row r="24" spans="1:12" x14ac:dyDescent="0.3">
      <c r="A24" s="4">
        <v>1998</v>
      </c>
      <c r="B24" s="4">
        <f t="shared" si="3"/>
        <v>140.12807958020881</v>
      </c>
      <c r="C24" s="1">
        <f>'[7]Printed Newspapers'!$W23</f>
        <v>57547.382169684977</v>
      </c>
      <c r="G24" s="4">
        <v>48.349867723941955</v>
      </c>
      <c r="H24" s="4">
        <v>47.5</v>
      </c>
      <c r="K24" s="4">
        <v>274.55219818557629</v>
      </c>
      <c r="L24" s="4">
        <v>21.419962721293448</v>
      </c>
    </row>
    <row r="25" spans="1:12" x14ac:dyDescent="0.3">
      <c r="A25" s="4">
        <v>1997</v>
      </c>
      <c r="B25" s="4">
        <f t="shared" si="3"/>
        <v>139.2482831753579</v>
      </c>
      <c r="C25" s="1">
        <f>'[7]Printed Newspapers'!$W24</f>
        <v>58049.088103418166</v>
      </c>
      <c r="G25" s="4">
        <v>48.649867723941959</v>
      </c>
      <c r="H25" s="4">
        <v>50</v>
      </c>
      <c r="K25" s="4">
        <v>271.18048790597885</v>
      </c>
      <c r="L25" s="4">
        <v>21.429951064095057</v>
      </c>
    </row>
    <row r="26" spans="1:12" x14ac:dyDescent="0.3">
      <c r="A26" s="4">
        <v>1996</v>
      </c>
      <c r="B26" s="4">
        <f t="shared" si="3"/>
        <v>141.05451893789657</v>
      </c>
      <c r="C26" s="1">
        <f>'[7]Printed Newspapers'!$W25</f>
        <v>58324.125895300771</v>
      </c>
      <c r="G26" s="4">
        <v>49.9</v>
      </c>
      <c r="H26" s="4">
        <v>50</v>
      </c>
      <c r="K26" s="4">
        <v>267.850184798805</v>
      </c>
      <c r="L26" s="4">
        <v>21.439944064560791</v>
      </c>
    </row>
    <row r="27" spans="1:12" x14ac:dyDescent="0.3">
      <c r="A27" s="4">
        <v>1995</v>
      </c>
      <c r="B27" s="4">
        <f t="shared" si="3"/>
        <v>143.11275449339055</v>
      </c>
      <c r="C27" s="1">
        <f>'[7]Printed Newspapers'!$W26</f>
        <v>59260.276072905152</v>
      </c>
      <c r="G27" s="4">
        <v>51.264135977527665</v>
      </c>
      <c r="H27" s="4">
        <v>48.5</v>
      </c>
      <c r="K27" s="4">
        <v>264.56078035241347</v>
      </c>
      <c r="L27" s="4">
        <v>21.449941724862565</v>
      </c>
    </row>
    <row r="28" spans="1:12" x14ac:dyDescent="0.3">
      <c r="A28" s="4">
        <v>1994</v>
      </c>
      <c r="B28" s="4">
        <f t="shared" si="3"/>
        <v>144.17914861127525</v>
      </c>
      <c r="C28" s="1">
        <f>'[7]Printed Newspapers'!$W27</f>
        <v>60356.105223315673</v>
      </c>
      <c r="G28" s="4">
        <v>52.294925747453931</v>
      </c>
      <c r="H28" s="4">
        <v>53.5</v>
      </c>
      <c r="K28" s="4">
        <v>261.31177230007359</v>
      </c>
      <c r="L28" s="4">
        <v>21.459944047173309</v>
      </c>
    </row>
    <row r="29" spans="1:12" x14ac:dyDescent="0.3">
      <c r="A29" s="4">
        <v>1993</v>
      </c>
      <c r="B29" s="4">
        <f t="shared" si="3"/>
        <v>145.65777429692662</v>
      </c>
      <c r="C29" s="1">
        <f>'[7]Printed Newspapers'!$W28</f>
        <v>60780.141734117511</v>
      </c>
      <c r="G29" s="4">
        <v>53.494925747453934</v>
      </c>
      <c r="H29" s="4">
        <v>54.320679887638327</v>
      </c>
      <c r="K29" s="4">
        <v>258.10266454327302</v>
      </c>
      <c r="L29" s="4">
        <v>21.469951033666963</v>
      </c>
    </row>
    <row r="30" spans="1:12" x14ac:dyDescent="0.3">
      <c r="A30" s="4">
        <v>1992</v>
      </c>
      <c r="B30" s="4">
        <f t="shared" si="3"/>
        <v>148.16039262182665</v>
      </c>
      <c r="C30" s="1">
        <f>'[7]Printed Newspapers'!$W29</f>
        <v>60865.674256099694</v>
      </c>
      <c r="G30" s="4">
        <v>55.097627445531359</v>
      </c>
      <c r="H30" s="4">
        <v>55.153948849631306</v>
      </c>
      <c r="K30" s="4">
        <v>254.9329670759673</v>
      </c>
      <c r="L30" s="4">
        <v>21.47996268651848</v>
      </c>
    </row>
    <row r="31" spans="1:12" x14ac:dyDescent="0.3">
      <c r="A31" s="4">
        <v>1991</v>
      </c>
      <c r="B31" s="4">
        <f t="shared" si="3"/>
        <v>148.19803579550094</v>
      </c>
      <c r="C31" s="1">
        <f>'[7]Printed Newspapers'!$W30</f>
        <v>61172.47702789263</v>
      </c>
      <c r="G31" s="4">
        <v>55.803972595149403</v>
      </c>
      <c r="H31" s="4">
        <v>56</v>
      </c>
      <c r="K31" s="4">
        <v>251.80219590975969</v>
      </c>
      <c r="L31" s="4">
        <v>21.48997900790383</v>
      </c>
    </row>
    <row r="32" spans="1:12" x14ac:dyDescent="0.3">
      <c r="A32" s="4">
        <v>1990</v>
      </c>
      <c r="B32" s="4">
        <f t="shared" si="3"/>
        <v>148.05576408864883</v>
      </c>
      <c r="C32" s="1">
        <f>'[7]Printed Newspapers'!$W31</f>
        <v>62435.922843999309</v>
      </c>
      <c r="G32" s="4">
        <v>56.450775607929316</v>
      </c>
      <c r="H32" s="4">
        <v>56.513508490387125</v>
      </c>
      <c r="K32" s="4">
        <v>248.70987299999999</v>
      </c>
      <c r="L32" s="4">
        <v>21.5</v>
      </c>
    </row>
    <row r="33" spans="1:12" x14ac:dyDescent="0.3">
      <c r="A33" s="4">
        <v>1989</v>
      </c>
      <c r="B33" s="4">
        <f t="shared" si="3"/>
        <v>147.99907624499946</v>
      </c>
      <c r="C33" s="1">
        <f>'[7]Printed Newspapers'!$W32</f>
        <v>62423.662726372793</v>
      </c>
      <c r="G33" s="4">
        <v>57.036477773022249</v>
      </c>
      <c r="H33" s="4">
        <v>57.031725748090238</v>
      </c>
      <c r="K33" s="4">
        <v>246.39921826135347</v>
      </c>
      <c r="L33" s="4">
        <v>21.607546577251174</v>
      </c>
    </row>
    <row r="34" spans="1:12" x14ac:dyDescent="0.3">
      <c r="A34" s="4">
        <v>1988</v>
      </c>
      <c r="B34" s="4">
        <f t="shared" si="3"/>
        <v>147.76458070965307</v>
      </c>
      <c r="C34" s="1">
        <f>'[7]Printed Newspapers'!$W33</f>
        <v>62265.769405462066</v>
      </c>
      <c r="G34" s="4">
        <v>57.559490551561893</v>
      </c>
      <c r="H34" s="4">
        <v>57.554694951537918</v>
      </c>
      <c r="K34" s="4">
        <v>244.11003080607924</v>
      </c>
      <c r="L34" s="4">
        <v>21.715631120375757</v>
      </c>
    </row>
    <row r="35" spans="1:12" x14ac:dyDescent="0.3">
      <c r="A35" s="4">
        <v>1987</v>
      </c>
      <c r="B35" s="4">
        <f t="shared" si="3"/>
        <v>147.52915519086133</v>
      </c>
      <c r="C35" s="1">
        <f>'[7]Printed Newspapers'!$W34</f>
        <v>61871.919874221159</v>
      </c>
      <c r="G35" s="4">
        <v>58.08729924978654</v>
      </c>
      <c r="H35" s="4">
        <v>58.082459675095983</v>
      </c>
      <c r="K35" s="4">
        <v>241.84211119102935</v>
      </c>
      <c r="L35" s="4">
        <v>21.824256320368566</v>
      </c>
    </row>
    <row r="36" spans="1:12" x14ac:dyDescent="0.3">
      <c r="A36" s="4">
        <v>1986</v>
      </c>
      <c r="B36" s="4">
        <f t="shared" si="3"/>
        <v>147.29279518913881</v>
      </c>
      <c r="C36" s="1">
        <f>'[7]Printed Newspapers'!$W35</f>
        <v>61244.540674314332</v>
      </c>
      <c r="G36" s="4">
        <v>58.619947845294021</v>
      </c>
      <c r="H36" s="4">
        <v>58.615063892698217</v>
      </c>
      <c r="K36" s="4">
        <v>239.59526182599475</v>
      </c>
      <c r="L36" s="4">
        <v>21.933424881685209</v>
      </c>
    </row>
    <row r="37" spans="1:12" x14ac:dyDescent="0.3">
      <c r="A37" s="4">
        <v>1985</v>
      </c>
      <c r="B37" s="4">
        <f t="shared" si="3"/>
        <v>147.05549618343264</v>
      </c>
      <c r="C37" s="1">
        <f>'[7]Printed Newspapers'!$W36</f>
        <v>61380.931578640892</v>
      </c>
      <c r="G37" s="4">
        <v>59.157480718947681</v>
      </c>
      <c r="H37" s="4">
        <v>59.152551981510356</v>
      </c>
      <c r="K37" s="4">
        <v>237.3692869564907</v>
      </c>
      <c r="L37" s="4">
        <v>22.043139522309435</v>
      </c>
    </row>
    <row r="38" spans="1:12" x14ac:dyDescent="0.3">
      <c r="A38" s="4">
        <v>1984</v>
      </c>
      <c r="B38" s="4">
        <f t="shared" si="3"/>
        <v>146.81725363101876</v>
      </c>
      <c r="C38" s="1">
        <f>'[7]Printed Newspapers'!$W37</f>
        <v>61313.019157980554</v>
      </c>
      <c r="G38" s="4">
        <v>59.699942658574244</v>
      </c>
      <c r="H38" s="4">
        <v>59.694968725627625</v>
      </c>
      <c r="K38" s="4">
        <v>235.16399264670181</v>
      </c>
      <c r="L38" s="4">
        <v>22.1534029738208</v>
      </c>
    </row>
    <row r="39" spans="1:12" x14ac:dyDescent="0.3">
      <c r="A39" s="4">
        <v>1983</v>
      </c>
      <c r="B39" s="4">
        <f t="shared" si="3"/>
        <v>146.57806296739838</v>
      </c>
      <c r="C39" s="1">
        <f>'[7]Printed Newspapers'!$W38</f>
        <v>60571.615850462942</v>
      </c>
      <c r="G39" s="4">
        <v>60.247378862695633</v>
      </c>
      <c r="H39" s="4">
        <v>60.242359319806184</v>
      </c>
      <c r="K39" s="4">
        <v>232.97918676258561</v>
      </c>
      <c r="L39" s="4">
        <v>22.264217981462672</v>
      </c>
    </row>
    <row r="40" spans="1:12" x14ac:dyDescent="0.3">
      <c r="A40" s="4">
        <v>1982</v>
      </c>
      <c r="B40" s="4">
        <f t="shared" si="3"/>
        <v>146.3379196061934</v>
      </c>
      <c r="C40" s="1">
        <f>'[7]Printed Newspapers'!$W39</f>
        <v>60298.310662085838</v>
      </c>
      <c r="G40" s="4">
        <v>60.799834944294915</v>
      </c>
      <c r="H40" s="4">
        <v>60.794769373228824</v>
      </c>
      <c r="K40" s="4">
        <v>230.81467895513305</v>
      </c>
      <c r="L40" s="4">
        <v>22.37558730421059</v>
      </c>
    </row>
    <row r="41" spans="1:12" x14ac:dyDescent="0.3">
      <c r="A41" s="4">
        <v>1981</v>
      </c>
      <c r="B41" s="4">
        <f t="shared" si="3"/>
        <v>146.09681893904127</v>
      </c>
      <c r="C41" s="1">
        <f>'[7]Printed Newspapers'!$W40</f>
        <v>59233.522156874169</v>
      </c>
      <c r="G41" s="4">
        <v>61.357356934616824</v>
      </c>
      <c r="H41" s="4">
        <v>61.352244913305178</v>
      </c>
      <c r="K41" s="4">
        <v>228.67028064378454</v>
      </c>
      <c r="L41" s="4">
        <v>22.48751371484094</v>
      </c>
    </row>
    <row r="42" spans="1:12" x14ac:dyDescent="0.3">
      <c r="A42" s="4">
        <v>1980</v>
      </c>
      <c r="B42" s="4">
        <f t="shared" si="3"/>
        <v>145.85475633548992</v>
      </c>
      <c r="C42" s="1">
        <f>'[7]Printed Newspapers'!$W41</f>
        <v>59556.308391079023</v>
      </c>
      <c r="G42" s="4">
        <v>61.919991287003157</v>
      </c>
      <c r="H42" s="4">
        <v>61.914832389506749</v>
      </c>
      <c r="K42" s="4">
        <v>226.545805</v>
      </c>
      <c r="L42" s="4">
        <v>22.6</v>
      </c>
    </row>
    <row r="43" spans="1:12" x14ac:dyDescent="0.3">
      <c r="A43" s="4">
        <v>1979</v>
      </c>
      <c r="B43" s="4">
        <f t="shared" si="3"/>
        <v>144.60968780016094</v>
      </c>
      <c r="C43" s="1">
        <f>'[7]Printed Newspapers'!$W42</f>
        <v>59465.87014499506</v>
      </c>
      <c r="G43" s="4">
        <v>62.4877848807633</v>
      </c>
      <c r="H43" s="4">
        <v>62.482578677237157</v>
      </c>
      <c r="K43" s="4">
        <v>224.10657270735817</v>
      </c>
      <c r="L43" s="4">
        <v>23.130343439901367</v>
      </c>
    </row>
    <row r="44" spans="1:12" x14ac:dyDescent="0.3">
      <c r="A44" s="4">
        <v>1978</v>
      </c>
      <c r="B44" s="4">
        <f t="shared" si="3"/>
        <v>143.34505016716366</v>
      </c>
      <c r="C44" s="1">
        <f>'[7]Printed Newspapers'!$W43</f>
        <v>59177.678332265772</v>
      </c>
      <c r="G44" s="4">
        <v>63.060785025080278</v>
      </c>
      <c r="H44" s="4">
        <v>63.05553108173784</v>
      </c>
      <c r="K44" s="4">
        <v>221.69360377535315</v>
      </c>
      <c r="L44" s="4">
        <v>23.673132196804787</v>
      </c>
    </row>
    <row r="45" spans="1:12" x14ac:dyDescent="0.3">
      <c r="A45" s="4">
        <v>1977</v>
      </c>
      <c r="B45" s="4">
        <f t="shared" si="3"/>
        <v>142.06040548758958</v>
      </c>
      <c r="C45" s="1">
        <f>'[7]Printed Newspapers'!$W44</f>
        <v>58307.936470040186</v>
      </c>
      <c r="G45" s="4">
        <v>63.639039462952631</v>
      </c>
      <c r="H45" s="4">
        <v>63.633737342029569</v>
      </c>
      <c r="K45" s="4">
        <v>219.30661542480314</v>
      </c>
      <c r="L45" s="4">
        <v>24.228658319039003</v>
      </c>
    </row>
    <row r="46" spans="1:12" x14ac:dyDescent="0.3">
      <c r="A46" s="4">
        <v>1976</v>
      </c>
      <c r="B46" s="4">
        <f t="shared" si="3"/>
        <v>140.75530631711783</v>
      </c>
      <c r="C46" s="1">
        <f>'[7]Printed Newspapers'!$W45</f>
        <v>57668.30355791068</v>
      </c>
      <c r="G46" s="4">
        <v>64.22259637517233</v>
      </c>
      <c r="H46" s="4">
        <v>64.217245634890133</v>
      </c>
      <c r="K46" s="4">
        <v>216.94532792122675</v>
      </c>
      <c r="L46" s="4">
        <v>24.797220708291835</v>
      </c>
    </row>
    <row r="47" spans="1:12" x14ac:dyDescent="0.3">
      <c r="A47" s="4">
        <v>1975</v>
      </c>
      <c r="B47" s="4">
        <f t="shared" si="3"/>
        <v>139.42929550963652</v>
      </c>
      <c r="C47" s="1">
        <f>'[7]Printed Newspapers'!$W46</f>
        <v>57294.627147266059</v>
      </c>
      <c r="G47" s="4">
        <v>64.811504384339315</v>
      </c>
      <c r="H47" s="4">
        <v>64.806104578868471</v>
      </c>
      <c r="K47" s="4">
        <v>214.60946454206058</v>
      </c>
      <c r="L47" s="4">
        <v>25.379125280434707</v>
      </c>
    </row>
    <row r="48" spans="1:12" x14ac:dyDescent="0.3">
      <c r="A48" s="4">
        <v>1974</v>
      </c>
      <c r="B48" s="4">
        <f t="shared" si="3"/>
        <v>138.08190600637943</v>
      </c>
      <c r="C48" s="1">
        <f>'[7]Printed Newspapers'!$W47</f>
        <v>58291.992954055793</v>
      </c>
      <c r="G48" s="4">
        <v>65.4058125589128</v>
      </c>
      <c r="H48" s="4">
        <v>65.400363238335615</v>
      </c>
      <c r="K48" s="4">
        <v>212.2987515442297</v>
      </c>
      <c r="L48" s="4">
        <v>25.974685130121145</v>
      </c>
    </row>
    <row r="49" spans="1:12" x14ac:dyDescent="0.3">
      <c r="A49" s="4">
        <v>1973</v>
      </c>
      <c r="B49" s="4">
        <f t="shared" si="3"/>
        <v>136.71266062048031</v>
      </c>
      <c r="C49" s="1">
        <f>'[7]Printed Newspapers'!$W48</f>
        <v>59128.895417224718</v>
      </c>
      <c r="G49" s="4">
        <v>66.005570417299694</v>
      </c>
      <c r="H49" s="4">
        <v>66.000071127572795</v>
      </c>
      <c r="K49" s="4">
        <v>210.01291813206731</v>
      </c>
      <c r="L49" s="4">
        <v>26.58422069924784</v>
      </c>
    </row>
    <row r="50" spans="1:12" x14ac:dyDescent="0.3">
      <c r="A50" s="4">
        <v>1972</v>
      </c>
      <c r="B50" s="4">
        <f t="shared" si="3"/>
        <v>135.32107181684543</v>
      </c>
      <c r="C50" s="1">
        <f>'[7]Printed Newspapers'!$W49</f>
        <v>58112.583532289063</v>
      </c>
      <c r="G50" s="4">
        <v>66.610827931980467</v>
      </c>
      <c r="H50" s="4">
        <v>66.605278214897041</v>
      </c>
      <c r="K50" s="4">
        <v>207.75169642557984</v>
      </c>
      <c r="L50" s="4">
        <v>27.208059949368913</v>
      </c>
    </row>
    <row r="51" spans="1:12" x14ac:dyDescent="0.3">
      <c r="A51" s="4">
        <v>1971</v>
      </c>
      <c r="B51" s="4">
        <f t="shared" si="3"/>
        <v>133.90664148724309</v>
      </c>
      <c r="C51" s="1">
        <f>'[7]Printed Newspapers'!$W50</f>
        <v>57813.545740406451</v>
      </c>
      <c r="G51" s="4">
        <v>67.221635533673023</v>
      </c>
      <c r="H51" s="4">
        <v>67.216034926824562</v>
      </c>
      <c r="K51" s="4">
        <v>205.51482142905368</v>
      </c>
      <c r="L51" s="4">
        <v>27.846538538156121</v>
      </c>
    </row>
    <row r="52" spans="1:12" x14ac:dyDescent="0.3">
      <c r="A52" s="4">
        <v>1970</v>
      </c>
      <c r="B52" s="4">
        <f t="shared" si="3"/>
        <v>132.46886072050503</v>
      </c>
      <c r="C52" s="1">
        <f>'[7]Printed Newspapers'!$W51</f>
        <v>57576.295172654747</v>
      </c>
      <c r="G52" s="4">
        <v>67.83804411553453</v>
      </c>
      <c r="H52" s="4">
        <v>67.832392152272362</v>
      </c>
      <c r="K52" s="4">
        <v>203.302031</v>
      </c>
      <c r="L52" s="4">
        <v>28.5</v>
      </c>
    </row>
    <row r="53" spans="1:12" x14ac:dyDescent="0.3">
      <c r="A53" s="4">
        <v>1969</v>
      </c>
      <c r="B53" s="4">
        <f t="shared" si="3"/>
        <v>131.55486733889279</v>
      </c>
      <c r="C53" s="1">
        <f>'[7]Printed Newspapers'!$W52</f>
        <v>57706.174518138941</v>
      </c>
      <c r="G53" s="4">
        <v>68.460105037402016</v>
      </c>
      <c r="H53" s="4">
        <v>68.454401246798355</v>
      </c>
      <c r="K53" s="4">
        <v>200.76647207994739</v>
      </c>
      <c r="L53" s="4">
        <v>28.749904930298424</v>
      </c>
    </row>
    <row r="54" spans="1:12" x14ac:dyDescent="0.3">
      <c r="A54" s="4">
        <v>1968</v>
      </c>
      <c r="B54" s="4">
        <f t="shared" si="3"/>
        <v>130.64154081008797</v>
      </c>
      <c r="C54" s="1">
        <f>'[7]Printed Newspapers'!$W53</f>
        <v>58020.520642869626</v>
      </c>
      <c r="G54" s="4">
        <v>69.087870130071565</v>
      </c>
      <c r="H54" s="4">
        <v>69.08211403688037</v>
      </c>
      <c r="K54" s="4">
        <v>198.26253635128865</v>
      </c>
      <c r="L54" s="4">
        <v>29.002001175480615</v>
      </c>
    </row>
    <row r="55" spans="1:12" x14ac:dyDescent="0.3">
      <c r="A55" s="4">
        <v>1967</v>
      </c>
      <c r="B55" s="4">
        <f t="shared" si="3"/>
        <v>129.72886578580284</v>
      </c>
      <c r="C55" s="1">
        <f>'[7]Printed Newspapers'!$W54</f>
        <v>57224.048448145346</v>
      </c>
      <c r="G55" s="4">
        <v>69.721391699617101</v>
      </c>
      <c r="H55" s="4">
        <v>69.715582824234374</v>
      </c>
      <c r="K55" s="4">
        <v>195.7898294133154</v>
      </c>
      <c r="L55" s="4">
        <v>29.256307950297217</v>
      </c>
    </row>
    <row r="56" spans="1:12" x14ac:dyDescent="0.3">
      <c r="A56" s="4">
        <v>1966</v>
      </c>
      <c r="B56" s="4">
        <f t="shared" si="3"/>
        <v>129.61345281826996</v>
      </c>
      <c r="C56" s="1">
        <f>'[7]Printed Newspapers'!$W55</f>
        <v>57138.090374424974</v>
      </c>
      <c r="G56" s="4">
        <v>70.795845616997553</v>
      </c>
      <c r="H56" s="4">
        <v>70.354860390172334</v>
      </c>
      <c r="K56" s="4">
        <v>193.34796178423846</v>
      </c>
      <c r="L56" s="4">
        <v>29.512844637985221</v>
      </c>
    </row>
    <row r="57" spans="1:12" x14ac:dyDescent="0.3">
      <c r="A57" s="4">
        <v>1965</v>
      </c>
      <c r="B57" s="4">
        <f t="shared" si="3"/>
        <v>130.29520774637783</v>
      </c>
      <c r="C57" s="1">
        <f>'[7]Printed Newspapers'!$W56</f>
        <v>56224.590228847614</v>
      </c>
      <c r="G57" s="4">
        <v>72.332598376910482</v>
      </c>
      <c r="H57" s="4">
        <v>71</v>
      </c>
      <c r="I57" s="4" t="s">
        <v>270</v>
      </c>
      <c r="K57" s="4">
        <v>190.93654883983947</v>
      </c>
      <c r="L57" s="4">
        <v>29.771630791745356</v>
      </c>
    </row>
    <row r="58" spans="1:12" x14ac:dyDescent="0.3">
      <c r="A58" s="4">
        <v>1964</v>
      </c>
      <c r="B58" s="4">
        <f t="shared" si="3"/>
        <v>131.77415169868354</v>
      </c>
      <c r="C58" s="1">
        <f>'[7]Printed Newspapers'!$W57</f>
        <v>56183.322832353122</v>
      </c>
      <c r="G58" s="4">
        <v>74.353902077672927</v>
      </c>
      <c r="H58" s="4">
        <v>73.826670833700717</v>
      </c>
      <c r="K58" s="4">
        <v>188.55521075288794</v>
      </c>
      <c r="L58" s="4">
        <v>30.032686136232421</v>
      </c>
    </row>
    <row r="59" spans="1:12" x14ac:dyDescent="0.3">
      <c r="A59" s="4">
        <v>1963</v>
      </c>
      <c r="B59" s="4">
        <f t="shared" si="3"/>
        <v>134.05041707445812</v>
      </c>
      <c r="C59" s="1">
        <f>'[7]Printed Newspapers'!$W58</f>
        <v>54660.151982763644</v>
      </c>
      <c r="G59" s="4">
        <v>76.882929999638463</v>
      </c>
      <c r="H59" s="4">
        <v>76.765877836445014</v>
      </c>
      <c r="K59" s="4">
        <v>186.2035724333137</v>
      </c>
      <c r="L59" s="4">
        <v>30.296030569058718</v>
      </c>
    </row>
    <row r="60" spans="1:12" x14ac:dyDescent="0.3">
      <c r="A60" s="4">
        <v>1962</v>
      </c>
      <c r="B60" s="4">
        <f t="shared" si="3"/>
        <v>134.39672435410279</v>
      </c>
      <c r="C60" s="1">
        <f>'[7]Printed Newspapers'!$W59</f>
        <v>55995.767774995635</v>
      </c>
      <c r="G60" s="4">
        <v>78.353662499548079</v>
      </c>
      <c r="H60" s="4">
        <v>79.822101328046585</v>
      </c>
      <c r="K60" s="4">
        <v>183.88126346912566</v>
      </c>
      <c r="L60" s="4">
        <v>30.561684162310627</v>
      </c>
    </row>
    <row r="61" spans="1:12" x14ac:dyDescent="0.3">
      <c r="A61" s="4">
        <v>1961</v>
      </c>
      <c r="B61" s="4">
        <f t="shared" si="3"/>
        <v>134.75450985416489</v>
      </c>
      <c r="C61" s="1">
        <f>'[7]Printed Newspapers'!$W60</f>
        <v>55378.238397484427</v>
      </c>
      <c r="G61" s="4">
        <v>79.862659721497195</v>
      </c>
      <c r="H61" s="4">
        <v>83</v>
      </c>
      <c r="I61" s="4" t="s">
        <v>271</v>
      </c>
      <c r="K61" s="4">
        <v>181.5879180680673</v>
      </c>
      <c r="L61" s="4">
        <v>30.829667164078508</v>
      </c>
    </row>
    <row r="62" spans="1:12" x14ac:dyDescent="0.3">
      <c r="A62" s="4">
        <v>1960</v>
      </c>
      <c r="B62" s="4">
        <f>C62*(B$73/C$73)^(1/12)*(B$61/C$61)^(11/12)</f>
        <v>137.6069819913163</v>
      </c>
      <c r="C62" s="1">
        <f>'[7]Printed Newspapers'!$W61</f>
        <v>54950.725848716014</v>
      </c>
      <c r="K62" s="4">
        <v>179.32317499999999</v>
      </c>
      <c r="L62" s="4">
        <v>31.1</v>
      </c>
    </row>
    <row r="63" spans="1:12" x14ac:dyDescent="0.3">
      <c r="A63" s="4">
        <v>1959</v>
      </c>
      <c r="B63" s="4">
        <f>C63*(B$73/C$73)^(2/12)*(B$61/C$61)^(10/12)</f>
        <v>140.77545186969169</v>
      </c>
      <c r="C63" s="1">
        <f>'[7]Printed Newspapers'!$W62</f>
        <v>54625.701741105229</v>
      </c>
      <c r="K63" s="4">
        <v>176.23142072395933</v>
      </c>
      <c r="L63" s="4">
        <v>30.652053727464015</v>
      </c>
    </row>
    <row r="64" spans="1:12" x14ac:dyDescent="0.3">
      <c r="A64" s="4">
        <v>1958</v>
      </c>
      <c r="B64" s="4">
        <f>C64*(B$73/C$73)^(3/12)*(B$61/C$61)^(9/12)</f>
        <v>142.52435765334508</v>
      </c>
      <c r="C64" s="1">
        <f>'[7]Printed Newspapers'!$W63</f>
        <v>53739.834798812088</v>
      </c>
      <c r="K64" s="4">
        <v>173.19297213193539</v>
      </c>
      <c r="L64" s="4">
        <v>30.210559411940192</v>
      </c>
    </row>
    <row r="65" spans="1:12" x14ac:dyDescent="0.3">
      <c r="A65" s="4">
        <v>1957</v>
      </c>
      <c r="B65" s="4">
        <f>C65*(B$73/C$73)^(4/12)*(B$61/C$61)^(8/12)</f>
        <v>147.44392987855662</v>
      </c>
      <c r="C65" s="1">
        <f>'[7]Printed Newspapers'!$W64</f>
        <v>54022.075816689001</v>
      </c>
      <c r="K65" s="4">
        <v>170.20691016772417</v>
      </c>
      <c r="L65" s="4">
        <v>29.775424123200445</v>
      </c>
    </row>
    <row r="66" spans="1:12" x14ac:dyDescent="0.3">
      <c r="A66" s="4">
        <v>1956</v>
      </c>
      <c r="B66" s="4">
        <f>C66*(B$73/C$73)^(5/12)*(B$61/C$61)^(7/12)</f>
        <v>150.57247540805244</v>
      </c>
      <c r="C66" s="1">
        <f>'[7]Printed Newspapers'!$W65</f>
        <v>53607.690327840217</v>
      </c>
      <c r="K66" s="4">
        <v>167.27233162079224</v>
      </c>
      <c r="L66" s="4">
        <v>29.346556269529504</v>
      </c>
    </row>
    <row r="67" spans="1:12" x14ac:dyDescent="0.3">
      <c r="A67" s="4">
        <v>1955</v>
      </c>
      <c r="B67" s="4">
        <f>C67*(B$73/C$73)^(6/12)*(B$61/C$61)^(6/12)</f>
        <v>152.44043107153621</v>
      </c>
      <c r="C67" s="1">
        <f>'[7]Printed Newspapers'!$W66</f>
        <v>52737.411518080713</v>
      </c>
      <c r="K67" s="4">
        <v>164.38834885307767</v>
      </c>
      <c r="L67" s="4">
        <v>28.923865578445778</v>
      </c>
    </row>
    <row r="68" spans="1:12" x14ac:dyDescent="0.3">
      <c r="A68" s="4">
        <v>1954</v>
      </c>
      <c r="B68" s="4">
        <f>C68*(B$73/C$73)^(7/12)*(B$61/C$61)^(5/12)</f>
        <v>154.52026741837449</v>
      </c>
      <c r="C68" s="1">
        <f>'[7]Printed Newspapers'!$W67</f>
        <v>51944.698305479535</v>
      </c>
      <c r="K68" s="4">
        <v>161.55408953050122</v>
      </c>
      <c r="L68" s="4">
        <v>28.507263077699886</v>
      </c>
    </row>
    <row r="69" spans="1:12" x14ac:dyDescent="0.3">
      <c r="A69" s="4">
        <v>1953</v>
      </c>
      <c r="B69" s="4">
        <f>C69*(B$73/C$73)^(8/12)*(B$61/C$61)^(4/12)</f>
        <v>157.58337021967893</v>
      </c>
      <c r="C69" s="1">
        <f>'[7]Printed Newspapers'!$W68</f>
        <v>51475.822803237636</v>
      </c>
      <c r="K69" s="4">
        <v>158.76869635910677</v>
      </c>
      <c r="L69" s="4">
        <v>28.096661076546866</v>
      </c>
    </row>
    <row r="70" spans="1:12" x14ac:dyDescent="0.3">
      <c r="A70" s="4">
        <v>1952</v>
      </c>
      <c r="B70" s="4">
        <f>C70*(B$73/C$73)^(9/12)*(B$61/C$61)^(3/12)</f>
        <v>161.39571317358815</v>
      </c>
      <c r="C70" s="1">
        <f>'[7]Printed Newspapers'!$W69</f>
        <v>51229.72724625867</v>
      </c>
      <c r="K70" s="4">
        <v>156.0313268257508</v>
      </c>
      <c r="L70" s="4">
        <v>27.691973147288131</v>
      </c>
    </row>
    <row r="71" spans="1:12" x14ac:dyDescent="0.3">
      <c r="A71" s="4">
        <v>1951</v>
      </c>
      <c r="B71" s="4">
        <f>C71*(B$73/C$73)^(10/12)*(B$61/C$61)^(2/12)</f>
        <v>166.31385349302144</v>
      </c>
      <c r="C71" s="1">
        <f>'[7]Printed Newspapers'!$W70</f>
        <v>51297.430326675596</v>
      </c>
      <c r="K71" s="4">
        <v>153.34115294326293</v>
      </c>
      <c r="L71" s="4">
        <v>27.293114107079294</v>
      </c>
    </row>
    <row r="72" spans="1:12" x14ac:dyDescent="0.3">
      <c r="A72" s="4">
        <v>1950</v>
      </c>
      <c r="B72" s="4">
        <f>C72*(B$73/C$73)^(11/12)*(B$61/C$61)^(1/12)</f>
        <v>171.10214448512565</v>
      </c>
      <c r="C72" s="1">
        <f>'[7]Printed Newspapers'!$W71</f>
        <v>51281.388109241248</v>
      </c>
      <c r="K72" s="4">
        <v>150.697361</v>
      </c>
      <c r="L72" s="4">
        <v>26.9</v>
      </c>
    </row>
    <row r="73" spans="1:12" x14ac:dyDescent="0.3">
      <c r="A73" s="4">
        <v>1949</v>
      </c>
      <c r="B73" s="4">
        <f>B61*H73*K73*I73*(100-L73)/(H61*K61*(100-L61))</f>
        <v>173.67372103902895</v>
      </c>
      <c r="C73" s="1">
        <f>'[7]Printed Newspapers'!$W72</f>
        <v>50579.620276014684</v>
      </c>
      <c r="H73" s="4">
        <v>85</v>
      </c>
      <c r="I73" s="4">
        <v>1.45</v>
      </c>
      <c r="K73" s="4">
        <v>148.73274275017829</v>
      </c>
      <c r="L73" s="4">
        <v>26.703676176290738</v>
      </c>
    </row>
    <row r="74" spans="1:12" x14ac:dyDescent="0.3">
      <c r="A74" s="4">
        <v>1948</v>
      </c>
      <c r="B74" s="4">
        <f t="shared" ref="B74:B105" si="4">B73*C74/C73</f>
        <v>172.31475653986607</v>
      </c>
      <c r="C74" s="1">
        <f>'[7]Printed Newspapers'!$W73</f>
        <v>50183.844173994061</v>
      </c>
      <c r="K74" s="4">
        <v>146.79373692543095</v>
      </c>
      <c r="L74" s="4">
        <v>26.508785179486921</v>
      </c>
    </row>
    <row r="75" spans="1:12" x14ac:dyDescent="0.3">
      <c r="A75" s="4">
        <v>1947</v>
      </c>
      <c r="B75" s="4">
        <f t="shared" si="4"/>
        <v>169.55549573702916</v>
      </c>
      <c r="C75" s="1">
        <f>'[7]Printed Newspapers'!$W74</f>
        <v>49380.25476037967</v>
      </c>
      <c r="K75" s="4">
        <v>144.88000962052317</v>
      </c>
      <c r="L75" s="4">
        <v>26.315316552411691</v>
      </c>
    </row>
    <row r="76" spans="1:12" x14ac:dyDescent="0.3">
      <c r="A76" s="4">
        <v>1946</v>
      </c>
      <c r="B76" s="4">
        <f t="shared" si="4"/>
        <v>166.10297051776729</v>
      </c>
      <c r="C76" s="1">
        <f>'[7]Printed Newspapers'!$W75</f>
        <v>48374.763465905788</v>
      </c>
      <c r="K76" s="4">
        <v>142.99123128329111</v>
      </c>
      <c r="L76" s="4">
        <v>26.123259914207658</v>
      </c>
    </row>
    <row r="77" spans="1:12" x14ac:dyDescent="0.3">
      <c r="A77" s="4">
        <v>1945</v>
      </c>
      <c r="B77" s="4">
        <f t="shared" si="4"/>
        <v>155.84559511887593</v>
      </c>
      <c r="C77" s="1">
        <f>'[7]Printed Newspapers'!$W76</f>
        <v>45387.471263029176</v>
      </c>
      <c r="K77" s="4">
        <v>141.12707665789162</v>
      </c>
      <c r="L77" s="4">
        <v>25.932604959779869</v>
      </c>
    </row>
    <row r="78" spans="1:12" x14ac:dyDescent="0.3">
      <c r="A78" s="4">
        <v>1944</v>
      </c>
      <c r="B78" s="4">
        <f t="shared" si="4"/>
        <v>150.4468810008681</v>
      </c>
      <c r="C78" s="1">
        <f>'[7]Printed Newspapers'!$W77</f>
        <v>43815.184399858721</v>
      </c>
      <c r="K78" s="4">
        <v>139.28722472879184</v>
      </c>
      <c r="L78" s="4">
        <v>25.743341459242874</v>
      </c>
    </row>
    <row r="79" spans="1:12" x14ac:dyDescent="0.3">
      <c r="A79" s="4">
        <v>1943</v>
      </c>
      <c r="B79" s="4">
        <f t="shared" si="4"/>
        <v>145.23518605466131</v>
      </c>
      <c r="C79" s="1">
        <f>'[7]Printed Newspapers'!$W78</f>
        <v>42297.363800423729</v>
      </c>
      <c r="K79" s="4">
        <v>137.47135866548888</v>
      </c>
      <c r="L79" s="4">
        <v>25.55545925737183</v>
      </c>
    </row>
    <row r="80" spans="1:12" x14ac:dyDescent="0.3">
      <c r="A80" s="4">
        <v>1942</v>
      </c>
      <c r="B80" s="4">
        <f t="shared" si="4"/>
        <v>140.20403166889429</v>
      </c>
      <c r="C80" s="1">
        <f>'[7]Printed Newspapers'!$W79</f>
        <v>40832.122675516213</v>
      </c>
      <c r="K80" s="4">
        <v>135.67916576795022</v>
      </c>
      <c r="L80" s="4">
        <v>25.368948273057594</v>
      </c>
    </row>
    <row r="81" spans="1:12" x14ac:dyDescent="0.3">
      <c r="A81" s="4">
        <v>1941</v>
      </c>
      <c r="B81" s="4">
        <f t="shared" si="4"/>
        <v>135.34716366056131</v>
      </c>
      <c r="C81" s="1">
        <f>'[7]Printed Newspapers'!$W80</f>
        <v>39417.63959700257</v>
      </c>
      <c r="K81" s="4">
        <v>133.91033741276547</v>
      </c>
      <c r="L81" s="4">
        <v>25.183798498765825</v>
      </c>
    </row>
    <row r="82" spans="1:12" x14ac:dyDescent="0.3">
      <c r="A82" s="4">
        <v>1940</v>
      </c>
      <c r="B82" s="4">
        <f t="shared" si="4"/>
        <v>130.65854450049309</v>
      </c>
      <c r="C82" s="1">
        <f>'[7]Printed Newspapers'!$W81</f>
        <v>38052.156233622547</v>
      </c>
      <c r="K82" s="4">
        <v>132.164569</v>
      </c>
      <c r="L82" s="4">
        <v>25</v>
      </c>
    </row>
    <row r="83" spans="1:12" x14ac:dyDescent="0.3">
      <c r="A83" s="4">
        <v>1939</v>
      </c>
      <c r="B83" s="4">
        <f t="shared" si="4"/>
        <v>128.2268720997246</v>
      </c>
      <c r="C83" s="1">
        <f>'[7]Printed Newspapers'!$W82</f>
        <v>37343.971564515959</v>
      </c>
      <c r="K83" s="4">
        <v>131.1941741887735</v>
      </c>
      <c r="L83" s="4">
        <v>25.408600264766964</v>
      </c>
    </row>
    <row r="84" spans="1:12" x14ac:dyDescent="0.3">
      <c r="A84" s="4">
        <v>1938</v>
      </c>
      <c r="B84" s="4">
        <f t="shared" si="4"/>
        <v>125.84045529771743</v>
      </c>
      <c r="C84" s="1">
        <f>'[7]Printed Newspapers'!$W83</f>
        <v>36648.966845646035</v>
      </c>
      <c r="K84" s="4">
        <v>130.23090432863478</v>
      </c>
      <c r="L84" s="4">
        <v>25.823878696588626</v>
      </c>
    </row>
    <row r="85" spans="1:12" x14ac:dyDescent="0.3">
      <c r="A85" s="4">
        <v>1937</v>
      </c>
      <c r="B85" s="4">
        <f t="shared" si="4"/>
        <v>123.49845184729287</v>
      </c>
      <c r="C85" s="1">
        <f>'[7]Printed Newspapers'!$W84</f>
        <v>35966.896786348058</v>
      </c>
      <c r="K85" s="4">
        <v>129.2747071058993</v>
      </c>
      <c r="L85" s="4">
        <v>26.245944443498061</v>
      </c>
    </row>
    <row r="86" spans="1:12" x14ac:dyDescent="0.3">
      <c r="A86" s="4">
        <v>1936</v>
      </c>
      <c r="B86" s="4">
        <f t="shared" si="4"/>
        <v>121.20003517624561</v>
      </c>
      <c r="C86" s="1">
        <f>'[7]Printed Newspapers'!$W85</f>
        <v>35297.520661035996</v>
      </c>
      <c r="K86" s="4">
        <v>128.32553059098643</v>
      </c>
      <c r="L86" s="4">
        <v>26.674908437444948</v>
      </c>
    </row>
    <row r="87" spans="1:12" x14ac:dyDescent="0.3">
      <c r="A87" s="4">
        <v>1935</v>
      </c>
      <c r="B87" s="4">
        <f t="shared" si="4"/>
        <v>118.94439409561851</v>
      </c>
      <c r="C87" s="1">
        <f>'[7]Printed Newspapers'!$W86</f>
        <v>34640.602224242335</v>
      </c>
      <c r="K87" s="4">
        <v>127.38332323559928</v>
      </c>
      <c r="L87" s="4">
        <v>27.11088342345192</v>
      </c>
    </row>
    <row r="88" spans="1:12" x14ac:dyDescent="0.3">
      <c r="A88" s="4">
        <v>1934</v>
      </c>
      <c r="B88" s="4">
        <f t="shared" si="4"/>
        <v>119.1570420253896</v>
      </c>
      <c r="C88" s="1">
        <f>'[7]Printed Newspapers'!$W87</f>
        <v>34702.532443022443</v>
      </c>
      <c r="K88" s="4">
        <v>126.44803386992514</v>
      </c>
      <c r="L88" s="4">
        <v>27.553983989247463</v>
      </c>
    </row>
    <row r="89" spans="1:12" x14ac:dyDescent="0.3">
      <c r="A89" s="4">
        <v>1933</v>
      </c>
      <c r="B89" s="4">
        <f t="shared" si="4"/>
        <v>119.37007012559562</v>
      </c>
      <c r="C89" s="1">
        <f>'[7]Printed Newspapers'!$W88</f>
        <v>34764.573380200956</v>
      </c>
      <c r="K89" s="4">
        <v>125.51961169985655</v>
      </c>
      <c r="L89" s="4">
        <v>28.004326595383102</v>
      </c>
    </row>
    <row r="90" spans="1:12" x14ac:dyDescent="0.3">
      <c r="A90" s="4">
        <v>1932</v>
      </c>
      <c r="B90" s="4">
        <f t="shared" si="4"/>
        <v>119.58347907590255</v>
      </c>
      <c r="C90" s="1">
        <f>'[7]Printed Newspapers'!$W89</f>
        <v>34826.725233719437</v>
      </c>
      <c r="K90" s="4">
        <v>124.59800630423273</v>
      </c>
      <c r="L90" s="4">
        <v>28.462029605842858</v>
      </c>
    </row>
    <row r="91" spans="1:12" x14ac:dyDescent="0.3">
      <c r="A91" s="4">
        <v>1931</v>
      </c>
      <c r="B91" s="4">
        <f t="shared" si="4"/>
        <v>119.79726955719143</v>
      </c>
      <c r="C91" s="1">
        <f>'[7]Printed Newspapers'!$W90</f>
        <v>34888.988201873311</v>
      </c>
      <c r="K91" s="4">
        <v>123.68316763210127</v>
      </c>
      <c r="L91" s="4">
        <v>28.927213319152951</v>
      </c>
    </row>
    <row r="92" spans="1:12" x14ac:dyDescent="0.3">
      <c r="A92" s="4">
        <v>1930</v>
      </c>
      <c r="B92" s="4">
        <f t="shared" si="4"/>
        <v>120.0114422515606</v>
      </c>
      <c r="C92" s="1">
        <f>'[7]Printed Newspapers'!$W91</f>
        <v>34951.362483312521</v>
      </c>
      <c r="K92" s="4">
        <v>122.775046</v>
      </c>
      <c r="L92" s="4">
        <v>29.4</v>
      </c>
    </row>
    <row r="93" spans="1:12" x14ac:dyDescent="0.3">
      <c r="A93" s="4">
        <v>1929</v>
      </c>
      <c r="B93" s="4">
        <f t="shared" si="4"/>
        <v>116.45593857196421</v>
      </c>
      <c r="C93" s="1">
        <f>'[7]Printed Newspapers'!$W92</f>
        <v>33915.880402730254</v>
      </c>
      <c r="K93" s="4">
        <v>120.98694330532393</v>
      </c>
      <c r="L93" s="4">
        <v>29.631614117570692</v>
      </c>
    </row>
    <row r="94" spans="1:12" x14ac:dyDescent="0.3">
      <c r="A94" s="4">
        <v>1928</v>
      </c>
      <c r="B94" s="4">
        <f t="shared" si="4"/>
        <v>113.00577156842516</v>
      </c>
      <c r="C94" s="1">
        <f>'[7]Printed Newspapers'!$W93</f>
        <v>32911.075899873867</v>
      </c>
      <c r="K94" s="4">
        <v>119.22488263914531</v>
      </c>
      <c r="L94" s="4">
        <v>29.865052898388253</v>
      </c>
    </row>
    <row r="95" spans="1:12" x14ac:dyDescent="0.3">
      <c r="A95" s="4">
        <v>1927</v>
      </c>
      <c r="B95" s="4">
        <f t="shared" si="4"/>
        <v>109.65782049735188</v>
      </c>
      <c r="C95" s="1">
        <f>'[7]Printed Newspapers'!$W94</f>
        <v>31936.040109401521</v>
      </c>
      <c r="K95" s="4">
        <v>117.48848472389228</v>
      </c>
      <c r="L95" s="4">
        <v>30.100330717206692</v>
      </c>
    </row>
    <row r="96" spans="1:12" x14ac:dyDescent="0.3">
      <c r="A96" s="4">
        <v>1926</v>
      </c>
      <c r="B96" s="4">
        <f t="shared" si="4"/>
        <v>106.40905707146462</v>
      </c>
      <c r="C96" s="1">
        <f>'[7]Printed Newspapers'!$W95</f>
        <v>30989.891092354464</v>
      </c>
      <c r="K96" s="4">
        <v>115.77737580581295</v>
      </c>
      <c r="L96" s="4">
        <v>30.337462062024777</v>
      </c>
    </row>
    <row r="97" spans="1:12" x14ac:dyDescent="0.3">
      <c r="A97" s="4">
        <v>1925</v>
      </c>
      <c r="B97" s="4">
        <f t="shared" si="4"/>
        <v>103.25654272065029</v>
      </c>
      <c r="C97" s="1">
        <f>'[7]Printed Newspapers'!$W96</f>
        <v>30071.773038425956</v>
      </c>
      <c r="J97" s="4">
        <v>17942124562</v>
      </c>
      <c r="K97" s="4">
        <v>114.09118757452612</v>
      </c>
      <c r="L97" s="4">
        <v>30.576461534978179</v>
      </c>
    </row>
    <row r="98" spans="1:12" x14ac:dyDescent="0.3">
      <c r="A98" s="4">
        <v>1924</v>
      </c>
      <c r="B98" s="4">
        <f t="shared" si="4"/>
        <v>99.799783316729915</v>
      </c>
      <c r="C98" s="1">
        <f>C99*(C97/C99)^0.5</f>
        <v>29065.04860717741</v>
      </c>
      <c r="K98" s="4">
        <v>112.42955708374379</v>
      </c>
      <c r="L98" s="4">
        <v>30.817343853238658</v>
      </c>
    </row>
    <row r="99" spans="1:12" x14ac:dyDescent="0.3">
      <c r="A99" s="4">
        <v>1923</v>
      </c>
      <c r="B99" s="4">
        <f t="shared" si="4"/>
        <v>96.458747190596611</v>
      </c>
      <c r="C99" s="1">
        <f>C$97*J99/J$97</f>
        <v>28092.026680905135</v>
      </c>
      <c r="J99" s="4">
        <v>16760921987</v>
      </c>
      <c r="K99" s="4">
        <v>110.79212667314813</v>
      </c>
      <c r="L99" s="4">
        <v>31.060123849920302</v>
      </c>
    </row>
    <row r="100" spans="1:12" x14ac:dyDescent="0.3">
      <c r="A100" s="4">
        <v>1922</v>
      </c>
      <c r="B100" s="4">
        <f t="shared" si="4"/>
        <v>87.096173180708817</v>
      </c>
      <c r="C100" s="1">
        <f>C$97*J100/J$97</f>
        <v>25365.330693780008</v>
      </c>
      <c r="J100" s="4">
        <v>15134056854</v>
      </c>
      <c r="K100" s="4">
        <v>109.17854389140639</v>
      </c>
      <c r="L100" s="4">
        <v>31.30481647499294</v>
      </c>
    </row>
    <row r="101" spans="1:12" x14ac:dyDescent="0.3">
      <c r="A101" s="4">
        <v>1921</v>
      </c>
      <c r="B101" s="4">
        <f t="shared" si="4"/>
        <v>89.704034143888066</v>
      </c>
      <c r="C101" s="1">
        <f>C$97*J101/J$97</f>
        <v>26124.827389429236</v>
      </c>
      <c r="J101" s="4">
        <v>15587205536</v>
      </c>
      <c r="K101" s="4">
        <v>107.5884614203069</v>
      </c>
      <c r="L101" s="4">
        <v>31.551436796202729</v>
      </c>
    </row>
    <row r="102" spans="1:12" x14ac:dyDescent="0.3">
      <c r="A102" s="4">
        <v>1920</v>
      </c>
      <c r="B102" s="4">
        <f t="shared" si="4"/>
        <v>88.314837322824786</v>
      </c>
      <c r="C102" s="1">
        <f>C103*(C101/C103)^0.5</f>
        <v>25720.246619940011</v>
      </c>
      <c r="K102" s="4">
        <v>106.021537</v>
      </c>
      <c r="L102" s="4">
        <v>31.8</v>
      </c>
    </row>
    <row r="103" spans="1:12" x14ac:dyDescent="0.3">
      <c r="A103" s="4">
        <v>1919</v>
      </c>
      <c r="B103" s="4">
        <f t="shared" si="4"/>
        <v>86.947154225487211</v>
      </c>
      <c r="C103" s="1">
        <f>C$97*J103/J$97</f>
        <v>25321.931369322949</v>
      </c>
      <c r="J103" s="4">
        <v>15108162934</v>
      </c>
      <c r="K103" s="4">
        <v>104.55413153989278</v>
      </c>
      <c r="L103" s="4">
        <v>31.829873397289791</v>
      </c>
    </row>
    <row r="104" spans="1:12" x14ac:dyDescent="0.3">
      <c r="A104" s="4">
        <v>1918</v>
      </c>
      <c r="B104" s="4">
        <f t="shared" si="4"/>
        <v>85.704071896893765</v>
      </c>
      <c r="C104" s="1">
        <f>C105*(C$103/C$108)^0.2</f>
        <v>24959.904047193129</v>
      </c>
      <c r="K104" s="4">
        <v>103.10703590404651</v>
      </c>
      <c r="L104" s="4">
        <v>31.859774858097385</v>
      </c>
    </row>
    <row r="105" spans="1:12" x14ac:dyDescent="0.3">
      <c r="A105" s="4">
        <v>1917</v>
      </c>
      <c r="B105" s="4">
        <f t="shared" si="4"/>
        <v>84.478761900119864</v>
      </c>
      <c r="C105" s="1">
        <f>C106*(C$103/C$108)^0.2</f>
        <v>24603.052624960394</v>
      </c>
      <c r="K105" s="4">
        <v>101.67996899158442</v>
      </c>
      <c r="L105" s="4">
        <v>31.889704408786056</v>
      </c>
    </row>
    <row r="106" spans="1:12" x14ac:dyDescent="0.3">
      <c r="A106" s="4">
        <v>1916</v>
      </c>
      <c r="B106" s="4">
        <f t="shared" ref="B106:B122" si="5">B105*C106/C105</f>
        <v>83.270970144369571</v>
      </c>
      <c r="C106" s="1">
        <f>C107*(C$103/C$108)^0.2</f>
        <v>24251.303102851503</v>
      </c>
      <c r="K106" s="4">
        <v>100.27265359224447</v>
      </c>
      <c r="L106" s="4">
        <v>31.919662075743858</v>
      </c>
    </row>
    <row r="107" spans="1:12" x14ac:dyDescent="0.3">
      <c r="A107" s="4">
        <v>1915</v>
      </c>
      <c r="B107" s="4">
        <f t="shared" si="5"/>
        <v>82.080446171579709</v>
      </c>
      <c r="C107" s="1">
        <f>C108*(C$103/C$108)^0.2</f>
        <v>23904.582539067007</v>
      </c>
      <c r="K107" s="4">
        <v>98.884816332530846</v>
      </c>
      <c r="L107" s="4">
        <v>31.949647885383641</v>
      </c>
    </row>
    <row r="108" spans="1:12" x14ac:dyDescent="0.3">
      <c r="A108" s="4">
        <v>1914</v>
      </c>
      <c r="B108" s="4">
        <f t="shared" si="5"/>
        <v>80.906943104482806</v>
      </c>
      <c r="C108" s="1">
        <f>C$97*J108/J$97</f>
        <v>23562.819034655411</v>
      </c>
      <c r="J108" s="4">
        <v>14058600190</v>
      </c>
      <c r="K108" s="4">
        <v>97.516187622610687</v>
      </c>
      <c r="L108" s="4">
        <v>31.979661864143058</v>
      </c>
    </row>
    <row r="109" spans="1:12" x14ac:dyDescent="0.3">
      <c r="A109" s="4">
        <v>1913</v>
      </c>
      <c r="B109" s="4">
        <f t="shared" si="5"/>
        <v>77.890870599550354</v>
      </c>
      <c r="C109" s="1">
        <f>C110*(C$108/C$113)^0.2</f>
        <v>22684.437428550882</v>
      </c>
      <c r="K109" s="4">
        <v>96.166501603945761</v>
      </c>
      <c r="L109" s="4">
        <v>32.009704038484607</v>
      </c>
    </row>
    <row r="110" spans="1:12" x14ac:dyDescent="0.3">
      <c r="A110" s="4">
        <v>1912</v>
      </c>
      <c r="B110" s="4">
        <f t="shared" si="5"/>
        <v>74.987232120746683</v>
      </c>
      <c r="C110" s="1">
        <f>C111*(C$108/C$113)^0.2</f>
        <v>21838.800386872539</v>
      </c>
      <c r="K110" s="4">
        <v>94.835496097648999</v>
      </c>
      <c r="L110" s="4">
        <v>32.039774434895641</v>
      </c>
    </row>
    <row r="111" spans="1:12" x14ac:dyDescent="0.3">
      <c r="A111" s="4">
        <v>1911</v>
      </c>
      <c r="B111" s="4">
        <f t="shared" si="5"/>
        <v>72.19183631981646</v>
      </c>
      <c r="C111" s="1">
        <f>C112*(C$108/C$113)^0.2</f>
        <v>21024.687248244947</v>
      </c>
      <c r="K111" s="4">
        <v>93.522912553555756</v>
      </c>
      <c r="L111" s="4">
        <v>32.069873079888389</v>
      </c>
    </row>
    <row r="112" spans="1:12" x14ac:dyDescent="0.3">
      <c r="A112" s="4">
        <v>1910</v>
      </c>
      <c r="B112" s="4">
        <f t="shared" si="5"/>
        <v>69.500648094800979</v>
      </c>
      <c r="C112" s="1">
        <f>C113*(C$108/C$113)^0.2</f>
        <v>20240.922855461678</v>
      </c>
      <c r="K112" s="4">
        <v>92.228496000000007</v>
      </c>
      <c r="L112" s="4">
        <v>32.1</v>
      </c>
    </row>
    <row r="113" spans="1:12" x14ac:dyDescent="0.3">
      <c r="A113" s="4">
        <v>1909</v>
      </c>
      <c r="B113" s="4">
        <f t="shared" si="5"/>
        <v>66.909782765443339</v>
      </c>
      <c r="C113" s="1">
        <f>C$97*J113/J$97</f>
        <v>19486.375859167681</v>
      </c>
      <c r="J113" s="4">
        <v>11626417321</v>
      </c>
      <c r="K113" s="4">
        <v>90.485928148929617</v>
      </c>
      <c r="L113" s="4">
        <v>32.332288003568223</v>
      </c>
    </row>
    <row r="114" spans="1:12" x14ac:dyDescent="0.3">
      <c r="A114" s="4">
        <v>1908</v>
      </c>
      <c r="B114" s="4">
        <f t="shared" si="5"/>
        <v>64.981282745622678</v>
      </c>
      <c r="C114" s="1">
        <f>C115*(C$113/C$118)^0.2</f>
        <v>18924.731886082685</v>
      </c>
      <c r="K114" s="4">
        <v>88.776284424861984</v>
      </c>
      <c r="L114" s="4">
        <v>32.566256932887278</v>
      </c>
    </row>
    <row r="115" spans="1:12" x14ac:dyDescent="0.3">
      <c r="A115" s="4">
        <v>1907</v>
      </c>
      <c r="B115" s="4">
        <f t="shared" si="5"/>
        <v>63.108366710276869</v>
      </c>
      <c r="C115" s="1">
        <f>C116*(C$113/C$118)^0.2</f>
        <v>18379.275836025685</v>
      </c>
      <c r="K115" s="4">
        <v>87.098942758396419</v>
      </c>
      <c r="L115" s="4">
        <v>32.801918951785417</v>
      </c>
    </row>
    <row r="116" spans="1:12" x14ac:dyDescent="0.3">
      <c r="A116" s="4">
        <v>1906</v>
      </c>
      <c r="B116" s="4">
        <f t="shared" si="5"/>
        <v>61.289432595989588</v>
      </c>
      <c r="C116" s="1">
        <f>C117*(C$113/C$118)^0.2</f>
        <v>17849.541134325678</v>
      </c>
      <c r="K116" s="4">
        <v>85.453292833529289</v>
      </c>
      <c r="L116" s="4">
        <v>33.039286312113049</v>
      </c>
    </row>
    <row r="117" spans="1:12" x14ac:dyDescent="0.3">
      <c r="A117" s="4">
        <v>1905</v>
      </c>
      <c r="B117" s="4">
        <f t="shared" si="5"/>
        <v>59.522924514645069</v>
      </c>
      <c r="C117" s="1">
        <f>C118*(C$113/C$118)^0.2</f>
        <v>17335.074654109954</v>
      </c>
      <c r="K117" s="4">
        <v>83.838735865585036</v>
      </c>
      <c r="L117" s="4">
        <v>33.278371354379708</v>
      </c>
    </row>
    <row r="118" spans="1:12" x14ac:dyDescent="0.3">
      <c r="A118" s="4">
        <v>1904</v>
      </c>
      <c r="B118" s="4">
        <f t="shared" si="5"/>
        <v>57.807331422545538</v>
      </c>
      <c r="C118" s="1">
        <f>C$97*J118/J$97</f>
        <v>16835.436328706379</v>
      </c>
      <c r="J118" s="4">
        <v>10044751777</v>
      </c>
      <c r="K118" s="4">
        <v>82.254684383342962</v>
      </c>
      <c r="L118" s="4">
        <v>33.51918650839562</v>
      </c>
    </row>
    <row r="119" spans="1:12" x14ac:dyDescent="0.3">
      <c r="A119" s="4">
        <v>1903</v>
      </c>
      <c r="B119" s="4">
        <f t="shared" si="5"/>
        <v>54.999307201488946</v>
      </c>
      <c r="C119" s="1">
        <f>C120*(C$118/C$123)^0.2</f>
        <v>16017.645370021404</v>
      </c>
      <c r="K119" s="4">
        <v>80.700562015280482</v>
      </c>
      <c r="L119" s="4">
        <v>33.761744293917936</v>
      </c>
    </row>
    <row r="120" spans="1:12" x14ac:dyDescent="0.3">
      <c r="A120" s="4">
        <v>1902</v>
      </c>
      <c r="B120" s="4">
        <f t="shared" si="5"/>
        <v>52.327684364685936</v>
      </c>
      <c r="C120" s="1">
        <f>C121*(C$118/C$123)^0.2</f>
        <v>15239.579075375375</v>
      </c>
      <c r="K120" s="4">
        <v>79.175803279855089</v>
      </c>
      <c r="L120" s="4">
        <v>34.006057321301583</v>
      </c>
    </row>
    <row r="121" spans="1:12" x14ac:dyDescent="0.3">
      <c r="A121" s="4">
        <v>1901</v>
      </c>
      <c r="B121" s="4">
        <f t="shared" si="5"/>
        <v>49.785837136800673</v>
      </c>
      <c r="C121" s="1">
        <f>C122*(C$118/C$123)^0.2</f>
        <v>14499.307796468504</v>
      </c>
      <c r="K121" s="4">
        <v>77.679853379748778</v>
      </c>
      <c r="L121" s="4">
        <v>34.25213829215491</v>
      </c>
    </row>
    <row r="122" spans="1:12" x14ac:dyDescent="0.3">
      <c r="A122" s="4">
        <v>1900</v>
      </c>
      <c r="B122" s="4">
        <f t="shared" si="5"/>
        <v>47.36746159332781</v>
      </c>
      <c r="C122" s="1">
        <f>C123*(C$118/C$123)^0.2</f>
        <v>13794.995618771973</v>
      </c>
      <c r="K122" s="3">
        <v>76.212168000000005</v>
      </c>
      <c r="L122" s="3">
        <v>34.5</v>
      </c>
    </row>
    <row r="123" spans="1:12" x14ac:dyDescent="0.3">
      <c r="C123" s="1">
        <f>C$97*J123/J$97</f>
        <v>13124.895808356345</v>
      </c>
      <c r="J123" s="4">
        <v>7830882308</v>
      </c>
      <c r="K123" s="4">
        <v>74.768708808246345</v>
      </c>
      <c r="L123" s="3">
        <v>34.616575575720127</v>
      </c>
    </row>
    <row r="124" spans="1:12" x14ac:dyDescent="0.3">
      <c r="L124" s="3"/>
    </row>
    <row r="125" spans="1:12" x14ac:dyDescent="0.3">
      <c r="L1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Summary, Price Indexes</vt:lpstr>
      <vt:lpstr>Summary, PPI's</vt:lpstr>
      <vt:lpstr>Summary, hourly ad costs</vt:lpstr>
      <vt:lpstr>Predicted PPIs</vt:lpstr>
      <vt:lpstr>Direct Mail and nonmail PPI's</vt:lpstr>
      <vt:lpstr>Direct mail readership</vt:lpstr>
      <vt:lpstr>Signs and ad special PPI's</vt:lpstr>
      <vt:lpstr>Newspapers PPI's</vt:lpstr>
      <vt:lpstr>Print newspapers, readership</vt:lpstr>
      <vt:lpstr>Periodical PPI's</vt:lpstr>
      <vt:lpstr>Print periodical, readership</vt:lpstr>
      <vt:lpstr>Directory PPI's</vt:lpstr>
      <vt:lpstr>Movie theater PPI's</vt:lpstr>
      <vt:lpstr>Movie theater viewership</vt:lpstr>
      <vt:lpstr>Radio PPI's</vt:lpstr>
      <vt:lpstr>Radio listenership</vt:lpstr>
      <vt:lpstr>Broadcast television PPI's</vt:lpstr>
      <vt:lpstr>Broadcast television viewership</vt:lpstr>
      <vt:lpstr>Cable television PPI's</vt:lpstr>
      <vt:lpstr>Cable.audiovisual internet view</vt:lpstr>
      <vt:lpstr>Nonsearch internet PPI's</vt:lpstr>
      <vt:lpstr>Nonaudiovisual internet time</vt:lpstr>
      <vt:lpstr>Search internet, PPI's</vt:lpstr>
      <vt:lpstr>Search internet time</vt:lpstr>
      <vt:lpstr>Advertising Agency PPI's</vt:lpstr>
      <vt:lpstr>NAICS 71 sponsor PPI's</vt:lpstr>
      <vt:lpstr>NAICS 81 sponsor PPI's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Soloveichik, Rachel</cp:lastModifiedBy>
  <dcterms:created xsi:type="dcterms:W3CDTF">2013-12-16T19:58:41Z</dcterms:created>
  <dcterms:modified xsi:type="dcterms:W3CDTF">2023-09-29T21:18:42Z</dcterms:modified>
</cp:coreProperties>
</file>